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odeX\"/>
    </mc:Choice>
  </mc:AlternateContent>
  <xr:revisionPtr revIDLastSave="0" documentId="13_ncr:1_{5938931A-DCAE-45E7-BC16-CE6542CC906D}" xr6:coauthVersionLast="47" xr6:coauthVersionMax="47" xr10:uidLastSave="{00000000-0000-0000-0000-000000000000}"/>
  <bookViews>
    <workbookView xWindow="-108" yWindow="-108" windowWidth="30936" windowHeight="16776" firstSheet="32" activeTab="37" xr2:uid="{00000000-000D-0000-FFFF-FFFF00000000}"/>
  </bookViews>
  <sheets>
    <sheet name="03_Historical_FS" sheetId="4" r:id="rId1"/>
    <sheet name="04_Q1_Historical_FS" sheetId="5" r:id="rId2"/>
    <sheet name="05_Ratio_Analysis" sheetId="6" r:id="rId3"/>
    <sheet name="06_Revenue_Drivers_Hist" sheetId="7" r:id="rId4"/>
    <sheet name="07_Revenue_Drivers" sheetId="8" r:id="rId5"/>
    <sheet name="08_P5_Assumptions" sheetId="9" r:id="rId6"/>
    <sheet name="09_Working_Capital" sheetId="10" r:id="rId7"/>
    <sheet name="10_Debt_Cash_Interest" sheetId="11" r:id="rId8"/>
    <sheet name="11_Capex_DA" sheetId="12" r:id="rId9"/>
    <sheet name="12_Income_Statement" sheetId="13" r:id="rId10"/>
    <sheet name="13_Balance_Sheet" sheetId="14" r:id="rId11"/>
    <sheet name="14_Cash_Flow" sheetId="15" r:id="rId12"/>
    <sheet name="16_Trading_Comps" sheetId="17" r:id="rId13"/>
    <sheet name="18_Beta_Calculation" sheetId="19" r:id="rId14"/>
    <sheet name="19_WACC" sheetId="20" r:id="rId15"/>
    <sheet name="20_DCF" sheetId="21" r:id="rId16"/>
    <sheet name="21_Target_Multiple_Bridge" sheetId="22" r:id="rId17"/>
    <sheet name="22_SOTP" sheetId="23" r:id="rId18"/>
    <sheet name="23_Sensitivity" sheetId="24" r:id="rId19"/>
    <sheet name="24_FPA_Module" sheetId="25" r:id="rId20"/>
    <sheet name="15_P5_Checks" sheetId="16" r:id="rId21"/>
    <sheet name="17_Peer_Data_Checks" sheetId="18" r:id="rId22"/>
    <sheet name="29_Guidance_Audit" sheetId="26" r:id="rId23"/>
    <sheet name="01_Source_Audit" sheetId="2" r:id="rId24"/>
    <sheet name="02_Mapping" sheetId="3" r:id="rId25"/>
    <sheet name="90_Raw_IS_vnstock" sheetId="27" r:id="rId26"/>
    <sheet name="91_Raw_BS_vnstock" sheetId="28" r:id="rId27"/>
    <sheet name="92_Raw_CF_vnstock" sheetId="29" r:id="rId28"/>
    <sheet name="93_Raw_IS_Q_BCTC" sheetId="30" r:id="rId29"/>
    <sheet name="94_Raw_BS_Q_BCTC" sheetId="31" r:id="rId30"/>
    <sheet name="95_Raw_CF_Q_BCTC" sheetId="32" r:id="rId31"/>
    <sheet name="96_Raw_Phase4_Drivers" sheetId="33" r:id="rId32"/>
    <sheet name="97_Raw_Peer_IS" sheetId="34" r:id="rId33"/>
    <sheet name="98_Raw_Peer_BS" sheetId="35" r:id="rId34"/>
    <sheet name="99_Raw_Peer_CF" sheetId="36" r:id="rId35"/>
    <sheet name="100_Raw_Peer_Metrics" sheetId="37" r:id="rId36"/>
    <sheet name="101_Raw_Peer_Market" sheetId="38" r:id="rId37"/>
    <sheet name="103_Raw_Segment_Inputs" sheetId="40" r:id="rId3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40" l="1"/>
  <c r="F16" i="40"/>
  <c r="E16" i="40"/>
  <c r="D16" i="40"/>
  <c r="C16" i="40"/>
  <c r="B16" i="40"/>
  <c r="G15" i="40"/>
  <c r="F15" i="40"/>
  <c r="E15" i="40"/>
  <c r="D15" i="40"/>
  <c r="C15" i="40"/>
  <c r="B15" i="40"/>
  <c r="G14" i="40"/>
  <c r="F14" i="40"/>
  <c r="E14" i="40"/>
  <c r="D14" i="40"/>
  <c r="C14" i="40"/>
  <c r="B14" i="40"/>
  <c r="G13" i="40"/>
  <c r="F13" i="40"/>
  <c r="E13" i="40"/>
  <c r="D13" i="40"/>
  <c r="C13" i="40"/>
  <c r="B13" i="40"/>
  <c r="G12" i="40"/>
  <c r="F12" i="40"/>
  <c r="E12" i="40"/>
  <c r="D12" i="40"/>
  <c r="C12" i="40"/>
  <c r="B12" i="40"/>
  <c r="F8" i="40"/>
  <c r="E8" i="40"/>
  <c r="D8" i="40"/>
  <c r="C8" i="40"/>
  <c r="B8" i="40"/>
  <c r="F7" i="40"/>
  <c r="E7" i="40"/>
  <c r="D7" i="40"/>
  <c r="C7" i="40"/>
  <c r="B7" i="40"/>
  <c r="F6" i="40"/>
  <c r="E6" i="40"/>
  <c r="D6" i="40"/>
  <c r="C6" i="40"/>
  <c r="B6" i="40"/>
  <c r="F5" i="40"/>
  <c r="E5" i="40"/>
  <c r="D5" i="40"/>
  <c r="C5" i="40"/>
  <c r="B5" i="40"/>
  <c r="F4" i="40"/>
  <c r="E4" i="40"/>
  <c r="D4" i="40"/>
  <c r="C4" i="40"/>
  <c r="B4" i="40"/>
  <c r="AD9" i="37"/>
  <c r="AC9" i="37"/>
  <c r="AB9" i="37"/>
  <c r="I9" i="37"/>
  <c r="H9" i="37"/>
  <c r="G9" i="37"/>
  <c r="J9" i="37" s="1"/>
  <c r="F9" i="37"/>
  <c r="E9" i="37"/>
  <c r="D9" i="37"/>
  <c r="C9" i="37"/>
  <c r="B9" i="37"/>
  <c r="A9" i="37"/>
  <c r="AD8" i="37"/>
  <c r="AC8" i="37"/>
  <c r="AB8" i="37"/>
  <c r="I8" i="37"/>
  <c r="H8" i="37"/>
  <c r="G8" i="37"/>
  <c r="J8" i="37" s="1"/>
  <c r="F8" i="37"/>
  <c r="E8" i="37"/>
  <c r="D8" i="37"/>
  <c r="C8" i="37"/>
  <c r="B8" i="37"/>
  <c r="A8" i="37"/>
  <c r="AD7" i="37"/>
  <c r="AC7" i="37"/>
  <c r="AB7" i="37"/>
  <c r="I7" i="37"/>
  <c r="H7" i="37"/>
  <c r="G7" i="37"/>
  <c r="J7" i="37" s="1"/>
  <c r="F7" i="37"/>
  <c r="E7" i="37"/>
  <c r="D7" i="37"/>
  <c r="C7" i="37"/>
  <c r="B7" i="37"/>
  <c r="A7" i="37"/>
  <c r="AD6" i="37"/>
  <c r="AC6" i="37"/>
  <c r="AB6" i="37"/>
  <c r="I6" i="37"/>
  <c r="H6" i="37"/>
  <c r="G6" i="37"/>
  <c r="J6" i="37" s="1"/>
  <c r="F6" i="37"/>
  <c r="E6" i="37"/>
  <c r="D6" i="37"/>
  <c r="C6" i="37"/>
  <c r="B6" i="37"/>
  <c r="A6" i="37"/>
  <c r="AD5" i="37"/>
  <c r="AC5" i="37"/>
  <c r="AB5" i="37"/>
  <c r="K5" i="37"/>
  <c r="H8" i="17" s="1"/>
  <c r="I5" i="37"/>
  <c r="H5" i="37"/>
  <c r="F8" i="17" s="1"/>
  <c r="G5" i="37"/>
  <c r="F5" i="37"/>
  <c r="D8" i="17" s="1"/>
  <c r="E5" i="37"/>
  <c r="D5" i="37"/>
  <c r="C8" i="17" s="1"/>
  <c r="C5" i="37"/>
  <c r="B5" i="37"/>
  <c r="B8" i="17" s="1"/>
  <c r="B20" i="17" s="1"/>
  <c r="A5" i="37"/>
  <c r="E44" i="2"/>
  <c r="E43" i="2"/>
  <c r="E42" i="2"/>
  <c r="E41" i="2"/>
  <c r="E37" i="2"/>
  <c r="E36" i="2"/>
  <c r="E35" i="2"/>
  <c r="E32" i="2"/>
  <c r="E31" i="2"/>
  <c r="E30" i="2"/>
  <c r="E29" i="2"/>
  <c r="E28" i="2"/>
  <c r="E27" i="2"/>
  <c r="E26" i="2"/>
  <c r="E25" i="2"/>
  <c r="E24" i="2"/>
  <c r="E23" i="2"/>
  <c r="E22" i="2"/>
  <c r="E21" i="2"/>
  <c r="E20" i="2"/>
  <c r="E19" i="2"/>
  <c r="E18" i="2"/>
  <c r="E17" i="2"/>
  <c r="E16" i="2"/>
  <c r="E15" i="2"/>
  <c r="E14" i="2"/>
  <c r="E13" i="2"/>
  <c r="E12" i="2"/>
  <c r="E11" i="2"/>
  <c r="E10" i="2"/>
  <c r="E9" i="2"/>
  <c r="E8" i="2"/>
  <c r="E7" i="2"/>
  <c r="D7" i="18"/>
  <c r="B7" i="18"/>
  <c r="D11" i="16"/>
  <c r="D8" i="16"/>
  <c r="D7" i="16"/>
  <c r="G148" i="25"/>
  <c r="F148" i="25"/>
  <c r="E148" i="25"/>
  <c r="D148" i="25"/>
  <c r="P145" i="25"/>
  <c r="O143" i="25"/>
  <c r="P134" i="25"/>
  <c r="P133" i="25"/>
  <c r="P132" i="25"/>
  <c r="O128" i="25"/>
  <c r="O131" i="25" s="1"/>
  <c r="N128" i="25"/>
  <c r="N131" i="25" s="1"/>
  <c r="M128" i="25"/>
  <c r="M131" i="25" s="1"/>
  <c r="L128" i="25"/>
  <c r="L131" i="25" s="1"/>
  <c r="K128" i="25"/>
  <c r="K131" i="25" s="1"/>
  <c r="J128" i="25"/>
  <c r="J131" i="25" s="1"/>
  <c r="I128" i="25"/>
  <c r="I131" i="25" s="1"/>
  <c r="H128" i="25"/>
  <c r="H131" i="25" s="1"/>
  <c r="G128" i="25"/>
  <c r="G131" i="25" s="1"/>
  <c r="F128" i="25"/>
  <c r="F131" i="25" s="1"/>
  <c r="E128" i="25"/>
  <c r="E131" i="25" s="1"/>
  <c r="D128" i="25"/>
  <c r="O127" i="25"/>
  <c r="O130" i="25" s="1"/>
  <c r="N127" i="25"/>
  <c r="N130" i="25" s="1"/>
  <c r="M127" i="25"/>
  <c r="M130" i="25" s="1"/>
  <c r="L127" i="25"/>
  <c r="L130" i="25" s="1"/>
  <c r="K127" i="25"/>
  <c r="K130" i="25" s="1"/>
  <c r="J127" i="25"/>
  <c r="J130" i="25" s="1"/>
  <c r="I127" i="25"/>
  <c r="I130" i="25" s="1"/>
  <c r="H127" i="25"/>
  <c r="H130" i="25" s="1"/>
  <c r="G127" i="25"/>
  <c r="G130" i="25" s="1"/>
  <c r="F127" i="25"/>
  <c r="F130" i="25" s="1"/>
  <c r="E127" i="25"/>
  <c r="E130" i="25" s="1"/>
  <c r="D127" i="25"/>
  <c r="O126" i="25"/>
  <c r="O129" i="25" s="1"/>
  <c r="O135" i="25" s="1"/>
  <c r="N126" i="25"/>
  <c r="N129" i="25" s="1"/>
  <c r="N135" i="25" s="1"/>
  <c r="M126" i="25"/>
  <c r="M129" i="25" s="1"/>
  <c r="L126" i="25"/>
  <c r="L129" i="25" s="1"/>
  <c r="K126" i="25"/>
  <c r="K129" i="25" s="1"/>
  <c r="J126" i="25"/>
  <c r="J129" i="25" s="1"/>
  <c r="I126" i="25"/>
  <c r="I129" i="25" s="1"/>
  <c r="H126" i="25"/>
  <c r="H129" i="25" s="1"/>
  <c r="G126" i="25"/>
  <c r="G129" i="25" s="1"/>
  <c r="F126" i="25"/>
  <c r="F129" i="25" s="1"/>
  <c r="E126" i="25"/>
  <c r="E129" i="25" s="1"/>
  <c r="D126" i="25"/>
  <c r="P125" i="25"/>
  <c r="P124" i="25"/>
  <c r="P123" i="25"/>
  <c r="P122" i="25"/>
  <c r="C101" i="25"/>
  <c r="C91" i="25"/>
  <c r="C90" i="25"/>
  <c r="C89" i="25"/>
  <c r="C86" i="25"/>
  <c r="C80" i="25"/>
  <c r="AA47" i="25"/>
  <c r="Z47" i="25"/>
  <c r="Y47" i="25"/>
  <c r="X47" i="25"/>
  <c r="W47" i="25"/>
  <c r="V47" i="25"/>
  <c r="U47" i="25"/>
  <c r="T47" i="25"/>
  <c r="S47" i="25"/>
  <c r="R47" i="25"/>
  <c r="Q47" i="25"/>
  <c r="P47" i="25"/>
  <c r="O47" i="25"/>
  <c r="N47" i="25"/>
  <c r="M47" i="25"/>
  <c r="L47" i="25"/>
  <c r="K47" i="25"/>
  <c r="J47" i="25"/>
  <c r="I47" i="25"/>
  <c r="H47" i="25"/>
  <c r="G47" i="25"/>
  <c r="F47" i="25"/>
  <c r="E47" i="25"/>
  <c r="D47" i="25"/>
  <c r="AA46" i="25"/>
  <c r="Z46" i="25"/>
  <c r="Y46" i="25"/>
  <c r="X46" i="25"/>
  <c r="W46" i="25"/>
  <c r="V46" i="25"/>
  <c r="U46" i="25"/>
  <c r="T46" i="25"/>
  <c r="S46" i="25"/>
  <c r="R46" i="25"/>
  <c r="Q46" i="25"/>
  <c r="P46" i="25"/>
  <c r="O46" i="25"/>
  <c r="N46" i="25"/>
  <c r="M46" i="25"/>
  <c r="L46" i="25"/>
  <c r="K46" i="25"/>
  <c r="J46" i="25"/>
  <c r="I46" i="25"/>
  <c r="H46" i="25"/>
  <c r="G46" i="25"/>
  <c r="F46" i="25"/>
  <c r="E46" i="25"/>
  <c r="D46" i="25"/>
  <c r="D29" i="25"/>
  <c r="E27" i="25"/>
  <c r="D27" i="25"/>
  <c r="E26" i="25"/>
  <c r="D26" i="25"/>
  <c r="E25" i="25"/>
  <c r="D25" i="25"/>
  <c r="E24" i="25"/>
  <c r="D24" i="25"/>
  <c r="E23" i="25"/>
  <c r="D23" i="25"/>
  <c r="E22" i="25"/>
  <c r="D22" i="25"/>
  <c r="C15" i="25"/>
  <c r="C13" i="25"/>
  <c r="C7" i="25"/>
  <c r="F59" i="24"/>
  <c r="E59" i="24"/>
  <c r="D59" i="24"/>
  <c r="C59" i="24"/>
  <c r="B59" i="24"/>
  <c r="F48" i="24"/>
  <c r="E48" i="24"/>
  <c r="D48" i="24"/>
  <c r="C48" i="24"/>
  <c r="B48" i="24"/>
  <c r="D23" i="24"/>
  <c r="F24" i="23"/>
  <c r="E24" i="23"/>
  <c r="D24" i="23"/>
  <c r="F23" i="23"/>
  <c r="E23" i="23"/>
  <c r="D23" i="23"/>
  <c r="F18" i="23"/>
  <c r="E18" i="23"/>
  <c r="D18" i="23"/>
  <c r="F17" i="23"/>
  <c r="E17" i="23"/>
  <c r="D17" i="23"/>
  <c r="F6" i="23"/>
  <c r="E6" i="23"/>
  <c r="D6" i="23"/>
  <c r="F14" i="22"/>
  <c r="F20" i="23" s="1"/>
  <c r="E14" i="22"/>
  <c r="D14" i="22"/>
  <c r="D20" i="23" s="1"/>
  <c r="F11" i="22"/>
  <c r="F19" i="23" s="1"/>
  <c r="E11" i="22"/>
  <c r="D11" i="22"/>
  <c r="D19" i="23" s="1"/>
  <c r="F7" i="22"/>
  <c r="F8" i="22" s="1"/>
  <c r="E7" i="22"/>
  <c r="E8" i="22" s="1"/>
  <c r="D7" i="22"/>
  <c r="D8" i="22" s="1"/>
  <c r="H37" i="21"/>
  <c r="G37" i="21"/>
  <c r="F37" i="21"/>
  <c r="E37" i="21"/>
  <c r="D37" i="21"/>
  <c r="H23" i="21"/>
  <c r="G23" i="21"/>
  <c r="F23" i="21"/>
  <c r="E23" i="21"/>
  <c r="D23" i="21"/>
  <c r="F6" i="21"/>
  <c r="E6" i="21"/>
  <c r="D6" i="21"/>
  <c r="E29" i="20"/>
  <c r="E28" i="20"/>
  <c r="E27" i="20"/>
  <c r="F16" i="20"/>
  <c r="E16" i="20"/>
  <c r="D16" i="20"/>
  <c r="E15" i="20"/>
  <c r="D15" i="20"/>
  <c r="D17" i="20" s="1"/>
  <c r="E9" i="20"/>
  <c r="F9" i="20" s="1"/>
  <c r="D9" i="20"/>
  <c r="F8" i="20"/>
  <c r="D8" i="20"/>
  <c r="F7" i="20"/>
  <c r="D7" i="20"/>
  <c r="F6" i="20"/>
  <c r="D6" i="20"/>
  <c r="E129" i="19"/>
  <c r="D129" i="19"/>
  <c r="G129" i="19" s="1"/>
  <c r="E128" i="19"/>
  <c r="D128" i="19"/>
  <c r="G128" i="19" s="1"/>
  <c r="E127" i="19"/>
  <c r="D127" i="19"/>
  <c r="G127" i="19" s="1"/>
  <c r="E126" i="19"/>
  <c r="D126" i="19"/>
  <c r="G126" i="19" s="1"/>
  <c r="E125" i="19"/>
  <c r="D125" i="19"/>
  <c r="G125" i="19" s="1"/>
  <c r="E124" i="19"/>
  <c r="D124" i="19"/>
  <c r="G124" i="19" s="1"/>
  <c r="E123" i="19"/>
  <c r="D123" i="19"/>
  <c r="G123" i="19" s="1"/>
  <c r="E122" i="19"/>
  <c r="D122" i="19"/>
  <c r="G122" i="19" s="1"/>
  <c r="E121" i="19"/>
  <c r="D121" i="19"/>
  <c r="G121" i="19" s="1"/>
  <c r="E120" i="19"/>
  <c r="D120" i="19"/>
  <c r="G120" i="19" s="1"/>
  <c r="E119" i="19"/>
  <c r="D119" i="19"/>
  <c r="G119" i="19" s="1"/>
  <c r="E118" i="19"/>
  <c r="D118" i="19"/>
  <c r="G118" i="19" s="1"/>
  <c r="E117" i="19"/>
  <c r="D117" i="19"/>
  <c r="G117" i="19" s="1"/>
  <c r="E116" i="19"/>
  <c r="D116" i="19"/>
  <c r="G116" i="19" s="1"/>
  <c r="E115" i="19"/>
  <c r="D115" i="19"/>
  <c r="G115" i="19" s="1"/>
  <c r="E114" i="19"/>
  <c r="D114" i="19"/>
  <c r="G114" i="19" s="1"/>
  <c r="E113" i="19"/>
  <c r="D113" i="19"/>
  <c r="G113" i="19" s="1"/>
  <c r="E112" i="19"/>
  <c r="D112" i="19"/>
  <c r="G112" i="19" s="1"/>
  <c r="E111" i="19"/>
  <c r="D111" i="19"/>
  <c r="G111" i="19" s="1"/>
  <c r="E110" i="19"/>
  <c r="D110" i="19"/>
  <c r="G110" i="19" s="1"/>
  <c r="E109" i="19"/>
  <c r="D109" i="19"/>
  <c r="G109" i="19" s="1"/>
  <c r="E108" i="19"/>
  <c r="D108" i="19"/>
  <c r="G108" i="19" s="1"/>
  <c r="E107" i="19"/>
  <c r="D107" i="19"/>
  <c r="G107" i="19" s="1"/>
  <c r="E106" i="19"/>
  <c r="D106" i="19"/>
  <c r="G106" i="19" s="1"/>
  <c r="E105" i="19"/>
  <c r="D105" i="19"/>
  <c r="G105" i="19" s="1"/>
  <c r="E104" i="19"/>
  <c r="D104" i="19"/>
  <c r="G104" i="19" s="1"/>
  <c r="E103" i="19"/>
  <c r="D103" i="19"/>
  <c r="G103" i="19" s="1"/>
  <c r="E102" i="19"/>
  <c r="D102" i="19"/>
  <c r="G102" i="19" s="1"/>
  <c r="E101" i="19"/>
  <c r="D101" i="19"/>
  <c r="G101" i="19" s="1"/>
  <c r="E100" i="19"/>
  <c r="D100" i="19"/>
  <c r="G100" i="19" s="1"/>
  <c r="E99" i="19"/>
  <c r="D99" i="19"/>
  <c r="G99" i="19" s="1"/>
  <c r="E98" i="19"/>
  <c r="D98" i="19"/>
  <c r="G98" i="19" s="1"/>
  <c r="E97" i="19"/>
  <c r="D97" i="19"/>
  <c r="G97" i="19" s="1"/>
  <c r="E96" i="19"/>
  <c r="D96" i="19"/>
  <c r="G96" i="19" s="1"/>
  <c r="E95" i="19"/>
  <c r="D95" i="19"/>
  <c r="G95" i="19" s="1"/>
  <c r="E94" i="19"/>
  <c r="D94" i="19"/>
  <c r="G94" i="19" s="1"/>
  <c r="E93" i="19"/>
  <c r="D93" i="19"/>
  <c r="G93" i="19" s="1"/>
  <c r="E92" i="19"/>
  <c r="D92" i="19"/>
  <c r="G92" i="19" s="1"/>
  <c r="E91" i="19"/>
  <c r="D91" i="19"/>
  <c r="G91" i="19" s="1"/>
  <c r="E90" i="19"/>
  <c r="D90" i="19"/>
  <c r="G90" i="19" s="1"/>
  <c r="E89" i="19"/>
  <c r="D89" i="19"/>
  <c r="G89" i="19" s="1"/>
  <c r="E88" i="19"/>
  <c r="D88" i="19"/>
  <c r="G88" i="19" s="1"/>
  <c r="E87" i="19"/>
  <c r="D87" i="19"/>
  <c r="G87" i="19" s="1"/>
  <c r="E86" i="19"/>
  <c r="D86" i="19"/>
  <c r="G86" i="19" s="1"/>
  <c r="E85" i="19"/>
  <c r="D85" i="19"/>
  <c r="G85" i="19" s="1"/>
  <c r="E84" i="19"/>
  <c r="D84" i="19"/>
  <c r="G84" i="19" s="1"/>
  <c r="E83" i="19"/>
  <c r="D83" i="19"/>
  <c r="G83" i="19" s="1"/>
  <c r="E82" i="19"/>
  <c r="D82" i="19"/>
  <c r="G82" i="19" s="1"/>
  <c r="E81" i="19"/>
  <c r="D81" i="19"/>
  <c r="G81" i="19" s="1"/>
  <c r="E80" i="19"/>
  <c r="D80" i="19"/>
  <c r="G80" i="19" s="1"/>
  <c r="E79" i="19"/>
  <c r="D79" i="19"/>
  <c r="G79" i="19" s="1"/>
  <c r="E78" i="19"/>
  <c r="D78" i="19"/>
  <c r="G78" i="19" s="1"/>
  <c r="E77" i="19"/>
  <c r="D77" i="19"/>
  <c r="G77" i="19" s="1"/>
  <c r="E76" i="19"/>
  <c r="D76" i="19"/>
  <c r="G76" i="19" s="1"/>
  <c r="E75" i="19"/>
  <c r="D75" i="19"/>
  <c r="G75" i="19" s="1"/>
  <c r="E74" i="19"/>
  <c r="D74" i="19"/>
  <c r="G74" i="19" s="1"/>
  <c r="E73" i="19"/>
  <c r="D73" i="19"/>
  <c r="G73" i="19" s="1"/>
  <c r="E72" i="19"/>
  <c r="D72" i="19"/>
  <c r="G72" i="19" s="1"/>
  <c r="E71" i="19"/>
  <c r="D71" i="19"/>
  <c r="G71" i="19" s="1"/>
  <c r="E70" i="19"/>
  <c r="D70" i="19"/>
  <c r="G70" i="19" s="1"/>
  <c r="E69" i="19"/>
  <c r="D69" i="19"/>
  <c r="G69" i="19" s="1"/>
  <c r="E68" i="19"/>
  <c r="D68" i="19"/>
  <c r="G68" i="19" s="1"/>
  <c r="E67" i="19"/>
  <c r="D67" i="19"/>
  <c r="G67" i="19" s="1"/>
  <c r="E66" i="19"/>
  <c r="D66" i="19"/>
  <c r="G66" i="19" s="1"/>
  <c r="E65" i="19"/>
  <c r="D65" i="19"/>
  <c r="G65" i="19" s="1"/>
  <c r="E64" i="19"/>
  <c r="D64" i="19"/>
  <c r="G64" i="19" s="1"/>
  <c r="E63" i="19"/>
  <c r="D63" i="19"/>
  <c r="G63" i="19" s="1"/>
  <c r="E62" i="19"/>
  <c r="D62" i="19"/>
  <c r="G62" i="19" s="1"/>
  <c r="E61" i="19"/>
  <c r="D61" i="19"/>
  <c r="G61" i="19" s="1"/>
  <c r="E60" i="19"/>
  <c r="D60" i="19"/>
  <c r="G60" i="19" s="1"/>
  <c r="E59" i="19"/>
  <c r="D59" i="19"/>
  <c r="G59" i="19" s="1"/>
  <c r="E58" i="19"/>
  <c r="D58" i="19"/>
  <c r="G58" i="19" s="1"/>
  <c r="E57" i="19"/>
  <c r="D57" i="19"/>
  <c r="G57" i="19" s="1"/>
  <c r="E56" i="19"/>
  <c r="D56" i="19"/>
  <c r="G56" i="19" s="1"/>
  <c r="E55" i="19"/>
  <c r="D55" i="19"/>
  <c r="G55" i="19" s="1"/>
  <c r="E54" i="19"/>
  <c r="D54" i="19"/>
  <c r="G54" i="19" s="1"/>
  <c r="E53" i="19"/>
  <c r="D53" i="19"/>
  <c r="G53" i="19" s="1"/>
  <c r="E52" i="19"/>
  <c r="D52" i="19"/>
  <c r="G52" i="19" s="1"/>
  <c r="E51" i="19"/>
  <c r="D51" i="19"/>
  <c r="G51" i="19" s="1"/>
  <c r="E50" i="19"/>
  <c r="D50" i="19"/>
  <c r="G50" i="19" s="1"/>
  <c r="E49" i="19"/>
  <c r="D49" i="19"/>
  <c r="G49" i="19" s="1"/>
  <c r="E48" i="19"/>
  <c r="D48" i="19"/>
  <c r="G48" i="19" s="1"/>
  <c r="E47" i="19"/>
  <c r="D47" i="19"/>
  <c r="G47" i="19" s="1"/>
  <c r="E46" i="19"/>
  <c r="D46" i="19"/>
  <c r="G46" i="19" s="1"/>
  <c r="E45" i="19"/>
  <c r="D45" i="19"/>
  <c r="G45" i="19" s="1"/>
  <c r="E44" i="19"/>
  <c r="D44" i="19"/>
  <c r="G44" i="19" s="1"/>
  <c r="E43" i="19"/>
  <c r="D43" i="19"/>
  <c r="G43" i="19" s="1"/>
  <c r="E42" i="19"/>
  <c r="D42" i="19"/>
  <c r="G42" i="19" s="1"/>
  <c r="E41" i="19"/>
  <c r="D41" i="19"/>
  <c r="G41" i="19" s="1"/>
  <c r="E40" i="19"/>
  <c r="D40" i="19"/>
  <c r="G40" i="19" s="1"/>
  <c r="E39" i="19"/>
  <c r="D39" i="19"/>
  <c r="G39" i="19" s="1"/>
  <c r="E38" i="19"/>
  <c r="D38" i="19"/>
  <c r="G38" i="19" s="1"/>
  <c r="E37" i="19"/>
  <c r="D37" i="19"/>
  <c r="G37" i="19" s="1"/>
  <c r="E36" i="19"/>
  <c r="D36" i="19"/>
  <c r="G36" i="19" s="1"/>
  <c r="E35" i="19"/>
  <c r="D35" i="19"/>
  <c r="G35" i="19" s="1"/>
  <c r="E34" i="19"/>
  <c r="D34" i="19"/>
  <c r="G34" i="19" s="1"/>
  <c r="E33" i="19"/>
  <c r="D33" i="19"/>
  <c r="G33" i="19" s="1"/>
  <c r="E32" i="19"/>
  <c r="D32" i="19"/>
  <c r="G32" i="19" s="1"/>
  <c r="E31" i="19"/>
  <c r="D31" i="19"/>
  <c r="G31" i="19" s="1"/>
  <c r="E30" i="19"/>
  <c r="D30" i="19"/>
  <c r="G30" i="19" s="1"/>
  <c r="E29" i="19"/>
  <c r="D29" i="19"/>
  <c r="G29" i="19" s="1"/>
  <c r="E28" i="19"/>
  <c r="D28" i="19"/>
  <c r="G28" i="19" s="1"/>
  <c r="E27" i="19"/>
  <c r="D27" i="19"/>
  <c r="G27" i="19" s="1"/>
  <c r="E26" i="19"/>
  <c r="D26" i="19"/>
  <c r="G26" i="19" s="1"/>
  <c r="E25" i="19"/>
  <c r="D25" i="19"/>
  <c r="G25" i="19" s="1"/>
  <c r="E24" i="19"/>
  <c r="D24" i="19"/>
  <c r="G24" i="19" s="1"/>
  <c r="E23" i="19"/>
  <c r="D23" i="19"/>
  <c r="G23" i="19" s="1"/>
  <c r="C16" i="19"/>
  <c r="E34" i="20" s="1"/>
  <c r="C15" i="19"/>
  <c r="C13" i="19"/>
  <c r="C12" i="19"/>
  <c r="E31" i="20" s="1"/>
  <c r="C11" i="19"/>
  <c r="E30" i="20" s="1"/>
  <c r="C10" i="19"/>
  <c r="E32" i="20" s="1"/>
  <c r="C9" i="19"/>
  <c r="Z12" i="17"/>
  <c r="F12" i="17"/>
  <c r="E12" i="17"/>
  <c r="G12" i="17" s="1"/>
  <c r="D12" i="17"/>
  <c r="C12" i="17"/>
  <c r="B12" i="17"/>
  <c r="A12" i="17"/>
  <c r="Z11" i="17"/>
  <c r="F11" i="17"/>
  <c r="E11" i="17"/>
  <c r="G11" i="17" s="1"/>
  <c r="D11" i="17"/>
  <c r="C11" i="17"/>
  <c r="B11" i="17"/>
  <c r="A11" i="17"/>
  <c r="Z10" i="17"/>
  <c r="F10" i="17"/>
  <c r="E10" i="17"/>
  <c r="G10" i="17" s="1"/>
  <c r="D10" i="17"/>
  <c r="C10" i="17"/>
  <c r="B10" i="17"/>
  <c r="A10" i="17"/>
  <c r="Z9" i="17"/>
  <c r="F9" i="17"/>
  <c r="E9" i="17"/>
  <c r="G9" i="17" s="1"/>
  <c r="D9" i="17"/>
  <c r="C9" i="17"/>
  <c r="B9" i="17"/>
  <c r="A9" i="17"/>
  <c r="Z8" i="17"/>
  <c r="D14" i="15"/>
  <c r="D13" i="15"/>
  <c r="D12" i="15"/>
  <c r="D11" i="15"/>
  <c r="D10" i="15"/>
  <c r="D7" i="15"/>
  <c r="D6" i="15"/>
  <c r="D9" i="15" s="1"/>
  <c r="D18" i="15" s="1"/>
  <c r="D29" i="14"/>
  <c r="D28" i="14"/>
  <c r="D27" i="14"/>
  <c r="D26" i="14"/>
  <c r="D25" i="14"/>
  <c r="D24" i="14"/>
  <c r="D23" i="14"/>
  <c r="D22" i="14"/>
  <c r="D21" i="14"/>
  <c r="D20" i="14"/>
  <c r="D19" i="14"/>
  <c r="D18" i="14"/>
  <c r="D17" i="14"/>
  <c r="D16" i="14"/>
  <c r="D15" i="14"/>
  <c r="D14" i="14"/>
  <c r="D13" i="14"/>
  <c r="D12" i="14"/>
  <c r="D11" i="14"/>
  <c r="D10" i="14"/>
  <c r="D9" i="14"/>
  <c r="D8" i="14"/>
  <c r="D7" i="14"/>
  <c r="D6" i="14"/>
  <c r="D28" i="13"/>
  <c r="D27" i="13"/>
  <c r="D25" i="13"/>
  <c r="D26" i="13" s="1"/>
  <c r="D24" i="13"/>
  <c r="D23" i="13"/>
  <c r="D21" i="13"/>
  <c r="D22" i="13" s="1"/>
  <c r="D20" i="13"/>
  <c r="D19" i="13"/>
  <c r="D18" i="13"/>
  <c r="D17" i="13"/>
  <c r="D15" i="13"/>
  <c r="D13" i="13"/>
  <c r="D14" i="13" s="1"/>
  <c r="D12" i="13"/>
  <c r="D11" i="13"/>
  <c r="D10" i="13"/>
  <c r="M9" i="13"/>
  <c r="L9" i="13"/>
  <c r="K9" i="13"/>
  <c r="J9" i="13"/>
  <c r="I9" i="13"/>
  <c r="D9" i="13"/>
  <c r="D8" i="13"/>
  <c r="D6" i="13"/>
  <c r="D14" i="11"/>
  <c r="D13" i="11"/>
  <c r="M12" i="11"/>
  <c r="L12" i="11"/>
  <c r="K12" i="11"/>
  <c r="J12" i="11"/>
  <c r="I12" i="11"/>
  <c r="D11" i="11"/>
  <c r="M10" i="11"/>
  <c r="L10" i="11"/>
  <c r="K10" i="11"/>
  <c r="J10" i="11"/>
  <c r="I10" i="11"/>
  <c r="D7" i="11"/>
  <c r="H6" i="11"/>
  <c r="G6" i="11"/>
  <c r="F6" i="11"/>
  <c r="E6" i="11"/>
  <c r="D6" i="11"/>
  <c r="H12" i="12"/>
  <c r="H13" i="12" s="1"/>
  <c r="G12" i="12"/>
  <c r="G13" i="12" s="1"/>
  <c r="F12" i="12"/>
  <c r="F13" i="12" s="1"/>
  <c r="E12" i="12"/>
  <c r="E13" i="12" s="1"/>
  <c r="D12" i="12"/>
  <c r="D13" i="12" s="1"/>
  <c r="I11" i="12"/>
  <c r="H11" i="12"/>
  <c r="G11" i="12"/>
  <c r="F11" i="12"/>
  <c r="E11" i="12"/>
  <c r="H10" i="12"/>
  <c r="G10" i="12"/>
  <c r="F10" i="12"/>
  <c r="E10" i="12"/>
  <c r="D10" i="12"/>
  <c r="M9" i="12"/>
  <c r="L9" i="12"/>
  <c r="K9" i="12"/>
  <c r="J9" i="12"/>
  <c r="I9" i="12"/>
  <c r="H9" i="12"/>
  <c r="G9" i="12"/>
  <c r="F9" i="12"/>
  <c r="E9" i="12"/>
  <c r="D9" i="12"/>
  <c r="H8" i="12"/>
  <c r="G8" i="12"/>
  <c r="F8" i="12"/>
  <c r="E8" i="12"/>
  <c r="D8" i="12"/>
  <c r="M7" i="12"/>
  <c r="L7" i="12"/>
  <c r="K7" i="12"/>
  <c r="J7" i="12"/>
  <c r="I7" i="12"/>
  <c r="H7" i="12"/>
  <c r="G7" i="12"/>
  <c r="F7" i="12"/>
  <c r="E7" i="12"/>
  <c r="D7" i="12"/>
  <c r="H6" i="12"/>
  <c r="G6" i="12"/>
  <c r="F6" i="12"/>
  <c r="E6" i="12"/>
  <c r="D6" i="12"/>
  <c r="D14" i="10"/>
  <c r="H13" i="10"/>
  <c r="G13" i="10"/>
  <c r="F13" i="10"/>
  <c r="E13" i="10"/>
  <c r="D13" i="10"/>
  <c r="H12" i="10"/>
  <c r="G12" i="10"/>
  <c r="F12" i="10"/>
  <c r="E12" i="10"/>
  <c r="D12" i="10"/>
  <c r="H11" i="10"/>
  <c r="G11" i="10"/>
  <c r="F11" i="10"/>
  <c r="E11" i="10"/>
  <c r="D11" i="10"/>
  <c r="M10" i="10"/>
  <c r="L10" i="10"/>
  <c r="K10" i="10"/>
  <c r="J10" i="10"/>
  <c r="I10" i="10"/>
  <c r="M9" i="10"/>
  <c r="L9" i="10"/>
  <c r="K9" i="10"/>
  <c r="J9" i="10"/>
  <c r="I9" i="10"/>
  <c r="M8" i="10"/>
  <c r="M16" i="10" s="1"/>
  <c r="L8" i="10"/>
  <c r="L16" i="10" s="1"/>
  <c r="K8" i="10"/>
  <c r="K16" i="10" s="1"/>
  <c r="J8" i="10"/>
  <c r="J16" i="10" s="1"/>
  <c r="I8" i="10"/>
  <c r="I16" i="10" s="1"/>
  <c r="H7" i="10"/>
  <c r="G7" i="10"/>
  <c r="F7" i="10"/>
  <c r="E7" i="10"/>
  <c r="D7" i="10"/>
  <c r="H6" i="10"/>
  <c r="G6" i="10"/>
  <c r="F6" i="10"/>
  <c r="E6" i="10"/>
  <c r="D6" i="10"/>
  <c r="H33" i="9"/>
  <c r="G33" i="9"/>
  <c r="F33" i="9"/>
  <c r="E33" i="9"/>
  <c r="D33" i="9"/>
  <c r="H32" i="9"/>
  <c r="G32" i="9"/>
  <c r="F32" i="9"/>
  <c r="E32" i="9"/>
  <c r="D32" i="9"/>
  <c r="H28" i="9"/>
  <c r="G28" i="9"/>
  <c r="F28" i="9"/>
  <c r="E28" i="9"/>
  <c r="D28" i="9"/>
  <c r="H27" i="9"/>
  <c r="G27" i="9"/>
  <c r="F27" i="9"/>
  <c r="E27" i="9"/>
  <c r="D27" i="9"/>
  <c r="H26" i="9"/>
  <c r="G26" i="9"/>
  <c r="F26" i="9"/>
  <c r="E26" i="9"/>
  <c r="D26" i="9"/>
  <c r="H25" i="9"/>
  <c r="G25" i="9"/>
  <c r="F25" i="9"/>
  <c r="E25" i="9"/>
  <c r="D25" i="9"/>
  <c r="H24" i="9"/>
  <c r="G24" i="9"/>
  <c r="F24" i="9"/>
  <c r="E24" i="9"/>
  <c r="D24" i="9"/>
  <c r="D23" i="9"/>
  <c r="H16" i="9"/>
  <c r="G16" i="9"/>
  <c r="F16" i="9"/>
  <c r="E16" i="9"/>
  <c r="D16" i="9"/>
  <c r="G15" i="9"/>
  <c r="F15" i="9"/>
  <c r="E15" i="9"/>
  <c r="D15" i="9"/>
  <c r="D14" i="9"/>
  <c r="H13" i="9"/>
  <c r="G13" i="9"/>
  <c r="F13" i="9"/>
  <c r="E13" i="9"/>
  <c r="D13" i="9"/>
  <c r="D12" i="9"/>
  <c r="D10" i="11" s="1"/>
  <c r="H11" i="9"/>
  <c r="H12" i="11" s="1"/>
  <c r="G11" i="9"/>
  <c r="G12" i="11" s="1"/>
  <c r="F11" i="9"/>
  <c r="F12" i="11" s="1"/>
  <c r="E11" i="9"/>
  <c r="E12" i="11" s="1"/>
  <c r="D11" i="9"/>
  <c r="D12" i="11" s="1"/>
  <c r="H10" i="9"/>
  <c r="G10" i="9"/>
  <c r="F10" i="9"/>
  <c r="E10" i="9"/>
  <c r="D10" i="9"/>
  <c r="H9" i="9"/>
  <c r="G9" i="9"/>
  <c r="F9" i="9"/>
  <c r="E9" i="9"/>
  <c r="D9" i="9"/>
  <c r="D8" i="9"/>
  <c r="H6" i="9"/>
  <c r="H7" i="9" s="1"/>
  <c r="G6" i="9"/>
  <c r="G7" i="9" s="1"/>
  <c r="F6" i="9"/>
  <c r="F7" i="9" s="1"/>
  <c r="E6" i="9"/>
  <c r="E7" i="9" s="1"/>
  <c r="D6" i="9"/>
  <c r="D87" i="8"/>
  <c r="D86" i="8"/>
  <c r="D85" i="8"/>
  <c r="D84" i="8"/>
  <c r="D83" i="8"/>
  <c r="D82" i="8"/>
  <c r="E52" i="8"/>
  <c r="E51" i="8"/>
  <c r="G37" i="8"/>
  <c r="H37" i="8" s="1"/>
  <c r="F37" i="8"/>
  <c r="E37" i="8"/>
  <c r="D37" i="8"/>
  <c r="F36" i="8"/>
  <c r="G36" i="8" s="1"/>
  <c r="E36" i="8"/>
  <c r="D36" i="8"/>
  <c r="F35" i="8"/>
  <c r="E35" i="8"/>
  <c r="D35" i="8"/>
  <c r="F34" i="8"/>
  <c r="E34" i="8"/>
  <c r="D34" i="8"/>
  <c r="F33" i="8"/>
  <c r="G33" i="8" s="1"/>
  <c r="E33" i="8"/>
  <c r="D33" i="8"/>
  <c r="F32" i="8"/>
  <c r="E32" i="8"/>
  <c r="E38" i="8" s="1"/>
  <c r="D32" i="8"/>
  <c r="D19" i="8"/>
  <c r="D18" i="8"/>
  <c r="E17" i="8"/>
  <c r="D17" i="8"/>
  <c r="E16" i="8"/>
  <c r="D16" i="8"/>
  <c r="E15" i="8"/>
  <c r="D15" i="8"/>
  <c r="F11" i="8"/>
  <c r="E11" i="8"/>
  <c r="E12" i="8" s="1"/>
  <c r="D11" i="8"/>
  <c r="D12" i="8" s="1"/>
  <c r="G10" i="8"/>
  <c r="G8" i="8"/>
  <c r="F8" i="8"/>
  <c r="E8" i="8"/>
  <c r="D8" i="8"/>
  <c r="K7" i="8"/>
  <c r="J7" i="8"/>
  <c r="I7" i="8"/>
  <c r="H7" i="8"/>
  <c r="G7" i="8"/>
  <c r="F7" i="8"/>
  <c r="F18" i="8" s="1"/>
  <c r="E7" i="8"/>
  <c r="D7" i="8"/>
  <c r="J53" i="7"/>
  <c r="L52" i="7"/>
  <c r="K52" i="7"/>
  <c r="J52" i="7"/>
  <c r="L51" i="7"/>
  <c r="K51" i="7"/>
  <c r="J51" i="7"/>
  <c r="L50" i="7"/>
  <c r="K50" i="7"/>
  <c r="J50" i="7"/>
  <c r="L49" i="7"/>
  <c r="J49" i="7"/>
  <c r="I48" i="7"/>
  <c r="H48" i="7"/>
  <c r="G48" i="7"/>
  <c r="F48" i="7"/>
  <c r="E48" i="7"/>
  <c r="D48" i="7"/>
  <c r="K48" i="7" s="1"/>
  <c r="I47" i="7"/>
  <c r="H47" i="7"/>
  <c r="G47" i="7"/>
  <c r="F47" i="7"/>
  <c r="E47" i="7"/>
  <c r="D47" i="7"/>
  <c r="K47" i="7" s="1"/>
  <c r="I46" i="7"/>
  <c r="H46" i="7"/>
  <c r="G46" i="7"/>
  <c r="F46" i="7"/>
  <c r="E46" i="7"/>
  <c r="D46" i="7"/>
  <c r="K46" i="7" s="1"/>
  <c r="K45" i="7"/>
  <c r="K44" i="7"/>
  <c r="K43" i="7"/>
  <c r="J43" i="7"/>
  <c r="I41" i="7"/>
  <c r="H41" i="7"/>
  <c r="D52" i="8" s="1"/>
  <c r="G41" i="7"/>
  <c r="F41" i="7"/>
  <c r="E41" i="7"/>
  <c r="K41" i="7" s="1"/>
  <c r="D78" i="8" s="1"/>
  <c r="D41" i="7"/>
  <c r="I40" i="7"/>
  <c r="H40" i="7"/>
  <c r="D51" i="8" s="1"/>
  <c r="G40" i="7"/>
  <c r="F40" i="7"/>
  <c r="E40" i="7"/>
  <c r="K40" i="7" s="1"/>
  <c r="D77" i="8" s="1"/>
  <c r="D40" i="7"/>
  <c r="I39" i="7"/>
  <c r="H39" i="7"/>
  <c r="D50" i="8" s="1"/>
  <c r="G39" i="7"/>
  <c r="F39" i="7"/>
  <c r="E39" i="7"/>
  <c r="D39" i="7"/>
  <c r="K39" i="7" s="1"/>
  <c r="D76" i="8" s="1"/>
  <c r="I38" i="7"/>
  <c r="H38" i="7"/>
  <c r="D49" i="8" s="1"/>
  <c r="G38" i="7"/>
  <c r="F38" i="7"/>
  <c r="E38" i="7"/>
  <c r="D38" i="7"/>
  <c r="K38" i="7" s="1"/>
  <c r="D75" i="8" s="1"/>
  <c r="I37" i="7"/>
  <c r="H37" i="7"/>
  <c r="D48" i="8" s="1"/>
  <c r="G37" i="7"/>
  <c r="F37" i="7"/>
  <c r="E37" i="7"/>
  <c r="D37" i="7"/>
  <c r="K37" i="7" s="1"/>
  <c r="D74" i="8" s="1"/>
  <c r="I35" i="7"/>
  <c r="H35" i="7"/>
  <c r="G35" i="7"/>
  <c r="F35" i="7"/>
  <c r="E35" i="7"/>
  <c r="D35" i="7"/>
  <c r="K35" i="7" s="1"/>
  <c r="L34" i="7"/>
  <c r="K34" i="7"/>
  <c r="J34" i="7"/>
  <c r="K33" i="7"/>
  <c r="J33" i="7"/>
  <c r="J41" i="7" s="1"/>
  <c r="K32" i="7"/>
  <c r="J32" i="7"/>
  <c r="J40" i="7" s="1"/>
  <c r="K31" i="7"/>
  <c r="J31" i="7"/>
  <c r="K30" i="7"/>
  <c r="J30" i="7"/>
  <c r="K29" i="7"/>
  <c r="J29" i="7"/>
  <c r="J35" i="7" s="1"/>
  <c r="L27" i="7"/>
  <c r="J27" i="7"/>
  <c r="J26" i="7"/>
  <c r="I26" i="7"/>
  <c r="H26" i="7"/>
  <c r="G26" i="7"/>
  <c r="F26" i="7"/>
  <c r="E26" i="7"/>
  <c r="D26" i="7"/>
  <c r="K26" i="7" s="1"/>
  <c r="J25" i="7"/>
  <c r="I25" i="7"/>
  <c r="H25" i="7"/>
  <c r="G25" i="7"/>
  <c r="F25" i="7"/>
  <c r="E25" i="7"/>
  <c r="D25" i="7"/>
  <c r="K25" i="7" s="1"/>
  <c r="I24" i="7"/>
  <c r="H24" i="7"/>
  <c r="G24" i="7"/>
  <c r="F24" i="7"/>
  <c r="E24" i="7"/>
  <c r="D24" i="7"/>
  <c r="K24" i="7" s="1"/>
  <c r="I23" i="7"/>
  <c r="H23" i="7"/>
  <c r="G23" i="7"/>
  <c r="F23" i="7"/>
  <c r="E23" i="7"/>
  <c r="D23" i="7"/>
  <c r="K23" i="7" s="1"/>
  <c r="I22" i="7"/>
  <c r="H22" i="7"/>
  <c r="G22" i="7"/>
  <c r="F22" i="7"/>
  <c r="E22" i="7"/>
  <c r="D22" i="7"/>
  <c r="K22" i="7" s="1"/>
  <c r="I19" i="7"/>
  <c r="H19" i="7"/>
  <c r="G19" i="7"/>
  <c r="F19" i="7"/>
  <c r="E19" i="7"/>
  <c r="D19" i="7"/>
  <c r="K17" i="7"/>
  <c r="K16" i="7"/>
  <c r="K15" i="7"/>
  <c r="K14" i="7"/>
  <c r="K13" i="7"/>
  <c r="I11" i="7"/>
  <c r="H11" i="7"/>
  <c r="G11" i="7"/>
  <c r="F11" i="7"/>
  <c r="E11" i="7"/>
  <c r="D11" i="7"/>
  <c r="K11" i="7" s="1"/>
  <c r="K10" i="7"/>
  <c r="J10" i="7"/>
  <c r="J11" i="7" s="1"/>
  <c r="L9" i="7"/>
  <c r="H9" i="7"/>
  <c r="J8" i="7"/>
  <c r="H8" i="7"/>
  <c r="G8" i="7"/>
  <c r="F8" i="7"/>
  <c r="E8" i="7"/>
  <c r="K8" i="7" s="1"/>
  <c r="L7" i="7"/>
  <c r="K7" i="7"/>
  <c r="J7" i="7"/>
  <c r="L6" i="7"/>
  <c r="K6" i="7"/>
  <c r="J6" i="7"/>
  <c r="J29" i="6"/>
  <c r="I29" i="6"/>
  <c r="H29" i="6"/>
  <c r="G29" i="6"/>
  <c r="F29" i="6"/>
  <c r="E29" i="6"/>
  <c r="D29" i="6"/>
  <c r="D28" i="6"/>
  <c r="J27" i="6"/>
  <c r="I27" i="6"/>
  <c r="H27" i="6"/>
  <c r="G27" i="6"/>
  <c r="F27" i="6"/>
  <c r="E27" i="6"/>
  <c r="D27" i="6"/>
  <c r="J26" i="6"/>
  <c r="I26" i="6"/>
  <c r="H26" i="6"/>
  <c r="G26" i="6"/>
  <c r="F26" i="6"/>
  <c r="E26" i="6"/>
  <c r="D26" i="6"/>
  <c r="J23" i="6"/>
  <c r="I23" i="6"/>
  <c r="H23" i="6"/>
  <c r="G23" i="6"/>
  <c r="F23" i="6"/>
  <c r="E23" i="6"/>
  <c r="D23" i="6"/>
  <c r="J22" i="6"/>
  <c r="I22" i="6"/>
  <c r="H22" i="6"/>
  <c r="G22" i="6"/>
  <c r="F22" i="6"/>
  <c r="E22" i="6"/>
  <c r="D22" i="6"/>
  <c r="J21" i="6"/>
  <c r="J24" i="6" s="1"/>
  <c r="I21" i="6"/>
  <c r="I24" i="6" s="1"/>
  <c r="H21" i="6"/>
  <c r="G21" i="6"/>
  <c r="F21" i="6"/>
  <c r="E21" i="6"/>
  <c r="D21" i="6"/>
  <c r="D19" i="6"/>
  <c r="J18" i="6"/>
  <c r="I18" i="6"/>
  <c r="G18" i="6"/>
  <c r="F18" i="6"/>
  <c r="E18" i="6"/>
  <c r="D18" i="6"/>
  <c r="J17" i="6"/>
  <c r="I17" i="6"/>
  <c r="H17" i="6"/>
  <c r="G17" i="6"/>
  <c r="F17" i="6"/>
  <c r="E17" i="6"/>
  <c r="D17" i="6"/>
  <c r="D16" i="6"/>
  <c r="D15" i="6"/>
  <c r="D14" i="6"/>
  <c r="D12" i="6"/>
  <c r="D11" i="6"/>
  <c r="D10" i="6"/>
  <c r="D9" i="6"/>
  <c r="D8" i="6"/>
  <c r="N7" i="6"/>
  <c r="D7" i="6"/>
  <c r="D6" i="6"/>
  <c r="E68" i="5"/>
  <c r="D68" i="5"/>
  <c r="E67" i="5"/>
  <c r="F67" i="5" s="1"/>
  <c r="D67" i="5"/>
  <c r="E66" i="5"/>
  <c r="D66" i="5"/>
  <c r="D75" i="5" s="1"/>
  <c r="E65" i="5"/>
  <c r="F65" i="5" s="1"/>
  <c r="D65" i="5"/>
  <c r="E64" i="5"/>
  <c r="F64" i="5" s="1"/>
  <c r="D64" i="5"/>
  <c r="E63" i="5"/>
  <c r="F63" i="5" s="1"/>
  <c r="D63" i="5"/>
  <c r="E62" i="5"/>
  <c r="F62" i="5" s="1"/>
  <c r="D62" i="5"/>
  <c r="E61" i="5"/>
  <c r="F61" i="5" s="1"/>
  <c r="D61" i="5"/>
  <c r="E60" i="5"/>
  <c r="F60" i="5" s="1"/>
  <c r="D60" i="5"/>
  <c r="E59" i="5"/>
  <c r="F59" i="5" s="1"/>
  <c r="D59" i="5"/>
  <c r="E58" i="5"/>
  <c r="D58" i="5"/>
  <c r="D70" i="5" s="1"/>
  <c r="E57" i="5"/>
  <c r="F57" i="5" s="1"/>
  <c r="D57" i="5"/>
  <c r="E56" i="5"/>
  <c r="F56" i="5" s="1"/>
  <c r="D56" i="5"/>
  <c r="E55" i="5"/>
  <c r="F55" i="5" s="1"/>
  <c r="D55" i="5"/>
  <c r="E54" i="5"/>
  <c r="F54" i="5" s="1"/>
  <c r="D54" i="5"/>
  <c r="E49" i="5"/>
  <c r="D49" i="5"/>
  <c r="E48" i="5"/>
  <c r="D48" i="5"/>
  <c r="E47" i="5"/>
  <c r="D47" i="5"/>
  <c r="E46" i="5"/>
  <c r="D46" i="5"/>
  <c r="E45" i="5"/>
  <c r="D45" i="5"/>
  <c r="E44" i="5"/>
  <c r="D44" i="5"/>
  <c r="E43" i="5"/>
  <c r="D43" i="5"/>
  <c r="E42" i="5"/>
  <c r="D42" i="5"/>
  <c r="E41" i="5"/>
  <c r="D41" i="5"/>
  <c r="E40" i="5"/>
  <c r="D40" i="5"/>
  <c r="D50" i="5" s="1"/>
  <c r="D51" i="5" s="1"/>
  <c r="E39" i="5"/>
  <c r="D39" i="5"/>
  <c r="E38" i="5"/>
  <c r="D38" i="5"/>
  <c r="E37" i="5"/>
  <c r="D37" i="5"/>
  <c r="E36" i="5"/>
  <c r="D36" i="5"/>
  <c r="E35" i="5"/>
  <c r="D35" i="5"/>
  <c r="E34" i="5"/>
  <c r="D34" i="5"/>
  <c r="E33" i="5"/>
  <c r="D33" i="5"/>
  <c r="E32" i="5"/>
  <c r="D32" i="5"/>
  <c r="E31" i="5"/>
  <c r="D31" i="5"/>
  <c r="D52" i="5" s="1"/>
  <c r="E30" i="5"/>
  <c r="D30" i="5"/>
  <c r="E29" i="5"/>
  <c r="D29" i="5"/>
  <c r="I12" i="6" s="1"/>
  <c r="E26" i="5"/>
  <c r="D26" i="5"/>
  <c r="E25" i="5"/>
  <c r="F25" i="5" s="1"/>
  <c r="D25" i="5"/>
  <c r="E24" i="5"/>
  <c r="F24" i="5" s="1"/>
  <c r="D24" i="5"/>
  <c r="E23" i="5"/>
  <c r="F23" i="5" s="1"/>
  <c r="D23" i="5"/>
  <c r="E22" i="5"/>
  <c r="F22" i="5" s="1"/>
  <c r="D22" i="5"/>
  <c r="E21" i="5"/>
  <c r="F21" i="5" s="1"/>
  <c r="D21" i="5"/>
  <c r="E20" i="5"/>
  <c r="F20" i="5" s="1"/>
  <c r="D20" i="5"/>
  <c r="E19" i="5"/>
  <c r="F19" i="5" s="1"/>
  <c r="D19" i="5"/>
  <c r="E17" i="5"/>
  <c r="D17" i="5"/>
  <c r="E15" i="5"/>
  <c r="F15" i="5" s="1"/>
  <c r="D15" i="5"/>
  <c r="E14" i="5"/>
  <c r="D14" i="5"/>
  <c r="D16" i="5" s="1"/>
  <c r="E13" i="5"/>
  <c r="D13" i="5"/>
  <c r="I10" i="6" s="1"/>
  <c r="E12" i="5"/>
  <c r="F12" i="5" s="1"/>
  <c r="D12" i="5"/>
  <c r="E11" i="5"/>
  <c r="F11" i="5" s="1"/>
  <c r="D11" i="5"/>
  <c r="E9" i="5"/>
  <c r="D9" i="5"/>
  <c r="D10" i="5" s="1"/>
  <c r="I14" i="6" s="1"/>
  <c r="E8" i="5"/>
  <c r="F8" i="5" s="1"/>
  <c r="D8" i="5"/>
  <c r="E7" i="5"/>
  <c r="D7" i="5"/>
  <c r="E6" i="5"/>
  <c r="F6" i="5" s="1"/>
  <c r="D6" i="5"/>
  <c r="H68" i="4"/>
  <c r="G68" i="4"/>
  <c r="F68" i="4"/>
  <c r="E68" i="4"/>
  <c r="H67" i="4"/>
  <c r="G67" i="5" s="1"/>
  <c r="G67" i="4"/>
  <c r="F67" i="4"/>
  <c r="E67" i="4"/>
  <c r="H66" i="4"/>
  <c r="H75" i="4" s="1"/>
  <c r="G66" i="4"/>
  <c r="G75" i="4" s="1"/>
  <c r="F66" i="4"/>
  <c r="F75" i="4" s="1"/>
  <c r="E66" i="4"/>
  <c r="E75" i="4" s="1"/>
  <c r="H65" i="4"/>
  <c r="G65" i="5" s="1"/>
  <c r="G65" i="4"/>
  <c r="F65" i="4"/>
  <c r="E65" i="4"/>
  <c r="H64" i="4"/>
  <c r="G64" i="4"/>
  <c r="G14" i="15" s="1"/>
  <c r="F64" i="4"/>
  <c r="F14" i="15" s="1"/>
  <c r="E64" i="4"/>
  <c r="E14" i="15" s="1"/>
  <c r="H63" i="4"/>
  <c r="G63" i="4"/>
  <c r="G13" i="15" s="1"/>
  <c r="F63" i="4"/>
  <c r="F13" i="15" s="1"/>
  <c r="E63" i="4"/>
  <c r="E13" i="15" s="1"/>
  <c r="H62" i="4"/>
  <c r="G62" i="5" s="1"/>
  <c r="G62" i="4"/>
  <c r="F62" i="4"/>
  <c r="E62" i="4"/>
  <c r="H61" i="4"/>
  <c r="G61" i="5" s="1"/>
  <c r="G61" i="4"/>
  <c r="F61" i="4"/>
  <c r="E61" i="4"/>
  <c r="H60" i="4"/>
  <c r="G60" i="4"/>
  <c r="G11" i="15" s="1"/>
  <c r="F60" i="4"/>
  <c r="F11" i="15" s="1"/>
  <c r="E60" i="4"/>
  <c r="E11" i="15" s="1"/>
  <c r="H59" i="4"/>
  <c r="G59" i="4"/>
  <c r="G10" i="15" s="1"/>
  <c r="F59" i="4"/>
  <c r="F10" i="15" s="1"/>
  <c r="E59" i="4"/>
  <c r="E10" i="15" s="1"/>
  <c r="H58" i="4"/>
  <c r="G58" i="5" s="1"/>
  <c r="G58" i="4"/>
  <c r="F58" i="4"/>
  <c r="E58" i="4"/>
  <c r="H57" i="4"/>
  <c r="G57" i="5" s="1"/>
  <c r="G57" i="4"/>
  <c r="F57" i="4"/>
  <c r="E57" i="4"/>
  <c r="H56" i="4"/>
  <c r="G56" i="5" s="1"/>
  <c r="G56" i="4"/>
  <c r="F56" i="4"/>
  <c r="E56" i="4"/>
  <c r="H55" i="4"/>
  <c r="G55" i="4"/>
  <c r="F55" i="4"/>
  <c r="E55" i="4"/>
  <c r="H54" i="4"/>
  <c r="G54" i="5" s="1"/>
  <c r="G54" i="4"/>
  <c r="F54" i="4"/>
  <c r="E54" i="4"/>
  <c r="H49" i="4"/>
  <c r="H27" i="14" s="1"/>
  <c r="G49" i="4"/>
  <c r="G27" i="14" s="1"/>
  <c r="F49" i="4"/>
  <c r="F27" i="14" s="1"/>
  <c r="E49" i="4"/>
  <c r="E27" i="14" s="1"/>
  <c r="H48" i="4"/>
  <c r="G48" i="4"/>
  <c r="F48" i="4"/>
  <c r="E48" i="4"/>
  <c r="H47" i="4"/>
  <c r="H25" i="14" s="1"/>
  <c r="G47" i="4"/>
  <c r="G25" i="14" s="1"/>
  <c r="F47" i="4"/>
  <c r="F25" i="14" s="1"/>
  <c r="E47" i="4"/>
  <c r="E25" i="14" s="1"/>
  <c r="H46" i="4"/>
  <c r="H23" i="14" s="1"/>
  <c r="G46" i="4"/>
  <c r="G23" i="14" s="1"/>
  <c r="F46" i="4"/>
  <c r="F23" i="14" s="1"/>
  <c r="E46" i="4"/>
  <c r="E23" i="14" s="1"/>
  <c r="H45" i="4"/>
  <c r="G45" i="4"/>
  <c r="G22" i="14" s="1"/>
  <c r="F45" i="4"/>
  <c r="F22" i="14" s="1"/>
  <c r="E45" i="4"/>
  <c r="E22" i="14" s="1"/>
  <c r="H44" i="4"/>
  <c r="H21" i="14" s="1"/>
  <c r="G44" i="4"/>
  <c r="G21" i="14" s="1"/>
  <c r="F44" i="4"/>
  <c r="F21" i="14" s="1"/>
  <c r="E44" i="4"/>
  <c r="E21" i="14" s="1"/>
  <c r="H43" i="4"/>
  <c r="H20" i="14" s="1"/>
  <c r="G43" i="4"/>
  <c r="G20" i="14" s="1"/>
  <c r="F43" i="4"/>
  <c r="F20" i="14" s="1"/>
  <c r="E43" i="4"/>
  <c r="E20" i="14" s="1"/>
  <c r="H42" i="4"/>
  <c r="G42" i="4"/>
  <c r="F42" i="4"/>
  <c r="E42" i="4"/>
  <c r="H41" i="4"/>
  <c r="H19" i="14" s="1"/>
  <c r="G41" i="4"/>
  <c r="G19" i="14" s="1"/>
  <c r="F41" i="4"/>
  <c r="F19" i="14" s="1"/>
  <c r="E41" i="4"/>
  <c r="E19" i="14" s="1"/>
  <c r="H40" i="4"/>
  <c r="H50" i="4" s="1"/>
  <c r="G40" i="4"/>
  <c r="G50" i="4" s="1"/>
  <c r="F40" i="4"/>
  <c r="F50" i="4" s="1"/>
  <c r="E40" i="4"/>
  <c r="E50" i="4" s="1"/>
  <c r="H39" i="4"/>
  <c r="H17" i="14" s="1"/>
  <c r="G39" i="4"/>
  <c r="G17" i="14" s="1"/>
  <c r="F39" i="4"/>
  <c r="F17" i="14" s="1"/>
  <c r="E39" i="4"/>
  <c r="E17" i="14" s="1"/>
  <c r="H38" i="4"/>
  <c r="G38" i="4"/>
  <c r="F38" i="4"/>
  <c r="E38" i="4"/>
  <c r="H37" i="4"/>
  <c r="H15" i="14" s="1"/>
  <c r="G37" i="4"/>
  <c r="G15" i="14" s="1"/>
  <c r="F37" i="4"/>
  <c r="F15" i="14" s="1"/>
  <c r="E37" i="4"/>
  <c r="E15" i="14" s="1"/>
  <c r="H36" i="4"/>
  <c r="H14" i="14" s="1"/>
  <c r="G36" i="4"/>
  <c r="G14" i="14" s="1"/>
  <c r="F36" i="4"/>
  <c r="F14" i="14" s="1"/>
  <c r="E36" i="4"/>
  <c r="E14" i="14" s="1"/>
  <c r="H35" i="4"/>
  <c r="H13" i="14" s="1"/>
  <c r="G35" i="4"/>
  <c r="G13" i="14" s="1"/>
  <c r="F35" i="4"/>
  <c r="F13" i="14" s="1"/>
  <c r="E35" i="4"/>
  <c r="E13" i="14" s="1"/>
  <c r="H34" i="4"/>
  <c r="H12" i="14" s="1"/>
  <c r="G34" i="4"/>
  <c r="G12" i="14" s="1"/>
  <c r="F34" i="4"/>
  <c r="F12" i="14" s="1"/>
  <c r="E34" i="4"/>
  <c r="E12" i="14" s="1"/>
  <c r="H33" i="4"/>
  <c r="H11" i="14" s="1"/>
  <c r="G33" i="4"/>
  <c r="G11" i="14" s="1"/>
  <c r="F33" i="4"/>
  <c r="F11" i="14" s="1"/>
  <c r="E33" i="4"/>
  <c r="E11" i="14" s="1"/>
  <c r="H32" i="4"/>
  <c r="H10" i="14" s="1"/>
  <c r="G32" i="4"/>
  <c r="G10" i="14" s="1"/>
  <c r="F32" i="4"/>
  <c r="F10" i="14" s="1"/>
  <c r="E32" i="4"/>
  <c r="E10" i="14" s="1"/>
  <c r="H31" i="4"/>
  <c r="G31" i="4"/>
  <c r="F31" i="4"/>
  <c r="E31" i="4"/>
  <c r="H30" i="4"/>
  <c r="H8" i="14" s="1"/>
  <c r="G30" i="4"/>
  <c r="G8" i="14" s="1"/>
  <c r="F30" i="4"/>
  <c r="F8" i="14" s="1"/>
  <c r="E30" i="4"/>
  <c r="E8" i="14" s="1"/>
  <c r="H29" i="4"/>
  <c r="G29" i="4"/>
  <c r="F29" i="4"/>
  <c r="E29" i="4"/>
  <c r="H26" i="4"/>
  <c r="G26" i="4"/>
  <c r="F26" i="4"/>
  <c r="E26" i="4"/>
  <c r="H25" i="4"/>
  <c r="G25" i="4"/>
  <c r="G24" i="13" s="1"/>
  <c r="F25" i="4"/>
  <c r="F24" i="13" s="1"/>
  <c r="E25" i="4"/>
  <c r="E24" i="13" s="1"/>
  <c r="G24" i="4"/>
  <c r="F24" i="4"/>
  <c r="E24" i="4"/>
  <c r="H22" i="4"/>
  <c r="G22" i="5" s="1"/>
  <c r="G22" i="4"/>
  <c r="F22" i="4"/>
  <c r="E22" i="4"/>
  <c r="H21" i="4"/>
  <c r="G21" i="4"/>
  <c r="G23" i="4" s="1"/>
  <c r="F21" i="4"/>
  <c r="F23" i="4" s="1"/>
  <c r="E21" i="4"/>
  <c r="E23" i="4" s="1"/>
  <c r="H20" i="4"/>
  <c r="G20" i="4"/>
  <c r="G20" i="13" s="1"/>
  <c r="F20" i="4"/>
  <c r="F20" i="13" s="1"/>
  <c r="E20" i="4"/>
  <c r="E20" i="13" s="1"/>
  <c r="H19" i="4"/>
  <c r="G19" i="4"/>
  <c r="G19" i="13" s="1"/>
  <c r="F19" i="4"/>
  <c r="F19" i="13" s="1"/>
  <c r="E19" i="4"/>
  <c r="E19" i="13" s="1"/>
  <c r="H17" i="4"/>
  <c r="G17" i="4"/>
  <c r="F17" i="4"/>
  <c r="E17" i="4"/>
  <c r="H15" i="4"/>
  <c r="G15" i="4"/>
  <c r="G13" i="13" s="1"/>
  <c r="F15" i="4"/>
  <c r="F13" i="13" s="1"/>
  <c r="E15" i="4"/>
  <c r="E13" i="13" s="1"/>
  <c r="H14" i="4"/>
  <c r="G14" i="4"/>
  <c r="F14" i="4"/>
  <c r="E14" i="4"/>
  <c r="H13" i="4"/>
  <c r="G13" i="4"/>
  <c r="F13" i="4"/>
  <c r="E13" i="4"/>
  <c r="H12" i="4"/>
  <c r="G12" i="5" s="1"/>
  <c r="G12" i="4"/>
  <c r="F12" i="4"/>
  <c r="E12" i="4"/>
  <c r="H11" i="4"/>
  <c r="G11" i="4"/>
  <c r="F11" i="4"/>
  <c r="E11" i="4"/>
  <c r="H9" i="4"/>
  <c r="G9" i="4"/>
  <c r="F9" i="4"/>
  <c r="E9" i="4"/>
  <c r="H8" i="4"/>
  <c r="G8" i="4"/>
  <c r="G10" i="13" s="1"/>
  <c r="F8" i="4"/>
  <c r="F10" i="13" s="1"/>
  <c r="E8" i="4"/>
  <c r="E10" i="13" s="1"/>
  <c r="H7" i="4"/>
  <c r="G7" i="4"/>
  <c r="F7" i="4"/>
  <c r="E7" i="4"/>
  <c r="H6" i="4"/>
  <c r="G6" i="5" s="1"/>
  <c r="G6" i="4"/>
  <c r="F6" i="4"/>
  <c r="E6" i="4"/>
  <c r="AE9" i="37" l="1"/>
  <c r="U9" i="37"/>
  <c r="AA9" i="37"/>
  <c r="R12" i="17" s="1"/>
  <c r="Y12" i="17" s="1"/>
  <c r="V9" i="37"/>
  <c r="L9" i="37"/>
  <c r="T9" i="37"/>
  <c r="S9" i="37"/>
  <c r="R9" i="37"/>
  <c r="Q9" i="37"/>
  <c r="P9" i="37"/>
  <c r="O9" i="37"/>
  <c r="K9" i="37"/>
  <c r="H12" i="17" s="1"/>
  <c r="W9" i="37"/>
  <c r="AE8" i="37"/>
  <c r="S8" i="37"/>
  <c r="Q8" i="37"/>
  <c r="L8" i="37"/>
  <c r="W8" i="37"/>
  <c r="AA8" i="37"/>
  <c r="R11" i="17" s="1"/>
  <c r="Y11" i="17" s="1"/>
  <c r="U8" i="37"/>
  <c r="T8" i="37"/>
  <c r="R8" i="37"/>
  <c r="P8" i="37"/>
  <c r="K8" i="37"/>
  <c r="H11" i="17" s="1"/>
  <c r="V8" i="37"/>
  <c r="O8" i="37"/>
  <c r="AE7" i="37"/>
  <c r="R7" i="37"/>
  <c r="P7" i="37"/>
  <c r="K7" i="37"/>
  <c r="H10" i="17" s="1"/>
  <c r="O7" i="37"/>
  <c r="Q7" i="37"/>
  <c r="S7" i="37"/>
  <c r="W7" i="37"/>
  <c r="AA7" i="37"/>
  <c r="R10" i="17" s="1"/>
  <c r="Y10" i="17" s="1"/>
  <c r="L7" i="37"/>
  <c r="V7" i="37"/>
  <c r="U7" i="37"/>
  <c r="T7" i="37"/>
  <c r="AE6" i="37"/>
  <c r="AA6" i="37"/>
  <c r="R9" i="17" s="1"/>
  <c r="Y9" i="17" s="1"/>
  <c r="V6" i="37"/>
  <c r="U6" i="37"/>
  <c r="S6" i="37"/>
  <c r="R6" i="37"/>
  <c r="P6" i="37"/>
  <c r="L6" i="37"/>
  <c r="K6" i="37"/>
  <c r="H9" i="17" s="1"/>
  <c r="O6" i="37"/>
  <c r="Q6" i="37"/>
  <c r="T6" i="37"/>
  <c r="W6" i="37"/>
  <c r="D8" i="21"/>
  <c r="E8" i="21"/>
  <c r="F8" i="21"/>
  <c r="D8" i="23"/>
  <c r="E8" i="23"/>
  <c r="D19" i="24" s="1"/>
  <c r="F8" i="23"/>
  <c r="J5" i="37"/>
  <c r="E8" i="17"/>
  <c r="U5" i="37"/>
  <c r="S5" i="37"/>
  <c r="P5" i="37"/>
  <c r="A8" i="17"/>
  <c r="A20" i="17" s="1"/>
  <c r="AA5" i="37"/>
  <c r="R8" i="17" s="1"/>
  <c r="W5" i="37"/>
  <c r="V5" i="37"/>
  <c r="T5" i="37"/>
  <c r="R5" i="37"/>
  <c r="Q5" i="37"/>
  <c r="O5" i="37"/>
  <c r="M144" i="25"/>
  <c r="N144" i="25"/>
  <c r="O144" i="25"/>
  <c r="L144" i="25"/>
  <c r="P143" i="25"/>
  <c r="I144" i="25"/>
  <c r="P144" i="25" s="1"/>
  <c r="J144" i="25"/>
  <c r="K144" i="25"/>
  <c r="D131" i="25"/>
  <c r="P131" i="25" s="1"/>
  <c r="P128" i="25"/>
  <c r="P127" i="25"/>
  <c r="D130" i="25"/>
  <c r="P130" i="25" s="1"/>
  <c r="P126" i="25"/>
  <c r="D129" i="25"/>
  <c r="A41" i="24"/>
  <c r="A40" i="24"/>
  <c r="A39" i="24"/>
  <c r="A38" i="24"/>
  <c r="A42" i="24"/>
  <c r="A52" i="24"/>
  <c r="A51" i="24"/>
  <c r="A50" i="24"/>
  <c r="A49" i="24"/>
  <c r="E20" i="23"/>
  <c r="A53" i="24"/>
  <c r="D28" i="24"/>
  <c r="E19" i="23"/>
  <c r="B70" i="23" s="1"/>
  <c r="E70" i="23" s="1"/>
  <c r="F16" i="23"/>
  <c r="F31" i="23" s="1"/>
  <c r="A60" i="24"/>
  <c r="E16" i="23"/>
  <c r="E31" i="23" s="1"/>
  <c r="A61" i="24"/>
  <c r="A62" i="24"/>
  <c r="A64" i="24"/>
  <c r="D16" i="23"/>
  <c r="D31" i="23" s="1"/>
  <c r="A63" i="24"/>
  <c r="F15" i="20"/>
  <c r="F17" i="20" s="1"/>
  <c r="E17" i="20"/>
  <c r="E33" i="20"/>
  <c r="C14" i="19"/>
  <c r="E10" i="20" s="1"/>
  <c r="D48" i="20"/>
  <c r="E48" i="20"/>
  <c r="F48" i="20"/>
  <c r="D17" i="15"/>
  <c r="D19" i="15" s="1"/>
  <c r="D9" i="16" s="1"/>
  <c r="D12" i="16" s="1"/>
  <c r="E16" i="15"/>
  <c r="D16" i="13"/>
  <c r="D20" i="15"/>
  <c r="D21" i="15" s="1"/>
  <c r="D15" i="11"/>
  <c r="D8" i="11"/>
  <c r="E9" i="11"/>
  <c r="D9" i="11"/>
  <c r="I37" i="8"/>
  <c r="E87" i="8"/>
  <c r="H36" i="8"/>
  <c r="L33" i="7"/>
  <c r="H45" i="8"/>
  <c r="G45" i="8"/>
  <c r="F45" i="8"/>
  <c r="E45" i="8"/>
  <c r="G35" i="8"/>
  <c r="E44" i="8"/>
  <c r="G44" i="8"/>
  <c r="F44" i="8"/>
  <c r="N65" i="25"/>
  <c r="O66" i="25" s="1"/>
  <c r="G43" i="8"/>
  <c r="J65" i="25"/>
  <c r="K66" i="25" s="1"/>
  <c r="G34" i="8"/>
  <c r="G65" i="25" s="1"/>
  <c r="F65" i="25"/>
  <c r="L65" i="25"/>
  <c r="E65" i="25"/>
  <c r="F66" i="25" s="1"/>
  <c r="D65" i="25"/>
  <c r="E66" i="25" s="1"/>
  <c r="F43" i="8"/>
  <c r="M65" i="25"/>
  <c r="I65" i="25"/>
  <c r="O65" i="25"/>
  <c r="D66" i="25"/>
  <c r="H65" i="25"/>
  <c r="I66" i="25" s="1"/>
  <c r="E43" i="8"/>
  <c r="E50" i="8" s="1"/>
  <c r="K65" i="25"/>
  <c r="L66" i="25" s="1"/>
  <c r="H33" i="8"/>
  <c r="H42" i="8" s="1"/>
  <c r="L30" i="7"/>
  <c r="G42" i="8"/>
  <c r="F42" i="8"/>
  <c r="E42" i="8"/>
  <c r="E49" i="8" s="1"/>
  <c r="G32" i="8"/>
  <c r="F38" i="8"/>
  <c r="D38" i="8"/>
  <c r="G41" i="8"/>
  <c r="F41" i="8"/>
  <c r="E41" i="8"/>
  <c r="E48" i="8" s="1"/>
  <c r="G19" i="8"/>
  <c r="D28" i="8"/>
  <c r="F19" i="8"/>
  <c r="D45" i="8"/>
  <c r="D27" i="8"/>
  <c r="D44" i="8"/>
  <c r="G18" i="8"/>
  <c r="D26" i="8"/>
  <c r="D43" i="8"/>
  <c r="D42" i="8"/>
  <c r="D25" i="8"/>
  <c r="D24" i="8"/>
  <c r="D41" i="8"/>
  <c r="C11" i="25"/>
  <c r="D32" i="25"/>
  <c r="C84" i="25"/>
  <c r="F12" i="8"/>
  <c r="G17" i="8"/>
  <c r="G65" i="8"/>
  <c r="G15" i="8"/>
  <c r="G20" i="8" s="1"/>
  <c r="G21" i="8" s="1"/>
  <c r="G64" i="8" s="1"/>
  <c r="G16" i="8"/>
  <c r="G68" i="8"/>
  <c r="I6" i="9"/>
  <c r="G9" i="8"/>
  <c r="G11" i="8"/>
  <c r="F15" i="8"/>
  <c r="C6" i="25"/>
  <c r="F10" i="8"/>
  <c r="F9" i="8"/>
  <c r="K37" i="21"/>
  <c r="C8" i="25"/>
  <c r="D28" i="25"/>
  <c r="F16" i="8"/>
  <c r="F21" i="8" s="1"/>
  <c r="F64" i="8" s="1"/>
  <c r="F17" i="8"/>
  <c r="C79" i="25"/>
  <c r="C81" i="25"/>
  <c r="F20" i="8"/>
  <c r="D21" i="8"/>
  <c r="D64" i="8" s="1"/>
  <c r="D9" i="8"/>
  <c r="F27" i="8"/>
  <c r="F51" i="8"/>
  <c r="C85" i="25"/>
  <c r="D33" i="25"/>
  <c r="H142" i="25"/>
  <c r="C12" i="25"/>
  <c r="C83" i="25"/>
  <c r="D31" i="25"/>
  <c r="C10" i="25"/>
  <c r="E20" i="8"/>
  <c r="E21" i="8" s="1"/>
  <c r="E64" i="8" s="1"/>
  <c r="I20" i="7"/>
  <c r="I27" i="7"/>
  <c r="H20" i="7"/>
  <c r="G8" i="40"/>
  <c r="H27" i="7"/>
  <c r="D20" i="8"/>
  <c r="G7" i="40"/>
  <c r="G27" i="7"/>
  <c r="G20" i="7"/>
  <c r="G6" i="40"/>
  <c r="F20" i="7"/>
  <c r="F27" i="7"/>
  <c r="G5" i="40"/>
  <c r="E20" i="7"/>
  <c r="E27" i="7"/>
  <c r="G4" i="40"/>
  <c r="K19" i="7"/>
  <c r="D27" i="7"/>
  <c r="K27" i="7" s="1"/>
  <c r="D20" i="7"/>
  <c r="K20" i="7" s="1"/>
  <c r="K9" i="7"/>
  <c r="H24" i="4"/>
  <c r="L8" i="7"/>
  <c r="J14" i="7"/>
  <c r="J13" i="7"/>
  <c r="J15" i="7"/>
  <c r="J19" i="7" s="1"/>
  <c r="H10" i="10"/>
  <c r="H22" i="9"/>
  <c r="G10" i="10"/>
  <c r="G22" i="9"/>
  <c r="F22" i="9"/>
  <c r="F10" i="10"/>
  <c r="E10" i="10"/>
  <c r="E22" i="9"/>
  <c r="D10" i="10"/>
  <c r="D22" i="9"/>
  <c r="H9" i="10"/>
  <c r="H21" i="9"/>
  <c r="G21" i="9"/>
  <c r="G9" i="10"/>
  <c r="F9" i="10"/>
  <c r="F21" i="9"/>
  <c r="E9" i="10"/>
  <c r="E21" i="9"/>
  <c r="D9" i="10"/>
  <c r="D21" i="9"/>
  <c r="H20" i="9"/>
  <c r="H24" i="6"/>
  <c r="H8" i="10"/>
  <c r="H16" i="10" s="1"/>
  <c r="G8" i="10"/>
  <c r="G16" i="10" s="1"/>
  <c r="G24" i="6"/>
  <c r="G20" i="9"/>
  <c r="F8" i="10"/>
  <c r="F16" i="10" s="1"/>
  <c r="F20" i="9"/>
  <c r="F24" i="6"/>
  <c r="E24" i="6"/>
  <c r="E8" i="10"/>
  <c r="E16" i="10" s="1"/>
  <c r="E20" i="9"/>
  <c r="D20" i="9"/>
  <c r="D8" i="10"/>
  <c r="D16" i="10" s="1"/>
  <c r="D24" i="6"/>
  <c r="F68" i="5"/>
  <c r="G68" i="5"/>
  <c r="F66" i="5"/>
  <c r="G66" i="5"/>
  <c r="E75" i="5"/>
  <c r="E70" i="5"/>
  <c r="F70" i="5" s="1"/>
  <c r="F58" i="5"/>
  <c r="G49" i="5"/>
  <c r="F49" i="5"/>
  <c r="F48" i="5"/>
  <c r="G48" i="5"/>
  <c r="G47" i="5"/>
  <c r="F47" i="5"/>
  <c r="F46" i="5"/>
  <c r="G46" i="5"/>
  <c r="G45" i="5"/>
  <c r="F45" i="5"/>
  <c r="G44" i="5"/>
  <c r="F44" i="5"/>
  <c r="F43" i="5"/>
  <c r="G43" i="5"/>
  <c r="F42" i="5"/>
  <c r="G42" i="5"/>
  <c r="G41" i="5"/>
  <c r="F41" i="5"/>
  <c r="G40" i="5"/>
  <c r="E50" i="5"/>
  <c r="J19" i="6" s="1"/>
  <c r="F40" i="5"/>
  <c r="I11" i="6"/>
  <c r="G39" i="5"/>
  <c r="F39" i="5"/>
  <c r="G38" i="5"/>
  <c r="F38" i="5"/>
  <c r="E73" i="5"/>
  <c r="E74" i="5"/>
  <c r="D74" i="5"/>
  <c r="D73" i="5"/>
  <c r="F37" i="5"/>
  <c r="G37" i="5"/>
  <c r="G36" i="5"/>
  <c r="F36" i="5"/>
  <c r="G35" i="5"/>
  <c r="F35" i="5"/>
  <c r="G34" i="5"/>
  <c r="K26" i="6" s="1"/>
  <c r="F34" i="5"/>
  <c r="G33" i="5"/>
  <c r="F33" i="5"/>
  <c r="G32" i="5"/>
  <c r="F32" i="5"/>
  <c r="E52" i="5"/>
  <c r="G31" i="5"/>
  <c r="F31" i="5"/>
  <c r="G30" i="5"/>
  <c r="F30" i="5"/>
  <c r="J12" i="6"/>
  <c r="F29" i="5"/>
  <c r="G29" i="5"/>
  <c r="J7" i="6"/>
  <c r="E27" i="5"/>
  <c r="F26" i="5"/>
  <c r="I7" i="6"/>
  <c r="D27" i="5"/>
  <c r="I16" i="6" s="1"/>
  <c r="J9" i="6"/>
  <c r="E18" i="5"/>
  <c r="E69" i="5"/>
  <c r="F17" i="5"/>
  <c r="D18" i="5"/>
  <c r="I15" i="6" s="1"/>
  <c r="I9" i="6"/>
  <c r="D69" i="5"/>
  <c r="E16" i="5"/>
  <c r="F14" i="5"/>
  <c r="F13" i="5"/>
  <c r="J10" i="6"/>
  <c r="E10" i="5"/>
  <c r="F9" i="5"/>
  <c r="F7" i="5"/>
  <c r="E72" i="5"/>
  <c r="J6" i="6"/>
  <c r="D72" i="5"/>
  <c r="I6" i="6"/>
  <c r="G64" i="5"/>
  <c r="H14" i="15"/>
  <c r="G63" i="5"/>
  <c r="H13" i="15"/>
  <c r="H10" i="16" s="1"/>
  <c r="G60" i="5"/>
  <c r="H11" i="15"/>
  <c r="G59" i="5"/>
  <c r="H10" i="15"/>
  <c r="H7" i="15"/>
  <c r="G55" i="5"/>
  <c r="H27" i="13"/>
  <c r="G27" i="13"/>
  <c r="G7" i="15"/>
  <c r="F7" i="15"/>
  <c r="F27" i="13"/>
  <c r="E7" i="15"/>
  <c r="E27" i="13"/>
  <c r="H26" i="14"/>
  <c r="H24" i="14"/>
  <c r="I24" i="14" s="1"/>
  <c r="J24" i="14" s="1"/>
  <c r="K24" i="14" s="1"/>
  <c r="L24" i="14" s="1"/>
  <c r="M24" i="14" s="1"/>
  <c r="G26" i="14"/>
  <c r="G24" i="14"/>
  <c r="F24" i="14"/>
  <c r="F26" i="14"/>
  <c r="E24" i="14"/>
  <c r="E26" i="14"/>
  <c r="I22" i="14"/>
  <c r="H22" i="14"/>
  <c r="H51" i="4"/>
  <c r="H23" i="9"/>
  <c r="H7" i="11"/>
  <c r="H18" i="14"/>
  <c r="G51" i="4"/>
  <c r="H12" i="9"/>
  <c r="H10" i="11" s="1"/>
  <c r="G7" i="11"/>
  <c r="I19" i="6"/>
  <c r="G23" i="9"/>
  <c r="G18" i="14"/>
  <c r="H19" i="6"/>
  <c r="F51" i="4"/>
  <c r="F23" i="9"/>
  <c r="G12" i="9"/>
  <c r="G10" i="11" s="1"/>
  <c r="F7" i="11"/>
  <c r="F18" i="14"/>
  <c r="G19" i="6"/>
  <c r="E51" i="4"/>
  <c r="F19" i="6"/>
  <c r="F12" i="9"/>
  <c r="F10" i="11" s="1"/>
  <c r="E23" i="9"/>
  <c r="E12" i="9"/>
  <c r="E10" i="11" s="1"/>
  <c r="E7" i="11"/>
  <c r="E18" i="14"/>
  <c r="E12" i="15" s="1"/>
  <c r="E19" i="6"/>
  <c r="H74" i="4"/>
  <c r="H73" i="4"/>
  <c r="H28" i="14" s="1"/>
  <c r="H8" i="16" s="1"/>
  <c r="H16" i="14"/>
  <c r="G74" i="4"/>
  <c r="G73" i="4"/>
  <c r="G28" i="14" s="1"/>
  <c r="G8" i="16" s="1"/>
  <c r="G16" i="14"/>
  <c r="F16" i="14"/>
  <c r="F74" i="4"/>
  <c r="F73" i="4"/>
  <c r="F28" i="14" s="1"/>
  <c r="F8" i="16" s="1"/>
  <c r="E74" i="4"/>
  <c r="E73" i="4"/>
  <c r="E28" i="14" s="1"/>
  <c r="E8" i="16" s="1"/>
  <c r="E16" i="14"/>
  <c r="H9" i="14"/>
  <c r="H52" i="4"/>
  <c r="G52" i="4"/>
  <c r="G9" i="14"/>
  <c r="F52" i="4"/>
  <c r="F14" i="10" s="1"/>
  <c r="F9" i="14"/>
  <c r="E9" i="14"/>
  <c r="E52" i="4"/>
  <c r="E14" i="10" s="1"/>
  <c r="E15" i="10" s="1"/>
  <c r="E8" i="15" s="1"/>
  <c r="H7" i="14"/>
  <c r="H6" i="14"/>
  <c r="H14" i="11"/>
  <c r="H12" i="6"/>
  <c r="G14" i="11"/>
  <c r="G6" i="14"/>
  <c r="G12" i="6"/>
  <c r="G7" i="14"/>
  <c r="F14" i="11"/>
  <c r="F7" i="14"/>
  <c r="F6" i="14"/>
  <c r="F12" i="6"/>
  <c r="E14" i="11"/>
  <c r="E12" i="6"/>
  <c r="E7" i="14"/>
  <c r="E6" i="14"/>
  <c r="H7" i="6"/>
  <c r="H27" i="4"/>
  <c r="H16" i="6" s="1"/>
  <c r="G26" i="5"/>
  <c r="H25" i="13"/>
  <c r="G7" i="6"/>
  <c r="G27" i="4"/>
  <c r="G16" i="6" s="1"/>
  <c r="G25" i="13"/>
  <c r="F7" i="6"/>
  <c r="F27" i="4"/>
  <c r="F16" i="6" s="1"/>
  <c r="F25" i="13"/>
  <c r="E7" i="6"/>
  <c r="E25" i="13"/>
  <c r="E27" i="4"/>
  <c r="E16" i="6" s="1"/>
  <c r="H24" i="13"/>
  <c r="G25" i="5"/>
  <c r="G6" i="15"/>
  <c r="G23" i="13"/>
  <c r="F6" i="15"/>
  <c r="F23" i="13"/>
  <c r="E23" i="13"/>
  <c r="E6" i="15"/>
  <c r="G21" i="5"/>
  <c r="H23" i="4"/>
  <c r="G14" i="9"/>
  <c r="G21" i="13"/>
  <c r="G22" i="13" s="1"/>
  <c r="F14" i="9"/>
  <c r="F21" i="13"/>
  <c r="F22" i="13" s="1"/>
  <c r="E14" i="9"/>
  <c r="E21" i="13"/>
  <c r="E22" i="13" s="1"/>
  <c r="G20" i="5"/>
  <c r="H20" i="13"/>
  <c r="H19" i="13"/>
  <c r="G19" i="5"/>
  <c r="G17" i="5"/>
  <c r="H69" i="4"/>
  <c r="H18" i="4"/>
  <c r="H15" i="6" s="1"/>
  <c r="H15" i="13"/>
  <c r="H9" i="6"/>
  <c r="G69" i="4"/>
  <c r="G9" i="6"/>
  <c r="G15" i="13"/>
  <c r="G18" i="4"/>
  <c r="G15" i="6" s="1"/>
  <c r="F18" i="4"/>
  <c r="F15" i="6" s="1"/>
  <c r="F15" i="13"/>
  <c r="F70" i="4"/>
  <c r="F69" i="4"/>
  <c r="F9" i="6"/>
  <c r="E18" i="4"/>
  <c r="E15" i="6" s="1"/>
  <c r="E15" i="13"/>
  <c r="E69" i="4"/>
  <c r="E70" i="4"/>
  <c r="E9" i="6"/>
  <c r="G15" i="5"/>
  <c r="H13" i="13"/>
  <c r="H16" i="4"/>
  <c r="G14" i="5"/>
  <c r="G16" i="5" s="1"/>
  <c r="H11" i="13"/>
  <c r="G11" i="13"/>
  <c r="G16" i="4"/>
  <c r="F11" i="13"/>
  <c r="F16" i="4"/>
  <c r="E16" i="4"/>
  <c r="E11" i="13"/>
  <c r="G13" i="5"/>
  <c r="K10" i="6" s="1"/>
  <c r="H18" i="13"/>
  <c r="H10" i="6"/>
  <c r="H11" i="11"/>
  <c r="G18" i="13"/>
  <c r="G11" i="11"/>
  <c r="G10" i="6"/>
  <c r="F18" i="13"/>
  <c r="F11" i="11"/>
  <c r="F10" i="6"/>
  <c r="E18" i="13"/>
  <c r="E11" i="11"/>
  <c r="E10" i="6"/>
  <c r="H13" i="11"/>
  <c r="H17" i="13"/>
  <c r="G11" i="5"/>
  <c r="G13" i="11"/>
  <c r="G17" i="13"/>
  <c r="F17" i="13"/>
  <c r="F13" i="11"/>
  <c r="E17" i="13"/>
  <c r="E13" i="11"/>
  <c r="G9" i="5"/>
  <c r="H8" i="13"/>
  <c r="H10" i="4"/>
  <c r="G8" i="13"/>
  <c r="G10" i="4"/>
  <c r="F8" i="13"/>
  <c r="F10" i="4"/>
  <c r="E8" i="13"/>
  <c r="E10" i="4"/>
  <c r="G8" i="5"/>
  <c r="H10" i="13"/>
  <c r="G7" i="5"/>
  <c r="H6" i="13"/>
  <c r="H72" i="4"/>
  <c r="H6" i="6"/>
  <c r="G72" i="4"/>
  <c r="G6" i="13"/>
  <c r="G6" i="6"/>
  <c r="F72" i="4"/>
  <c r="F6" i="13"/>
  <c r="F6" i="6"/>
  <c r="E6" i="13"/>
  <c r="E72" i="4"/>
  <c r="E6" i="6"/>
  <c r="M135" i="25"/>
  <c r="L135" i="25"/>
  <c r="K135" i="25"/>
  <c r="J135" i="25"/>
  <c r="I135" i="25"/>
  <c r="H135" i="25"/>
  <c r="G135" i="25"/>
  <c r="F135" i="25"/>
  <c r="E135" i="25"/>
  <c r="G10" i="16"/>
  <c r="F10" i="16"/>
  <c r="M9" i="37" l="1"/>
  <c r="N9" i="37" s="1"/>
  <c r="I12" i="17"/>
  <c r="J12" i="17" s="1"/>
  <c r="K12" i="17" s="1"/>
  <c r="Z9" i="37"/>
  <c r="Q12" i="17" s="1"/>
  <c r="V12" i="17" s="1"/>
  <c r="N12" i="17"/>
  <c r="S12" i="17" s="1"/>
  <c r="Y9" i="37"/>
  <c r="P12" i="17" s="1"/>
  <c r="M12" i="17"/>
  <c r="X9" i="37"/>
  <c r="L12" i="17"/>
  <c r="Z8" i="37"/>
  <c r="Q11" i="17" s="1"/>
  <c r="V11" i="17" s="1"/>
  <c r="N11" i="17"/>
  <c r="S11" i="17" s="1"/>
  <c r="M8" i="37"/>
  <c r="N8" i="37" s="1"/>
  <c r="I11" i="17"/>
  <c r="J11" i="17" s="1"/>
  <c r="K11" i="17" s="1"/>
  <c r="Y8" i="37"/>
  <c r="P11" i="17" s="1"/>
  <c r="M11" i="17"/>
  <c r="L11" i="17"/>
  <c r="X8" i="37"/>
  <c r="Y7" i="37"/>
  <c r="P10" i="17" s="1"/>
  <c r="M10" i="17"/>
  <c r="L10" i="17"/>
  <c r="X7" i="37"/>
  <c r="Z7" i="37"/>
  <c r="Q10" i="17" s="1"/>
  <c r="V10" i="17" s="1"/>
  <c r="N10" i="17"/>
  <c r="S10" i="17" s="1"/>
  <c r="M7" i="37"/>
  <c r="N7" i="37" s="1"/>
  <c r="I10" i="17"/>
  <c r="J10" i="17" s="1"/>
  <c r="K10" i="17" s="1"/>
  <c r="Y6" i="37"/>
  <c r="P9" i="17" s="1"/>
  <c r="M9" i="17"/>
  <c r="I9" i="17"/>
  <c r="J9" i="17" s="1"/>
  <c r="K9" i="17" s="1"/>
  <c r="M6" i="37"/>
  <c r="N6" i="37" s="1"/>
  <c r="X6" i="37"/>
  <c r="L9" i="17"/>
  <c r="N9" i="17"/>
  <c r="S9" i="17" s="1"/>
  <c r="Z6" i="37"/>
  <c r="Q9" i="17" s="1"/>
  <c r="V9" i="17" s="1"/>
  <c r="AE5" i="37"/>
  <c r="B8" i="18" s="1"/>
  <c r="D8" i="18" s="1"/>
  <c r="D18" i="20"/>
  <c r="E18" i="20"/>
  <c r="F18" i="20"/>
  <c r="G8" i="17"/>
  <c r="D7" i="21"/>
  <c r="E7" i="21"/>
  <c r="F7" i="21"/>
  <c r="D7" i="23"/>
  <c r="D6" i="24" s="1"/>
  <c r="E7" i="23"/>
  <c r="F7" i="23"/>
  <c r="F6" i="24" s="1"/>
  <c r="Y5" i="37"/>
  <c r="P8" i="17" s="1"/>
  <c r="M8" i="17"/>
  <c r="Z5" i="37"/>
  <c r="Q8" i="17" s="1"/>
  <c r="N8" i="17"/>
  <c r="X5" i="37"/>
  <c r="L8" i="17"/>
  <c r="P129" i="25"/>
  <c r="D135" i="25"/>
  <c r="D27" i="24"/>
  <c r="F10" i="20"/>
  <c r="E11" i="20"/>
  <c r="D10" i="20"/>
  <c r="D11" i="20" s="1"/>
  <c r="T12" i="17"/>
  <c r="U12" i="17"/>
  <c r="W12" i="17"/>
  <c r="U11" i="17"/>
  <c r="T11" i="17"/>
  <c r="W11" i="17"/>
  <c r="T10" i="17"/>
  <c r="U10" i="17"/>
  <c r="W10" i="17"/>
  <c r="T9" i="17"/>
  <c r="U9" i="17"/>
  <c r="W9" i="17"/>
  <c r="S14" i="17"/>
  <c r="S15" i="17"/>
  <c r="V14" i="17"/>
  <c r="V15" i="17"/>
  <c r="Y15" i="17"/>
  <c r="Y14" i="17"/>
  <c r="J37" i="8"/>
  <c r="F87" i="8"/>
  <c r="I36" i="8"/>
  <c r="I45" i="8" s="1"/>
  <c r="E86" i="8"/>
  <c r="L32" i="7"/>
  <c r="H35" i="8"/>
  <c r="H44" i="8" s="1"/>
  <c r="D85" i="25"/>
  <c r="E85" i="25" s="1"/>
  <c r="P146" i="25"/>
  <c r="H34" i="8"/>
  <c r="D12" i="25"/>
  <c r="E12" i="25" s="1"/>
  <c r="L31" i="7"/>
  <c r="I33" i="8"/>
  <c r="I42" i="8"/>
  <c r="E83" i="8"/>
  <c r="H32" i="8"/>
  <c r="G38" i="8"/>
  <c r="H41" i="8"/>
  <c r="L29" i="7"/>
  <c r="D64" i="25"/>
  <c r="E64" i="25"/>
  <c r="F64" i="25"/>
  <c r="G64" i="25"/>
  <c r="H64" i="25"/>
  <c r="I64" i="25"/>
  <c r="J64" i="25"/>
  <c r="K64" i="25"/>
  <c r="L64" i="25"/>
  <c r="M64" i="25"/>
  <c r="N64" i="25"/>
  <c r="O64" i="25"/>
  <c r="L17" i="7"/>
  <c r="L26" i="7" s="1"/>
  <c r="G52" i="8"/>
  <c r="G28" i="8"/>
  <c r="C52" i="22"/>
  <c r="F28" i="8"/>
  <c r="F52" i="8"/>
  <c r="G27" i="8"/>
  <c r="G51" i="8"/>
  <c r="C51" i="22"/>
  <c r="L16" i="7"/>
  <c r="L25" i="7" s="1"/>
  <c r="G26" i="8"/>
  <c r="G50" i="8"/>
  <c r="G67" i="8"/>
  <c r="C50" i="22"/>
  <c r="D32" i="23"/>
  <c r="E32" i="23"/>
  <c r="F32" i="23"/>
  <c r="L15" i="7"/>
  <c r="L24" i="7" s="1"/>
  <c r="L19" i="7"/>
  <c r="H20" i="8"/>
  <c r="G66" i="8"/>
  <c r="L13" i="7"/>
  <c r="G24" i="8"/>
  <c r="G48" i="8"/>
  <c r="G25" i="8"/>
  <c r="L14" i="7"/>
  <c r="L23" i="7" s="1"/>
  <c r="G49" i="8"/>
  <c r="I7" i="9"/>
  <c r="I6" i="10"/>
  <c r="I11" i="14"/>
  <c r="I14" i="14"/>
  <c r="I15" i="14"/>
  <c r="I19" i="14"/>
  <c r="I20" i="14"/>
  <c r="I6" i="12"/>
  <c r="I6" i="11"/>
  <c r="I6" i="13"/>
  <c r="L10" i="7"/>
  <c r="L11" i="7" s="1"/>
  <c r="G12" i="8"/>
  <c r="L43" i="7"/>
  <c r="F48" i="8"/>
  <c r="F24" i="8"/>
  <c r="F25" i="8"/>
  <c r="F49" i="8"/>
  <c r="F50" i="8"/>
  <c r="F26" i="8"/>
  <c r="C9" i="25"/>
  <c r="D30" i="25"/>
  <c r="C82" i="25"/>
  <c r="P142" i="25"/>
  <c r="H148" i="25"/>
  <c r="G24" i="5"/>
  <c r="K18" i="6" s="1"/>
  <c r="H15" i="9"/>
  <c r="H23" i="13"/>
  <c r="H6" i="15"/>
  <c r="H18" i="6"/>
  <c r="J38" i="7"/>
  <c r="J23" i="7"/>
  <c r="J46" i="7"/>
  <c r="J37" i="7"/>
  <c r="J22" i="7"/>
  <c r="J24" i="7"/>
  <c r="J39" i="7"/>
  <c r="F50" i="5"/>
  <c r="G50" i="5"/>
  <c r="E51" i="5"/>
  <c r="L5" i="37"/>
  <c r="G73" i="5"/>
  <c r="G74" i="5"/>
  <c r="F52" i="5"/>
  <c r="G52" i="5"/>
  <c r="K27" i="6"/>
  <c r="K12" i="6"/>
  <c r="F27" i="5"/>
  <c r="J16" i="6"/>
  <c r="F18" i="5"/>
  <c r="J15" i="6"/>
  <c r="F69" i="5"/>
  <c r="J8" i="6"/>
  <c r="F16" i="5"/>
  <c r="C88" i="25"/>
  <c r="F10" i="5"/>
  <c r="C14" i="25"/>
  <c r="J14" i="6"/>
  <c r="C87" i="25"/>
  <c r="J22" i="14"/>
  <c r="H11" i="6"/>
  <c r="H28" i="6"/>
  <c r="H29" i="14"/>
  <c r="H8" i="11"/>
  <c r="H15" i="11"/>
  <c r="G11" i="6"/>
  <c r="G29" i="14"/>
  <c r="G28" i="6"/>
  <c r="G15" i="11"/>
  <c r="G8" i="11"/>
  <c r="H9" i="11"/>
  <c r="F11" i="6"/>
  <c r="F29" i="14"/>
  <c r="F28" i="6"/>
  <c r="F8" i="11"/>
  <c r="G9" i="11"/>
  <c r="F15" i="11"/>
  <c r="E11" i="6"/>
  <c r="E28" i="6"/>
  <c r="E29" i="14"/>
  <c r="F9" i="11"/>
  <c r="E8" i="11"/>
  <c r="E15" i="11"/>
  <c r="I16" i="15"/>
  <c r="H17" i="15"/>
  <c r="H15" i="15" s="1"/>
  <c r="H11" i="16"/>
  <c r="H16" i="15"/>
  <c r="G17" i="15"/>
  <c r="G11" i="16"/>
  <c r="G16" i="15"/>
  <c r="F17" i="15"/>
  <c r="F11" i="16"/>
  <c r="F16" i="15"/>
  <c r="E17" i="15"/>
  <c r="E15" i="15" s="1"/>
  <c r="E11" i="16"/>
  <c r="G27" i="5"/>
  <c r="K16" i="6" s="1"/>
  <c r="K7" i="6"/>
  <c r="K17" i="6"/>
  <c r="E10" i="16"/>
  <c r="E26" i="13"/>
  <c r="G23" i="5"/>
  <c r="G70" i="5" s="1"/>
  <c r="H14" i="9"/>
  <c r="H21" i="13"/>
  <c r="H22" i="13" s="1"/>
  <c r="G18" i="5"/>
  <c r="K15" i="6" s="1"/>
  <c r="G69" i="5"/>
  <c r="K8" i="6" s="1"/>
  <c r="K9" i="6"/>
  <c r="K19" i="6"/>
  <c r="K29" i="6"/>
  <c r="H8" i="6"/>
  <c r="H28" i="13"/>
  <c r="H16" i="13"/>
  <c r="G8" i="6"/>
  <c r="G28" i="13"/>
  <c r="G16" i="13"/>
  <c r="G20" i="15"/>
  <c r="G21" i="15" s="1"/>
  <c r="F16" i="13"/>
  <c r="F8" i="6"/>
  <c r="F28" i="13"/>
  <c r="E16" i="13"/>
  <c r="E20" i="15"/>
  <c r="E21" i="15" s="1"/>
  <c r="E8" i="6"/>
  <c r="E28" i="13"/>
  <c r="H9" i="13"/>
  <c r="H8" i="9"/>
  <c r="H14" i="6"/>
  <c r="G9" i="13"/>
  <c r="G14" i="6"/>
  <c r="G8" i="9"/>
  <c r="F8" i="9"/>
  <c r="F9" i="13"/>
  <c r="F14" i="6"/>
  <c r="E9" i="13"/>
  <c r="E14" i="6"/>
  <c r="E8" i="9"/>
  <c r="K21" i="6"/>
  <c r="K23" i="6"/>
  <c r="G72" i="5"/>
  <c r="K6" i="6"/>
  <c r="K22" i="6"/>
  <c r="H7" i="13"/>
  <c r="H7" i="16"/>
  <c r="G14" i="13"/>
  <c r="G7" i="13"/>
  <c r="G7" i="16"/>
  <c r="F14" i="13"/>
  <c r="F7" i="13"/>
  <c r="F7" i="16"/>
  <c r="E14" i="13"/>
  <c r="E7" i="13"/>
  <c r="E7" i="16"/>
  <c r="M66" i="25"/>
  <c r="N66" i="25"/>
  <c r="J66" i="25"/>
  <c r="H12" i="15"/>
  <c r="G12" i="15"/>
  <c r="F12" i="15"/>
  <c r="F15" i="10"/>
  <c r="F8" i="15" s="1"/>
  <c r="F20" i="15" s="1"/>
  <c r="F21" i="15" s="1"/>
  <c r="H26" i="13"/>
  <c r="G26" i="13"/>
  <c r="F26" i="13"/>
  <c r="G9" i="15"/>
  <c r="F9" i="15"/>
  <c r="E9" i="15"/>
  <c r="H14" i="13"/>
  <c r="H12" i="13"/>
  <c r="G12" i="13"/>
  <c r="F12" i="13"/>
  <c r="E12" i="13"/>
  <c r="G10" i="5"/>
  <c r="K14" i="6" s="1"/>
  <c r="G66" i="25"/>
  <c r="H66" i="25"/>
  <c r="I8" i="6"/>
  <c r="I28" i="6"/>
  <c r="H14" i="10"/>
  <c r="H70" i="4"/>
  <c r="G14" i="10"/>
  <c r="G70" i="4"/>
  <c r="J20" i="7"/>
  <c r="O12" i="17" l="1"/>
  <c r="X12" i="17" s="1"/>
  <c r="AF9" i="37"/>
  <c r="AF8" i="37"/>
  <c r="O11" i="17"/>
  <c r="X11" i="17" s="1"/>
  <c r="AF7" i="37"/>
  <c r="O10" i="17"/>
  <c r="X10" i="17" s="1"/>
  <c r="O9" i="17"/>
  <c r="X9" i="17" s="1"/>
  <c r="AF6" i="37"/>
  <c r="D20" i="20"/>
  <c r="D21" i="20"/>
  <c r="E20" i="20"/>
  <c r="E21" i="20"/>
  <c r="F20" i="20"/>
  <c r="F21" i="20"/>
  <c r="K8" i="17"/>
  <c r="V8" i="17"/>
  <c r="Y8" i="17"/>
  <c r="S8" i="17"/>
  <c r="E6" i="24"/>
  <c r="D18" i="24"/>
  <c r="AF5" i="37"/>
  <c r="O8" i="17"/>
  <c r="P135" i="25"/>
  <c r="D136" i="25"/>
  <c r="F11" i="20"/>
  <c r="E38" i="2"/>
  <c r="E12" i="20"/>
  <c r="D12" i="20"/>
  <c r="T14" i="17"/>
  <c r="T15" i="17"/>
  <c r="U14" i="17"/>
  <c r="U15" i="17"/>
  <c r="W14" i="17"/>
  <c r="W15" i="17"/>
  <c r="K37" i="8"/>
  <c r="H87" i="8" s="1"/>
  <c r="G87" i="8"/>
  <c r="I87" i="8" s="1"/>
  <c r="J36" i="8"/>
  <c r="J45" i="8" s="1"/>
  <c r="F86" i="8"/>
  <c r="E85" i="8"/>
  <c r="I35" i="8"/>
  <c r="I44" i="8" s="1"/>
  <c r="D151" i="25"/>
  <c r="E151" i="25"/>
  <c r="E41" i="25" s="1"/>
  <c r="F151" i="25"/>
  <c r="F41" i="25" s="1"/>
  <c r="G151" i="25"/>
  <c r="G41" i="25" s="1"/>
  <c r="P147" i="25"/>
  <c r="I34" i="8"/>
  <c r="I43" i="8"/>
  <c r="E84" i="8"/>
  <c r="J33" i="8"/>
  <c r="J42" i="8"/>
  <c r="F83" i="8"/>
  <c r="I32" i="8"/>
  <c r="I41" i="8" s="1"/>
  <c r="H38" i="8"/>
  <c r="E82" i="8"/>
  <c r="P64" i="25"/>
  <c r="Q64" i="25"/>
  <c r="R64" i="25"/>
  <c r="S64" i="25"/>
  <c r="T64" i="25"/>
  <c r="U64" i="25"/>
  <c r="V64" i="25"/>
  <c r="W64" i="25"/>
  <c r="X64" i="25"/>
  <c r="H52" i="8"/>
  <c r="L41" i="7"/>
  <c r="H51" i="8"/>
  <c r="L40" i="7"/>
  <c r="H50" i="8"/>
  <c r="L39" i="7"/>
  <c r="D25" i="24"/>
  <c r="D26" i="24"/>
  <c r="H29" i="8"/>
  <c r="I20" i="8"/>
  <c r="L20" i="7"/>
  <c r="L22" i="7"/>
  <c r="H48" i="8"/>
  <c r="L37" i="7"/>
  <c r="H49" i="8"/>
  <c r="L38" i="7"/>
  <c r="I7" i="10"/>
  <c r="I11" i="10"/>
  <c r="I8" i="12"/>
  <c r="I10" i="12"/>
  <c r="I13" i="11"/>
  <c r="I17" i="13" s="1"/>
  <c r="I7" i="11"/>
  <c r="I7" i="13"/>
  <c r="I8" i="13"/>
  <c r="I10" i="13" s="1"/>
  <c r="I7" i="16" s="1"/>
  <c r="I11" i="13"/>
  <c r="I13" i="13"/>
  <c r="I19" i="13"/>
  <c r="C20" i="17"/>
  <c r="D21" i="21"/>
  <c r="D20" i="25"/>
  <c r="I6" i="16"/>
  <c r="H151" i="25"/>
  <c r="H41" i="25" s="1"/>
  <c r="F51" i="5"/>
  <c r="G51" i="5"/>
  <c r="J11" i="6"/>
  <c r="J28" i="6"/>
  <c r="M5" i="37"/>
  <c r="I8" i="17"/>
  <c r="J8" i="17" s="1"/>
  <c r="D19" i="20"/>
  <c r="E19" i="20"/>
  <c r="F19" i="20"/>
  <c r="K22" i="14"/>
  <c r="E19" i="15"/>
  <c r="E9" i="16" s="1"/>
  <c r="E12" i="16" s="1"/>
  <c r="E18" i="15"/>
  <c r="H15" i="10"/>
  <c r="H8" i="15" s="1"/>
  <c r="G15" i="10"/>
  <c r="G8" i="15" s="1"/>
  <c r="L35" i="7"/>
  <c r="L46" i="7"/>
  <c r="G69" i="8"/>
  <c r="H19" i="15"/>
  <c r="H9" i="16" s="1"/>
  <c r="H12" i="16" s="1"/>
  <c r="G15" i="15"/>
  <c r="F15" i="15"/>
  <c r="K24" i="6"/>
  <c r="F85" i="25"/>
  <c r="G85" i="25"/>
  <c r="H43" i="8"/>
  <c r="P65" i="25"/>
  <c r="Q65" i="25"/>
  <c r="R65" i="25"/>
  <c r="S65" i="25"/>
  <c r="U65" i="25"/>
  <c r="V65" i="25"/>
  <c r="W65" i="25"/>
  <c r="X65" i="25"/>
  <c r="Z65" i="25"/>
  <c r="T65" i="25"/>
  <c r="U66" i="25" s="1"/>
  <c r="Y65" i="25"/>
  <c r="Z66" i="25" s="1"/>
  <c r="AA65" i="25"/>
  <c r="F12" i="25"/>
  <c r="G12" i="25"/>
  <c r="U8" i="17" l="1"/>
  <c r="K20" i="17"/>
  <c r="T8" i="17"/>
  <c r="X8" i="17"/>
  <c r="W8" i="17"/>
  <c r="B9" i="18"/>
  <c r="D9" i="18"/>
  <c r="E136" i="25"/>
  <c r="F136" i="25"/>
  <c r="F40" i="25" s="1"/>
  <c r="G136" i="25"/>
  <c r="G40" i="25" s="1"/>
  <c r="H136" i="25"/>
  <c r="H40" i="25" s="1"/>
  <c r="I136" i="25"/>
  <c r="I40" i="25" s="1"/>
  <c r="J136" i="25"/>
  <c r="J40" i="25" s="1"/>
  <c r="K136" i="25"/>
  <c r="K40" i="25" s="1"/>
  <c r="L136" i="25"/>
  <c r="L40" i="25" s="1"/>
  <c r="M136" i="25"/>
  <c r="M40" i="25" s="1"/>
  <c r="N136" i="25"/>
  <c r="N40" i="25" s="1"/>
  <c r="O136" i="25"/>
  <c r="O40" i="25" s="1"/>
  <c r="D40" i="25"/>
  <c r="F12" i="20"/>
  <c r="J87" i="8"/>
  <c r="L87" i="8" s="1"/>
  <c r="K36" i="8"/>
  <c r="H86" i="8" s="1"/>
  <c r="G86" i="8"/>
  <c r="I86" i="8" s="1"/>
  <c r="K45" i="8"/>
  <c r="J35" i="8"/>
  <c r="J44" i="8"/>
  <c r="F85" i="8"/>
  <c r="D41" i="25"/>
  <c r="I148" i="25"/>
  <c r="J148" i="25"/>
  <c r="J151" i="25" s="1"/>
  <c r="J41" i="25" s="1"/>
  <c r="K148" i="25"/>
  <c r="K151" i="25" s="1"/>
  <c r="K41" i="25" s="1"/>
  <c r="L148" i="25"/>
  <c r="L151" i="25" s="1"/>
  <c r="L41" i="25" s="1"/>
  <c r="M148" i="25"/>
  <c r="M151" i="25" s="1"/>
  <c r="M41" i="25" s="1"/>
  <c r="N148" i="25"/>
  <c r="N151" i="25" s="1"/>
  <c r="N41" i="25" s="1"/>
  <c r="O148" i="25"/>
  <c r="O151" i="25" s="1"/>
  <c r="O41" i="25" s="1"/>
  <c r="J34" i="8"/>
  <c r="J43" i="8" s="1"/>
  <c r="F84" i="8"/>
  <c r="K33" i="8"/>
  <c r="H83" i="8" s="1"/>
  <c r="K42" i="8"/>
  <c r="G83" i="8"/>
  <c r="I83" i="8" s="1"/>
  <c r="J32" i="8"/>
  <c r="I38" i="8"/>
  <c r="J41" i="8"/>
  <c r="F82" i="8"/>
  <c r="H19" i="8"/>
  <c r="H28" i="8" s="1"/>
  <c r="I52" i="8"/>
  <c r="E78" i="8"/>
  <c r="H18" i="8"/>
  <c r="H27" i="8" s="1"/>
  <c r="I51" i="8"/>
  <c r="E77" i="8"/>
  <c r="I50" i="8"/>
  <c r="E76" i="8"/>
  <c r="J20" i="8"/>
  <c r="I29" i="8"/>
  <c r="H15" i="8"/>
  <c r="I48" i="8"/>
  <c r="E74" i="8"/>
  <c r="H16" i="8"/>
  <c r="H25" i="8" s="1"/>
  <c r="I49" i="8"/>
  <c r="E75" i="8"/>
  <c r="I12" i="10"/>
  <c r="I10" i="14" s="1"/>
  <c r="I13" i="10"/>
  <c r="I17" i="14" s="1"/>
  <c r="I14" i="10"/>
  <c r="I15" i="10" s="1"/>
  <c r="I8" i="15" s="1"/>
  <c r="D27" i="21" s="1"/>
  <c r="I9" i="14"/>
  <c r="I12" i="12"/>
  <c r="I10" i="15"/>
  <c r="I27" i="13"/>
  <c r="I7" i="15"/>
  <c r="D25" i="21" s="1"/>
  <c r="I9" i="11"/>
  <c r="I11" i="11" s="1"/>
  <c r="I18" i="13" s="1"/>
  <c r="I8" i="11"/>
  <c r="I18" i="14"/>
  <c r="I15" i="13"/>
  <c r="I12" i="13"/>
  <c r="I14" i="13"/>
  <c r="K11" i="6"/>
  <c r="K28" i="6"/>
  <c r="D9" i="21"/>
  <c r="D53" i="21" s="1"/>
  <c r="E9" i="21"/>
  <c r="E53" i="21" s="1"/>
  <c r="F9" i="21"/>
  <c r="F53" i="21" s="1"/>
  <c r="D9" i="23"/>
  <c r="D38" i="23" s="1"/>
  <c r="E9" i="23"/>
  <c r="F9" i="23"/>
  <c r="F38" i="23" s="1"/>
  <c r="E47" i="2" s="1"/>
  <c r="L22" i="14"/>
  <c r="H20" i="15"/>
  <c r="H21" i="15" s="1"/>
  <c r="H9" i="15"/>
  <c r="H18" i="15" s="1"/>
  <c r="G19" i="15"/>
  <c r="G9" i="16" s="1"/>
  <c r="G12" i="16" s="1"/>
  <c r="G18" i="15"/>
  <c r="F19" i="15"/>
  <c r="F9" i="16" s="1"/>
  <c r="F12" i="16" s="1"/>
  <c r="F18" i="15"/>
  <c r="Q66" i="25"/>
  <c r="P66" i="25"/>
  <c r="D22" i="20"/>
  <c r="E22" i="20"/>
  <c r="F22" i="20"/>
  <c r="H17" i="8"/>
  <c r="H26" i="8" s="1"/>
  <c r="R66" i="25"/>
  <c r="S66" i="25"/>
  <c r="T66" i="25"/>
  <c r="V66" i="25"/>
  <c r="W66" i="25"/>
  <c r="X66" i="25"/>
  <c r="Y66" i="25"/>
  <c r="AA66" i="25"/>
  <c r="X14" i="17"/>
  <c r="X15" i="17"/>
  <c r="D15" i="22"/>
  <c r="D17" i="22" s="1"/>
  <c r="D21" i="23" s="1"/>
  <c r="D33" i="23" s="1"/>
  <c r="E15" i="22"/>
  <c r="E17" i="22" s="1"/>
  <c r="E21" i="23" s="1"/>
  <c r="E33" i="23" s="1"/>
  <c r="F15" i="22"/>
  <c r="C48" i="22"/>
  <c r="Y64" i="25"/>
  <c r="Z64" i="25"/>
  <c r="AA64" i="25"/>
  <c r="N5" i="37"/>
  <c r="B6" i="18"/>
  <c r="D6" i="18" s="1"/>
  <c r="F49" i="25" l="1"/>
  <c r="R49" i="25"/>
  <c r="G49" i="25"/>
  <c r="S49" i="25"/>
  <c r="H49" i="25"/>
  <c r="T49" i="25"/>
  <c r="I49" i="25"/>
  <c r="U49" i="25"/>
  <c r="J49" i="25"/>
  <c r="V49" i="25"/>
  <c r="K49" i="25"/>
  <c r="W49" i="25"/>
  <c r="L49" i="25"/>
  <c r="X49" i="25"/>
  <c r="M49" i="25"/>
  <c r="Y49" i="25"/>
  <c r="Z49" i="25"/>
  <c r="N49" i="25"/>
  <c r="AA49" i="25"/>
  <c r="O49" i="25"/>
  <c r="D49" i="25"/>
  <c r="P49" i="25"/>
  <c r="B107" i="25"/>
  <c r="D107" i="25" s="1"/>
  <c r="J86" i="8"/>
  <c r="L86" i="8"/>
  <c r="K35" i="8"/>
  <c r="G85" i="8"/>
  <c r="I85" i="8" s="1"/>
  <c r="P148" i="25"/>
  <c r="P149" i="25" s="1"/>
  <c r="I151" i="25"/>
  <c r="K34" i="8"/>
  <c r="G84" i="8"/>
  <c r="J83" i="8"/>
  <c r="L83" i="8"/>
  <c r="K32" i="8"/>
  <c r="K41" i="8" s="1"/>
  <c r="J38" i="8"/>
  <c r="G82" i="8"/>
  <c r="I19" i="8"/>
  <c r="I28" i="8" s="1"/>
  <c r="J52" i="8"/>
  <c r="F78" i="8"/>
  <c r="I18" i="8"/>
  <c r="I27" i="8" s="1"/>
  <c r="J51" i="8"/>
  <c r="F77" i="8"/>
  <c r="I17" i="8"/>
  <c r="I26" i="8" s="1"/>
  <c r="J50" i="8"/>
  <c r="F76" i="8"/>
  <c r="K20" i="8"/>
  <c r="K29" i="8" s="1"/>
  <c r="J29" i="8"/>
  <c r="H8" i="8"/>
  <c r="H24" i="8"/>
  <c r="I15" i="8"/>
  <c r="J48" i="8"/>
  <c r="F74" i="8"/>
  <c r="I16" i="8"/>
  <c r="I25" i="8" s="1"/>
  <c r="J49" i="8"/>
  <c r="F75" i="8"/>
  <c r="D68" i="25"/>
  <c r="I21" i="14"/>
  <c r="J11" i="12"/>
  <c r="I13" i="14"/>
  <c r="I13" i="12"/>
  <c r="I11" i="15"/>
  <c r="D26" i="21"/>
  <c r="I12" i="15"/>
  <c r="I16" i="13"/>
  <c r="I20" i="13"/>
  <c r="I28" i="13"/>
  <c r="I20" i="15"/>
  <c r="D22" i="21"/>
  <c r="D24" i="21" s="1"/>
  <c r="D28" i="21" s="1"/>
  <c r="E38" i="23"/>
  <c r="D29" i="24" s="1"/>
  <c r="B74" i="23"/>
  <c r="E74" i="23" s="1"/>
  <c r="D20" i="24"/>
  <c r="M22" i="14"/>
  <c r="D23" i="20"/>
  <c r="D45" i="20"/>
  <c r="E45" i="20"/>
  <c r="E23" i="20"/>
  <c r="C49" i="22"/>
  <c r="F18" i="22"/>
  <c r="E18" i="22"/>
  <c r="E20" i="22" s="1"/>
  <c r="E22" i="23" s="1"/>
  <c r="E34" i="23" s="1"/>
  <c r="D18" i="22"/>
  <c r="D20" i="22" s="1"/>
  <c r="D22" i="23" s="1"/>
  <c r="D34" i="23" s="1"/>
  <c r="D36" i="23" s="1"/>
  <c r="E45" i="2"/>
  <c r="F17" i="22"/>
  <c r="F21" i="23" s="1"/>
  <c r="F33" i="23" s="1"/>
  <c r="E40" i="25"/>
  <c r="P136" i="25"/>
  <c r="F45" i="20"/>
  <c r="F23" i="20"/>
  <c r="F50" i="25" l="1"/>
  <c r="F51" i="25"/>
  <c r="F52" i="25"/>
  <c r="F53" i="25"/>
  <c r="F67" i="25" s="1"/>
  <c r="F54" i="25"/>
  <c r="F55" i="25"/>
  <c r="F56" i="25"/>
  <c r="F61" i="25"/>
  <c r="F70" i="25"/>
  <c r="F72" i="25"/>
  <c r="R51" i="25"/>
  <c r="R52" i="25"/>
  <c r="R53" i="25"/>
  <c r="R67" i="25" s="1"/>
  <c r="R54" i="25"/>
  <c r="R55" i="25"/>
  <c r="R56" i="25"/>
  <c r="G50" i="25"/>
  <c r="G51" i="25"/>
  <c r="G52" i="25"/>
  <c r="G53" i="25"/>
  <c r="G67" i="25" s="1"/>
  <c r="G54" i="25"/>
  <c r="G55" i="25"/>
  <c r="G56" i="25"/>
  <c r="G61" i="25"/>
  <c r="G70" i="25"/>
  <c r="G72" i="25"/>
  <c r="S51" i="25"/>
  <c r="S52" i="25"/>
  <c r="S53" i="25"/>
  <c r="S67" i="25" s="1"/>
  <c r="S54" i="25"/>
  <c r="S55" i="25"/>
  <c r="S56" i="25"/>
  <c r="H50" i="25"/>
  <c r="H51" i="25"/>
  <c r="H52" i="25"/>
  <c r="H53" i="25"/>
  <c r="H67" i="25" s="1"/>
  <c r="H54" i="25"/>
  <c r="H55" i="25"/>
  <c r="H56" i="25"/>
  <c r="H61" i="25"/>
  <c r="H70" i="25"/>
  <c r="H72" i="25"/>
  <c r="T51" i="25"/>
  <c r="T52" i="25"/>
  <c r="T53" i="25"/>
  <c r="T67" i="25" s="1"/>
  <c r="T54" i="25"/>
  <c r="T55" i="25"/>
  <c r="T56" i="25"/>
  <c r="I50" i="25"/>
  <c r="I51" i="25"/>
  <c r="I52" i="25"/>
  <c r="I53" i="25"/>
  <c r="I67" i="25" s="1"/>
  <c r="I54" i="25"/>
  <c r="I55" i="25"/>
  <c r="I56" i="25"/>
  <c r="I61" i="25"/>
  <c r="I70" i="25"/>
  <c r="I72" i="25"/>
  <c r="U51" i="25"/>
  <c r="U52" i="25"/>
  <c r="U53" i="25"/>
  <c r="U67" i="25" s="1"/>
  <c r="U54" i="25"/>
  <c r="U55" i="25"/>
  <c r="U56" i="25"/>
  <c r="J50" i="25"/>
  <c r="J51" i="25"/>
  <c r="J52" i="25"/>
  <c r="J53" i="25"/>
  <c r="J67" i="25" s="1"/>
  <c r="J54" i="25"/>
  <c r="J55" i="25"/>
  <c r="J56" i="25"/>
  <c r="J61" i="25"/>
  <c r="J70" i="25"/>
  <c r="J72" i="25"/>
  <c r="V51" i="25"/>
  <c r="V52" i="25"/>
  <c r="V53" i="25"/>
  <c r="V67" i="25" s="1"/>
  <c r="V54" i="25"/>
  <c r="V55" i="25"/>
  <c r="V56" i="25"/>
  <c r="K50" i="25"/>
  <c r="K51" i="25"/>
  <c r="K52" i="25"/>
  <c r="K53" i="25"/>
  <c r="K67" i="25" s="1"/>
  <c r="K54" i="25"/>
  <c r="K55" i="25"/>
  <c r="K56" i="25"/>
  <c r="K61" i="25"/>
  <c r="K70" i="25"/>
  <c r="K72" i="25"/>
  <c r="W51" i="25"/>
  <c r="W52" i="25"/>
  <c r="W53" i="25"/>
  <c r="W67" i="25" s="1"/>
  <c r="W54" i="25"/>
  <c r="W55" i="25"/>
  <c r="W56" i="25"/>
  <c r="L50" i="25"/>
  <c r="L51" i="25"/>
  <c r="L52" i="25"/>
  <c r="L53" i="25"/>
  <c r="L67" i="25" s="1"/>
  <c r="L54" i="25"/>
  <c r="L55" i="25"/>
  <c r="L56" i="25"/>
  <c r="L61" i="25"/>
  <c r="L70" i="25"/>
  <c r="L72" i="25"/>
  <c r="X51" i="25"/>
  <c r="X52" i="25"/>
  <c r="X53" i="25"/>
  <c r="X67" i="25" s="1"/>
  <c r="X54" i="25"/>
  <c r="X55" i="25"/>
  <c r="X56" i="25"/>
  <c r="M50" i="25"/>
  <c r="M51" i="25"/>
  <c r="M52" i="25"/>
  <c r="M53" i="25"/>
  <c r="M67" i="25" s="1"/>
  <c r="M54" i="25"/>
  <c r="M55" i="25"/>
  <c r="M56" i="25"/>
  <c r="M61" i="25"/>
  <c r="M70" i="25"/>
  <c r="M72" i="25"/>
  <c r="Y51" i="25"/>
  <c r="Y52" i="25"/>
  <c r="Y53" i="25"/>
  <c r="Y67" i="25" s="1"/>
  <c r="Y54" i="25"/>
  <c r="Y55" i="25"/>
  <c r="Y56" i="25"/>
  <c r="Z51" i="25"/>
  <c r="Z52" i="25"/>
  <c r="Z53" i="25"/>
  <c r="Z67" i="25" s="1"/>
  <c r="Z54" i="25"/>
  <c r="Z55" i="25"/>
  <c r="Z56" i="25"/>
  <c r="N50" i="25"/>
  <c r="N51" i="25"/>
  <c r="N52" i="25"/>
  <c r="N53" i="25"/>
  <c r="N67" i="25" s="1"/>
  <c r="N54" i="25"/>
  <c r="N55" i="25"/>
  <c r="N56" i="25"/>
  <c r="N61" i="25"/>
  <c r="N70" i="25"/>
  <c r="N72" i="25"/>
  <c r="AA51" i="25"/>
  <c r="AA52" i="25"/>
  <c r="AA53" i="25"/>
  <c r="AA67" i="25" s="1"/>
  <c r="AA54" i="25"/>
  <c r="AA55" i="25"/>
  <c r="AA56" i="25"/>
  <c r="O50" i="25"/>
  <c r="O51" i="25"/>
  <c r="O52" i="25"/>
  <c r="O53" i="25"/>
  <c r="O67" i="25" s="1"/>
  <c r="O54" i="25"/>
  <c r="O55" i="25"/>
  <c r="O56" i="25"/>
  <c r="O61" i="25"/>
  <c r="O70" i="25"/>
  <c r="O72" i="25"/>
  <c r="D50" i="25"/>
  <c r="D51" i="25"/>
  <c r="D52" i="25"/>
  <c r="D53" i="25"/>
  <c r="D54" i="25"/>
  <c r="D55" i="25"/>
  <c r="D56" i="25"/>
  <c r="D61" i="25"/>
  <c r="D70" i="25"/>
  <c r="D72" i="25"/>
  <c r="P51" i="25"/>
  <c r="P52" i="25"/>
  <c r="P53" i="25"/>
  <c r="P67" i="25" s="1"/>
  <c r="P54" i="25"/>
  <c r="P55" i="25"/>
  <c r="P56" i="25"/>
  <c r="P151" i="25"/>
  <c r="I41" i="25"/>
  <c r="D42" i="25" s="1"/>
  <c r="K38" i="8"/>
  <c r="H82" i="8"/>
  <c r="I82" i="8" s="1"/>
  <c r="J82" i="8"/>
  <c r="L82" i="8"/>
  <c r="J19" i="8"/>
  <c r="J28" i="8" s="1"/>
  <c r="K52" i="8"/>
  <c r="G78" i="8"/>
  <c r="J18" i="8"/>
  <c r="J27" i="8" s="1"/>
  <c r="K51" i="8"/>
  <c r="H77" i="8" s="1"/>
  <c r="G77" i="8"/>
  <c r="J17" i="8"/>
  <c r="J26" i="8" s="1"/>
  <c r="K50" i="8"/>
  <c r="H76" i="8" s="1"/>
  <c r="G76" i="8"/>
  <c r="I76" i="8" s="1"/>
  <c r="H21" i="8"/>
  <c r="H64" i="8" s="1"/>
  <c r="J6" i="9"/>
  <c r="H11" i="8"/>
  <c r="H12" i="8" s="1"/>
  <c r="H9" i="8"/>
  <c r="I24" i="8"/>
  <c r="I8" i="8"/>
  <c r="J15" i="8"/>
  <c r="K48" i="8"/>
  <c r="G74" i="8"/>
  <c r="J16" i="8"/>
  <c r="J25" i="8" s="1"/>
  <c r="K49" i="8"/>
  <c r="G75" i="8"/>
  <c r="I21" i="13"/>
  <c r="D20" i="17"/>
  <c r="J20" i="17" s="1"/>
  <c r="I21" i="15"/>
  <c r="D29" i="21"/>
  <c r="D47" i="20"/>
  <c r="D46" i="20"/>
  <c r="D49" i="20" s="1"/>
  <c r="D24" i="20"/>
  <c r="D11" i="21" s="1"/>
  <c r="E47" i="20"/>
  <c r="E46" i="20"/>
  <c r="E24" i="20"/>
  <c r="E11" i="21" s="1"/>
  <c r="F20" i="22"/>
  <c r="F22" i="23" s="1"/>
  <c r="F34" i="23" s="1"/>
  <c r="F36" i="23" s="1"/>
  <c r="E46" i="2"/>
  <c r="Q49" i="25"/>
  <c r="E49" i="25"/>
  <c r="F47" i="20"/>
  <c r="F46" i="20"/>
  <c r="F24" i="20"/>
  <c r="F11" i="21" s="1"/>
  <c r="N69" i="25"/>
  <c r="L69" i="25"/>
  <c r="J69" i="25"/>
  <c r="H69" i="25"/>
  <c r="F69" i="25"/>
  <c r="E69" i="25"/>
  <c r="O69" i="25"/>
  <c r="M69" i="25"/>
  <c r="K69" i="25"/>
  <c r="I69" i="25"/>
  <c r="G69" i="25"/>
  <c r="D69" i="25"/>
  <c r="H85" i="8"/>
  <c r="K44" i="8"/>
  <c r="J85" i="8"/>
  <c r="L85" i="8" s="1"/>
  <c r="H84" i="8"/>
  <c r="I84" i="8" s="1"/>
  <c r="K43" i="8"/>
  <c r="D61" i="23"/>
  <c r="D62" i="23"/>
  <c r="C63" i="23"/>
  <c r="D63" i="23"/>
  <c r="F63" i="23"/>
  <c r="D64" i="23"/>
  <c r="E64" i="23"/>
  <c r="C65" i="23"/>
  <c r="E65" i="23"/>
  <c r="C61" i="23"/>
  <c r="E61" i="23"/>
  <c r="F61" i="23"/>
  <c r="C62" i="23"/>
  <c r="E62" i="23"/>
  <c r="F62" i="23"/>
  <c r="E63" i="23"/>
  <c r="C64" i="23"/>
  <c r="F64" i="23"/>
  <c r="D65" i="23"/>
  <c r="F65" i="23"/>
  <c r="E36" i="23"/>
  <c r="D37" i="23"/>
  <c r="D39" i="23" s="1"/>
  <c r="F57" i="25" l="1"/>
  <c r="F59" i="25"/>
  <c r="F60" i="25"/>
  <c r="G57" i="25"/>
  <c r="G59" i="25"/>
  <c r="G60" i="25"/>
  <c r="D81" i="25"/>
  <c r="E81" i="25" s="1"/>
  <c r="D8" i="25"/>
  <c r="E8" i="25" s="1"/>
  <c r="H57" i="25"/>
  <c r="H59" i="25"/>
  <c r="H60" i="25"/>
  <c r="I57" i="25"/>
  <c r="I59" i="25"/>
  <c r="I60" i="25"/>
  <c r="J57" i="25"/>
  <c r="J59" i="25"/>
  <c r="J60" i="25"/>
  <c r="K57" i="25"/>
  <c r="K59" i="25"/>
  <c r="K60" i="25"/>
  <c r="L57" i="25"/>
  <c r="L59" i="25"/>
  <c r="L60" i="25"/>
  <c r="M57" i="25"/>
  <c r="M59" i="25"/>
  <c r="M60" i="25"/>
  <c r="N57" i="25"/>
  <c r="N59" i="25"/>
  <c r="N60" i="25"/>
  <c r="O57" i="25"/>
  <c r="O59" i="25"/>
  <c r="O60" i="25"/>
  <c r="D57" i="25"/>
  <c r="D59" i="25"/>
  <c r="D60" i="25"/>
  <c r="D67" i="25"/>
  <c r="K19" i="8"/>
  <c r="K28" i="8" s="1"/>
  <c r="H78" i="8"/>
  <c r="I78" i="8" s="1"/>
  <c r="J78" i="8"/>
  <c r="L78" i="8" s="1"/>
  <c r="L76" i="8"/>
  <c r="J76" i="8"/>
  <c r="J7" i="9"/>
  <c r="J6" i="10"/>
  <c r="J6" i="12"/>
  <c r="J6" i="11"/>
  <c r="J11" i="14"/>
  <c r="J14" i="14"/>
  <c r="J15" i="14"/>
  <c r="J19" i="14"/>
  <c r="J20" i="14"/>
  <c r="J6" i="13"/>
  <c r="K6" i="9"/>
  <c r="I9" i="8"/>
  <c r="I11" i="8"/>
  <c r="I12" i="8" s="1"/>
  <c r="I21" i="8"/>
  <c r="I64" i="8" s="1"/>
  <c r="J8" i="8"/>
  <c r="J24" i="8"/>
  <c r="K15" i="8"/>
  <c r="H74" i="8"/>
  <c r="I74" i="8" s="1"/>
  <c r="J74" i="8"/>
  <c r="L74" i="8"/>
  <c r="K16" i="8"/>
  <c r="K25" i="8" s="1"/>
  <c r="H75" i="8"/>
  <c r="I75" i="8" s="1"/>
  <c r="J75" i="8" s="1"/>
  <c r="L75" i="8" s="1"/>
  <c r="D30" i="21"/>
  <c r="D31" i="21"/>
  <c r="D42" i="21"/>
  <c r="D38" i="21"/>
  <c r="D41" i="21" s="1"/>
  <c r="E38" i="21"/>
  <c r="F38" i="21"/>
  <c r="G38" i="21"/>
  <c r="H38" i="21"/>
  <c r="D39" i="21"/>
  <c r="E39" i="21"/>
  <c r="F39" i="21"/>
  <c r="G39" i="21"/>
  <c r="H39" i="21"/>
  <c r="B73" i="21"/>
  <c r="D73" i="21" s="1"/>
  <c r="D22" i="24"/>
  <c r="Q50" i="25"/>
  <c r="Q51" i="25"/>
  <c r="Q52" i="25"/>
  <c r="Q53" i="25"/>
  <c r="Q67" i="25" s="1"/>
  <c r="Q54" i="25"/>
  <c r="Q55" i="25"/>
  <c r="Q56" i="25"/>
  <c r="I68" i="25"/>
  <c r="L68" i="25"/>
  <c r="E68" i="25"/>
  <c r="M68" i="25"/>
  <c r="G68" i="25"/>
  <c r="K68" i="25"/>
  <c r="O68" i="25"/>
  <c r="F68" i="25"/>
  <c r="H68" i="25"/>
  <c r="J68" i="25"/>
  <c r="N68" i="25"/>
  <c r="E50" i="25"/>
  <c r="E51" i="25"/>
  <c r="E52" i="25"/>
  <c r="E53" i="25"/>
  <c r="E54" i="25"/>
  <c r="E55" i="25"/>
  <c r="E56" i="25"/>
  <c r="E61" i="25"/>
  <c r="AB61" i="25" s="1"/>
  <c r="E63" i="25"/>
  <c r="E70" i="25"/>
  <c r="E72" i="25"/>
  <c r="AB72" i="25" s="1"/>
  <c r="D40" i="21"/>
  <c r="D43" i="21" s="1"/>
  <c r="E40" i="21"/>
  <c r="F40" i="21"/>
  <c r="G40" i="21"/>
  <c r="H40" i="21"/>
  <c r="E49" i="20"/>
  <c r="F49" i="20"/>
  <c r="J84" i="8"/>
  <c r="L84" i="8" s="1"/>
  <c r="E37" i="23"/>
  <c r="E39" i="23"/>
  <c r="B71" i="23"/>
  <c r="D71" i="23" s="1"/>
  <c r="E71" i="23" s="1"/>
  <c r="D24" i="24"/>
  <c r="D57" i="23"/>
  <c r="D40" i="23"/>
  <c r="I77" i="8"/>
  <c r="K18" i="8"/>
  <c r="K27" i="8" s="1"/>
  <c r="K17" i="8"/>
  <c r="K26" i="8" s="1"/>
  <c r="I22" i="13"/>
  <c r="I23" i="13"/>
  <c r="F37" i="23"/>
  <c r="F39" i="23"/>
  <c r="D84" i="25"/>
  <c r="E84" i="25" s="1"/>
  <c r="D11" i="25"/>
  <c r="E11" i="25" s="1"/>
  <c r="D83" i="25"/>
  <c r="E83" i="25" s="1"/>
  <c r="D10" i="25"/>
  <c r="E10" i="25" s="1"/>
  <c r="F58" i="25" l="1"/>
  <c r="F62" i="25"/>
  <c r="G58" i="25"/>
  <c r="G62" i="25"/>
  <c r="G81" i="25"/>
  <c r="F81" i="25"/>
  <c r="G8" i="25"/>
  <c r="F8" i="25"/>
  <c r="H58" i="25"/>
  <c r="H62" i="25"/>
  <c r="I58" i="25"/>
  <c r="I62" i="25"/>
  <c r="J58" i="25"/>
  <c r="J62" i="25"/>
  <c r="K58" i="25"/>
  <c r="K62" i="25"/>
  <c r="L58" i="25"/>
  <c r="L62" i="25"/>
  <c r="M58" i="25"/>
  <c r="M62" i="25"/>
  <c r="N58" i="25"/>
  <c r="N62" i="25"/>
  <c r="O58" i="25"/>
  <c r="O62" i="25"/>
  <c r="D58" i="25"/>
  <c r="D62" i="25"/>
  <c r="J7" i="10"/>
  <c r="J11" i="10"/>
  <c r="J8" i="12"/>
  <c r="J10" i="12"/>
  <c r="J7" i="11"/>
  <c r="J13" i="11"/>
  <c r="J17" i="13" s="1"/>
  <c r="P50" i="25"/>
  <c r="AA50" i="25"/>
  <c r="Z50" i="25"/>
  <c r="Y50" i="25"/>
  <c r="X50" i="25"/>
  <c r="V50" i="25"/>
  <c r="U50" i="25"/>
  <c r="T50" i="25"/>
  <c r="W50" i="25"/>
  <c r="S50" i="25"/>
  <c r="R50" i="25"/>
  <c r="J7" i="13"/>
  <c r="J8" i="13"/>
  <c r="J10" i="13"/>
  <c r="J11" i="13"/>
  <c r="J13" i="13"/>
  <c r="J19" i="13"/>
  <c r="F20" i="17"/>
  <c r="N20" i="17" s="1"/>
  <c r="E21" i="21"/>
  <c r="E20" i="25"/>
  <c r="AC50" i="25"/>
  <c r="B109" i="25" s="1"/>
  <c r="D109" i="25" s="1"/>
  <c r="AC73" i="25"/>
  <c r="J6" i="16"/>
  <c r="J7" i="16"/>
  <c r="K7" i="9"/>
  <c r="K11" i="14"/>
  <c r="K14" i="14"/>
  <c r="K15" i="14"/>
  <c r="K19" i="14"/>
  <c r="K20" i="14"/>
  <c r="K6" i="10"/>
  <c r="K6" i="12"/>
  <c r="K6" i="11"/>
  <c r="K6" i="13"/>
  <c r="J21" i="8"/>
  <c r="J64" i="8" s="1"/>
  <c r="J11" i="8"/>
  <c r="J12" i="8" s="1"/>
  <c r="J9" i="8"/>
  <c r="L6" i="9"/>
  <c r="K24" i="8"/>
  <c r="K8" i="8"/>
  <c r="B37" i="24"/>
  <c r="C37" i="24"/>
  <c r="D37" i="24"/>
  <c r="E37" i="24"/>
  <c r="F37" i="24"/>
  <c r="Q57" i="25"/>
  <c r="Q59" i="25"/>
  <c r="Q60" i="25"/>
  <c r="D90" i="25"/>
  <c r="E90" i="25" s="1"/>
  <c r="D15" i="25"/>
  <c r="E15" i="25" s="1"/>
  <c r="E57" i="25"/>
  <c r="E59" i="25"/>
  <c r="E60" i="25"/>
  <c r="AB60" i="25" s="1"/>
  <c r="E40" i="23"/>
  <c r="E57" i="23"/>
  <c r="B49" i="24"/>
  <c r="C49" i="24"/>
  <c r="D49" i="24"/>
  <c r="E49" i="24"/>
  <c r="F49" i="24"/>
  <c r="B50" i="24"/>
  <c r="C50" i="24"/>
  <c r="D50" i="24"/>
  <c r="E50" i="24"/>
  <c r="F50" i="24"/>
  <c r="B51" i="24"/>
  <c r="C51" i="24"/>
  <c r="D51" i="24"/>
  <c r="E51" i="24"/>
  <c r="F51" i="24"/>
  <c r="B52" i="24"/>
  <c r="C52" i="24"/>
  <c r="D52" i="24"/>
  <c r="E52" i="24"/>
  <c r="F52" i="24"/>
  <c r="B53" i="24"/>
  <c r="C53" i="24"/>
  <c r="D53" i="24"/>
  <c r="E53" i="24"/>
  <c r="F53" i="24"/>
  <c r="B60" i="24"/>
  <c r="C60" i="24"/>
  <c r="D60" i="24"/>
  <c r="E60" i="24"/>
  <c r="F60" i="24"/>
  <c r="B61" i="24"/>
  <c r="C61" i="24"/>
  <c r="D61" i="24"/>
  <c r="E61" i="24"/>
  <c r="F61" i="24"/>
  <c r="B62" i="24"/>
  <c r="C62" i="24"/>
  <c r="D62" i="24"/>
  <c r="E62" i="24"/>
  <c r="F62" i="24"/>
  <c r="B63" i="24"/>
  <c r="C63" i="24"/>
  <c r="D63" i="24"/>
  <c r="E63" i="24"/>
  <c r="F63" i="24"/>
  <c r="B64" i="24"/>
  <c r="C64" i="24"/>
  <c r="D64" i="24"/>
  <c r="E64" i="24"/>
  <c r="F64" i="24"/>
  <c r="D41" i="23"/>
  <c r="D9" i="24" s="1"/>
  <c r="D54" i="23"/>
  <c r="D7" i="24"/>
  <c r="D11" i="24"/>
  <c r="D12" i="24" s="1"/>
  <c r="D13" i="24" s="1"/>
  <c r="D11" i="23"/>
  <c r="D12" i="23" s="1"/>
  <c r="J77" i="8"/>
  <c r="L77" i="8" s="1"/>
  <c r="D89" i="8" s="1"/>
  <c r="L89" i="8" s="1"/>
  <c r="D21" i="25"/>
  <c r="I6" i="15"/>
  <c r="I9" i="15" s="1"/>
  <c r="I24" i="13"/>
  <c r="I63" i="25"/>
  <c r="H63" i="25"/>
  <c r="G63" i="25"/>
  <c r="F63" i="25"/>
  <c r="D63" i="25"/>
  <c r="N63" i="25"/>
  <c r="O63" i="25"/>
  <c r="M63" i="25"/>
  <c r="L63" i="25"/>
  <c r="K63" i="25"/>
  <c r="J63" i="25"/>
  <c r="F57" i="23"/>
  <c r="F40" i="23"/>
  <c r="G84" i="25"/>
  <c r="F84" i="25"/>
  <c r="G11" i="25"/>
  <c r="F11" i="25"/>
  <c r="F83" i="25"/>
  <c r="G83" i="25"/>
  <c r="G10" i="25"/>
  <c r="F10" i="25"/>
  <c r="AB73" i="25"/>
  <c r="AB50" i="25"/>
  <c r="B108" i="25" s="1"/>
  <c r="D108" i="25" s="1"/>
  <c r="D79" i="25"/>
  <c r="E79" i="25" s="1"/>
  <c r="D80" i="25"/>
  <c r="E80" i="25" s="1"/>
  <c r="D7" i="25"/>
  <c r="E7" i="25" s="1"/>
  <c r="D6" i="25"/>
  <c r="E6" i="25" s="1"/>
  <c r="E67" i="25"/>
  <c r="D82" i="25"/>
  <c r="E82" i="25" s="1"/>
  <c r="D9" i="25"/>
  <c r="E9" i="25" s="1"/>
  <c r="AB70" i="25"/>
  <c r="D91" i="25"/>
  <c r="E91" i="25" s="1"/>
  <c r="J12" i="10" l="1"/>
  <c r="J10" i="14" s="1"/>
  <c r="J13" i="10"/>
  <c r="J17" i="14" s="1"/>
  <c r="J14" i="10"/>
  <c r="J15" i="10" s="1"/>
  <c r="J8" i="15" s="1"/>
  <c r="E27" i="21" s="1"/>
  <c r="J9" i="14"/>
  <c r="J12" i="12"/>
  <c r="J10" i="15"/>
  <c r="J27" i="13"/>
  <c r="J7" i="15"/>
  <c r="E25" i="21" s="1"/>
  <c r="J9" i="11"/>
  <c r="J11" i="11" s="1"/>
  <c r="J18" i="13" s="1"/>
  <c r="J8" i="11"/>
  <c r="K9" i="11"/>
  <c r="K11" i="11" s="1"/>
  <c r="K18" i="13" s="1"/>
  <c r="J18" i="14"/>
  <c r="P60" i="25"/>
  <c r="AC60" i="25" s="1"/>
  <c r="P59" i="25"/>
  <c r="AC59" i="25" s="1"/>
  <c r="P57" i="25"/>
  <c r="AC57" i="25" s="1"/>
  <c r="AA60" i="25"/>
  <c r="AA59" i="25"/>
  <c r="AA57" i="25"/>
  <c r="Z60" i="25"/>
  <c r="Z59" i="25"/>
  <c r="Z57" i="25"/>
  <c r="Y60" i="25"/>
  <c r="Y59" i="25"/>
  <c r="Y57" i="25"/>
  <c r="X60" i="25"/>
  <c r="X59" i="25"/>
  <c r="X57" i="25"/>
  <c r="V60" i="25"/>
  <c r="V59" i="25"/>
  <c r="V57" i="25"/>
  <c r="U60" i="25"/>
  <c r="U59" i="25"/>
  <c r="U57" i="25"/>
  <c r="T60" i="25"/>
  <c r="T59" i="25"/>
  <c r="T57" i="25"/>
  <c r="W60" i="25"/>
  <c r="W59" i="25"/>
  <c r="W57" i="25"/>
  <c r="S60" i="25"/>
  <c r="S59" i="25"/>
  <c r="S57" i="25"/>
  <c r="R60" i="25"/>
  <c r="R59" i="25"/>
  <c r="R57" i="25"/>
  <c r="J15" i="13"/>
  <c r="J12" i="13"/>
  <c r="J14" i="13"/>
  <c r="K7" i="10"/>
  <c r="K11" i="10"/>
  <c r="K8" i="12"/>
  <c r="K10" i="15" s="1"/>
  <c r="K10" i="12"/>
  <c r="K13" i="11"/>
  <c r="K17" i="13" s="1"/>
  <c r="K7" i="11"/>
  <c r="K7" i="13"/>
  <c r="K8" i="13"/>
  <c r="K10" i="13"/>
  <c r="K7" i="16" s="1"/>
  <c r="K11" i="13"/>
  <c r="K12" i="13" s="1"/>
  <c r="K13" i="13"/>
  <c r="K14" i="13" s="1"/>
  <c r="K19" i="13"/>
  <c r="F21" i="21"/>
  <c r="K6" i="16"/>
  <c r="L6" i="13"/>
  <c r="L7" i="9"/>
  <c r="L6" i="10"/>
  <c r="L6" i="12"/>
  <c r="L6" i="11"/>
  <c r="L11" i="14"/>
  <c r="L14" i="14"/>
  <c r="L15" i="14"/>
  <c r="L19" i="14"/>
  <c r="L20" i="14"/>
  <c r="K11" i="8"/>
  <c r="K12" i="8" s="1"/>
  <c r="K9" i="8"/>
  <c r="M6" i="9"/>
  <c r="K21" i="8"/>
  <c r="K64" i="8" s="1"/>
  <c r="Q58" i="25"/>
  <c r="Q62" i="25"/>
  <c r="G90" i="25"/>
  <c r="F90" i="25"/>
  <c r="G15" i="25"/>
  <c r="F15" i="25"/>
  <c r="E58" i="25"/>
  <c r="E62" i="25"/>
  <c r="E41" i="23"/>
  <c r="E9" i="24" s="1"/>
  <c r="E54" i="23"/>
  <c r="B73" i="23"/>
  <c r="E73" i="23" s="1"/>
  <c r="E7" i="24"/>
  <c r="E11" i="24"/>
  <c r="E12" i="24" s="1"/>
  <c r="E13" i="24" s="1"/>
  <c r="D30" i="24"/>
  <c r="E11" i="23"/>
  <c r="E12" i="23" s="1"/>
  <c r="E71" i="25"/>
  <c r="D71" i="25"/>
  <c r="AB71" i="25" s="1"/>
  <c r="O71" i="25"/>
  <c r="N71" i="25"/>
  <c r="M71" i="25"/>
  <c r="L71" i="25"/>
  <c r="K71" i="25"/>
  <c r="J71" i="25"/>
  <c r="I71" i="25"/>
  <c r="H71" i="25"/>
  <c r="G71" i="25"/>
  <c r="F71" i="25"/>
  <c r="D13" i="25"/>
  <c r="E13" i="25" s="1"/>
  <c r="D86" i="25"/>
  <c r="E86" i="25" s="1"/>
  <c r="F41" i="23"/>
  <c r="F9" i="24" s="1"/>
  <c r="F54" i="23"/>
  <c r="F7" i="24"/>
  <c r="F11" i="24"/>
  <c r="F12" i="24" s="1"/>
  <c r="F13" i="24" s="1"/>
  <c r="F11" i="23"/>
  <c r="F12" i="23" s="1"/>
  <c r="F79" i="25"/>
  <c r="G79" i="25"/>
  <c r="F80" i="25"/>
  <c r="G80" i="25"/>
  <c r="G7" i="25"/>
  <c r="F7" i="25"/>
  <c r="F6" i="25"/>
  <c r="G6" i="25"/>
  <c r="F82" i="25"/>
  <c r="G82" i="25"/>
  <c r="F9" i="25"/>
  <c r="G9" i="25"/>
  <c r="F91" i="25"/>
  <c r="G91" i="25"/>
  <c r="AB57" i="25"/>
  <c r="C98" i="25"/>
  <c r="D87" i="25"/>
  <c r="E87" i="25" s="1"/>
  <c r="D14" i="25"/>
  <c r="E14" i="25" s="1"/>
  <c r="C97" i="25"/>
  <c r="AB59" i="25"/>
  <c r="C99" i="25"/>
  <c r="D88" i="25"/>
  <c r="E88" i="25" s="1"/>
  <c r="I25" i="14"/>
  <c r="I25" i="13"/>
  <c r="AB74" i="25"/>
  <c r="AB63" i="25"/>
  <c r="B110" i="25" s="1"/>
  <c r="D110" i="25" s="1"/>
  <c r="R68" i="25" l="1"/>
  <c r="Q68" i="25"/>
  <c r="AA68" i="25"/>
  <c r="Z68" i="25"/>
  <c r="Y68" i="25"/>
  <c r="X68" i="25"/>
  <c r="W68" i="25"/>
  <c r="V68" i="25"/>
  <c r="U68" i="25"/>
  <c r="T68" i="25"/>
  <c r="P68" i="25"/>
  <c r="S68" i="25"/>
  <c r="AA69" i="25"/>
  <c r="Z69" i="25"/>
  <c r="Y69" i="25"/>
  <c r="X69" i="25"/>
  <c r="W69" i="25"/>
  <c r="V69" i="25"/>
  <c r="U69" i="25"/>
  <c r="T69" i="25"/>
  <c r="S69" i="25"/>
  <c r="R69" i="25"/>
  <c r="Q69" i="25"/>
  <c r="P69" i="25"/>
  <c r="J21" i="14"/>
  <c r="J13" i="14"/>
  <c r="K11" i="12"/>
  <c r="K12" i="12" s="1"/>
  <c r="J13" i="12"/>
  <c r="Q70" i="25"/>
  <c r="W70" i="25"/>
  <c r="P70" i="25"/>
  <c r="AC70" i="25" s="1"/>
  <c r="AA70" i="25"/>
  <c r="Z70" i="25"/>
  <c r="Y70" i="25"/>
  <c r="X70" i="25"/>
  <c r="V70" i="25"/>
  <c r="U70" i="25"/>
  <c r="T70" i="25"/>
  <c r="S70" i="25"/>
  <c r="R70" i="25"/>
  <c r="J11" i="15"/>
  <c r="E26" i="21"/>
  <c r="J12" i="15"/>
  <c r="P58" i="25"/>
  <c r="P62" i="25"/>
  <c r="AC62" i="25" s="1"/>
  <c r="AA58" i="25"/>
  <c r="AA62" i="25"/>
  <c r="Z58" i="25"/>
  <c r="Z62" i="25"/>
  <c r="Y58" i="25"/>
  <c r="Y62" i="25"/>
  <c r="X58" i="25"/>
  <c r="X62" i="25"/>
  <c r="V58" i="25"/>
  <c r="V62" i="25"/>
  <c r="U58" i="25"/>
  <c r="U62" i="25"/>
  <c r="T58" i="25"/>
  <c r="T62" i="25"/>
  <c r="W58" i="25"/>
  <c r="W62" i="25"/>
  <c r="S58" i="25"/>
  <c r="S62" i="25"/>
  <c r="R58" i="25"/>
  <c r="R62" i="25"/>
  <c r="J16" i="13"/>
  <c r="J20" i="13"/>
  <c r="J28" i="13"/>
  <c r="J20" i="15"/>
  <c r="E22" i="21"/>
  <c r="E24" i="21" s="1"/>
  <c r="K13" i="10"/>
  <c r="K12" i="10"/>
  <c r="K10" i="14" s="1"/>
  <c r="K9" i="14"/>
  <c r="K11" i="15"/>
  <c r="F26" i="21"/>
  <c r="K27" i="13"/>
  <c r="K7" i="15"/>
  <c r="F25" i="21" s="1"/>
  <c r="K8" i="11"/>
  <c r="K18" i="14"/>
  <c r="L7" i="13"/>
  <c r="L8" i="13"/>
  <c r="L10" i="13"/>
  <c r="L11" i="13"/>
  <c r="L12" i="13" s="1"/>
  <c r="L13" i="13"/>
  <c r="L14" i="13" s="1"/>
  <c r="L19" i="13"/>
  <c r="G21" i="21"/>
  <c r="L6" i="16"/>
  <c r="L7" i="16"/>
  <c r="L7" i="10"/>
  <c r="L11" i="10"/>
  <c r="L8" i="12"/>
  <c r="L10" i="15" s="1"/>
  <c r="L10" i="12"/>
  <c r="L7" i="11"/>
  <c r="L9" i="11" s="1"/>
  <c r="L11" i="11" s="1"/>
  <c r="L18" i="13" s="1"/>
  <c r="L13" i="11"/>
  <c r="L17" i="13" s="1"/>
  <c r="M6" i="10"/>
  <c r="M11" i="14"/>
  <c r="M14" i="14"/>
  <c r="M15" i="14"/>
  <c r="M19" i="14"/>
  <c r="M20" i="14"/>
  <c r="M7" i="9"/>
  <c r="M6" i="12"/>
  <c r="M6" i="11"/>
  <c r="M6" i="13"/>
  <c r="D71" i="24"/>
  <c r="E71" i="24" s="1"/>
  <c r="D70" i="24"/>
  <c r="E70" i="24" s="1"/>
  <c r="G13" i="25"/>
  <c r="F13" i="25"/>
  <c r="G86" i="25"/>
  <c r="F86" i="25"/>
  <c r="F87" i="25"/>
  <c r="G87" i="25"/>
  <c r="F14" i="25"/>
  <c r="G14" i="25"/>
  <c r="F88" i="25"/>
  <c r="G88" i="25"/>
  <c r="D10" i="21"/>
  <c r="D54" i="21" s="1"/>
  <c r="E10" i="21"/>
  <c r="F10" i="21"/>
  <c r="F54" i="21" s="1"/>
  <c r="E20" i="17"/>
  <c r="I20" i="17" s="1"/>
  <c r="I13" i="15"/>
  <c r="I14" i="15" s="1"/>
  <c r="I26" i="13"/>
  <c r="I23" i="14"/>
  <c r="K15" i="13"/>
  <c r="AB62" i="25"/>
  <c r="D89" i="25"/>
  <c r="E89" i="25" s="1"/>
  <c r="C96" i="25"/>
  <c r="K13" i="12" l="1"/>
  <c r="K13" i="14"/>
  <c r="L11" i="12"/>
  <c r="L12" i="12" s="1"/>
  <c r="J21" i="13"/>
  <c r="J22" i="13" s="1"/>
  <c r="J23" i="13"/>
  <c r="Q61" i="25"/>
  <c r="P61" i="25"/>
  <c r="AA61" i="25"/>
  <c r="Z61" i="25"/>
  <c r="Y61" i="25"/>
  <c r="X61" i="25"/>
  <c r="V61" i="25"/>
  <c r="U61" i="25"/>
  <c r="T61" i="25"/>
  <c r="W61" i="25"/>
  <c r="S61" i="25"/>
  <c r="R61" i="25"/>
  <c r="G20" i="17"/>
  <c r="M20" i="17" s="1"/>
  <c r="AC61" i="25"/>
  <c r="Q72" i="25"/>
  <c r="P72" i="25"/>
  <c r="AA72" i="25"/>
  <c r="Z72" i="25"/>
  <c r="Y72" i="25"/>
  <c r="X72" i="25"/>
  <c r="W72" i="25"/>
  <c r="U72" i="25"/>
  <c r="V72" i="25"/>
  <c r="T72" i="25"/>
  <c r="S72" i="25"/>
  <c r="AC72" i="25" s="1"/>
  <c r="R72" i="25"/>
  <c r="J21" i="15"/>
  <c r="E29" i="21"/>
  <c r="K12" i="15"/>
  <c r="L12" i="10"/>
  <c r="L10" i="14" s="1"/>
  <c r="L13" i="10"/>
  <c r="L17" i="14" s="1"/>
  <c r="L14" i="10"/>
  <c r="L15" i="10" s="1"/>
  <c r="L8" i="15" s="1"/>
  <c r="G27" i="21" s="1"/>
  <c r="L9" i="14"/>
  <c r="L11" i="15"/>
  <c r="G26" i="21"/>
  <c r="L27" i="13"/>
  <c r="L7" i="15"/>
  <c r="G25" i="21" s="1"/>
  <c r="L8" i="11"/>
  <c r="L18" i="14"/>
  <c r="M9" i="11"/>
  <c r="M11" i="11" s="1"/>
  <c r="M18" i="13" s="1"/>
  <c r="M7" i="10"/>
  <c r="M11" i="10"/>
  <c r="M8" i="12"/>
  <c r="M10" i="15" s="1"/>
  <c r="M10" i="12"/>
  <c r="M7" i="11"/>
  <c r="M13" i="11"/>
  <c r="M17" i="13" s="1"/>
  <c r="M7" i="13"/>
  <c r="M8" i="13"/>
  <c r="M15" i="13" s="1"/>
  <c r="M10" i="13"/>
  <c r="M7" i="16" s="1"/>
  <c r="M11" i="13"/>
  <c r="M12" i="13" s="1"/>
  <c r="M13" i="13"/>
  <c r="M14" i="13" s="1"/>
  <c r="M19" i="13"/>
  <c r="H21" i="21"/>
  <c r="M6" i="16"/>
  <c r="E54" i="21"/>
  <c r="D21" i="24"/>
  <c r="I26" i="14"/>
  <c r="I27" i="14" s="1"/>
  <c r="I6" i="14" s="1"/>
  <c r="I10" i="16"/>
  <c r="F22" i="21"/>
  <c r="F24" i="21" s="1"/>
  <c r="K28" i="13"/>
  <c r="K20" i="13"/>
  <c r="K16" i="13"/>
  <c r="F89" i="25"/>
  <c r="G89" i="25"/>
  <c r="C100" i="25"/>
  <c r="C102" i="25"/>
  <c r="B112" i="25" s="1"/>
  <c r="D112" i="25" s="1"/>
  <c r="E28" i="21"/>
  <c r="K21" i="14"/>
  <c r="L15" i="13"/>
  <c r="K17" i="14"/>
  <c r="K14" i="10"/>
  <c r="K15" i="10" s="1"/>
  <c r="K8" i="15" s="1"/>
  <c r="L13" i="12" l="1"/>
  <c r="L13" i="14"/>
  <c r="M11" i="12"/>
  <c r="M12" i="12" s="1"/>
  <c r="Q63" i="25"/>
  <c r="S63" i="25"/>
  <c r="P63" i="25"/>
  <c r="Z63" i="25"/>
  <c r="AA63" i="25"/>
  <c r="Y63" i="25"/>
  <c r="X63" i="25"/>
  <c r="W63" i="25"/>
  <c r="V63" i="25"/>
  <c r="U63" i="25"/>
  <c r="T63" i="25"/>
  <c r="R63" i="25"/>
  <c r="J24" i="13"/>
  <c r="J6" i="15"/>
  <c r="J9" i="15" s="1"/>
  <c r="E21" i="25"/>
  <c r="E31" i="21"/>
  <c r="E41" i="21"/>
  <c r="E42" i="21"/>
  <c r="E43" i="21"/>
  <c r="L12" i="15"/>
  <c r="M13" i="10"/>
  <c r="M17" i="14" s="1"/>
  <c r="M12" i="10"/>
  <c r="M9" i="14"/>
  <c r="M11" i="15"/>
  <c r="H26" i="21"/>
  <c r="M27" i="13"/>
  <c r="M7" i="15"/>
  <c r="H25" i="21" s="1"/>
  <c r="M8" i="11"/>
  <c r="M18" i="14"/>
  <c r="M16" i="13"/>
  <c r="M20" i="13"/>
  <c r="M28" i="13"/>
  <c r="H22" i="21"/>
  <c r="H24" i="21" s="1"/>
  <c r="I14" i="11"/>
  <c r="I15" i="11" s="1"/>
  <c r="I11" i="16"/>
  <c r="I17" i="15"/>
  <c r="I15" i="15" s="1"/>
  <c r="J16" i="15"/>
  <c r="I12" i="14"/>
  <c r="I16" i="14" s="1"/>
  <c r="I28" i="14" s="1"/>
  <c r="I8" i="16" s="1"/>
  <c r="I7" i="14"/>
  <c r="I8" i="14" s="1"/>
  <c r="I29" i="14"/>
  <c r="K21" i="13"/>
  <c r="G22" i="21"/>
  <c r="G24" i="21" s="1"/>
  <c r="G28" i="21" s="1"/>
  <c r="L20" i="15"/>
  <c r="L28" i="13"/>
  <c r="L20" i="13"/>
  <c r="L16" i="13"/>
  <c r="L21" i="14"/>
  <c r="E30" i="21"/>
  <c r="F27" i="21"/>
  <c r="F28" i="21" s="1"/>
  <c r="K20" i="15"/>
  <c r="M13" i="12" l="1"/>
  <c r="M13" i="14"/>
  <c r="Q71" i="25"/>
  <c r="S71" i="25"/>
  <c r="P71" i="25"/>
  <c r="Z71" i="25"/>
  <c r="Y71" i="25"/>
  <c r="AA71" i="25"/>
  <c r="X71" i="25"/>
  <c r="W71" i="25"/>
  <c r="V71" i="25"/>
  <c r="U71" i="25"/>
  <c r="T71" i="25"/>
  <c r="R71" i="25"/>
  <c r="AC71" i="25"/>
  <c r="M12" i="15"/>
  <c r="M21" i="13"/>
  <c r="I19" i="15"/>
  <c r="I9" i="16" s="1"/>
  <c r="I12" i="16" s="1"/>
  <c r="I18" i="15"/>
  <c r="L21" i="15"/>
  <c r="G29" i="21"/>
  <c r="L21" i="13"/>
  <c r="L22" i="13" s="1"/>
  <c r="L23" i="13"/>
  <c r="F29" i="21"/>
  <c r="K21" i="15"/>
  <c r="M21" i="14"/>
  <c r="AC63" i="25"/>
  <c r="B111" i="25" s="1"/>
  <c r="D111" i="25" s="1"/>
  <c r="B114" i="25" s="1"/>
  <c r="D114" i="25" s="1"/>
  <c r="AC74" i="25"/>
  <c r="J25" i="14"/>
  <c r="J25" i="13"/>
  <c r="M10" i="14"/>
  <c r="M14" i="10"/>
  <c r="M15" i="10" s="1"/>
  <c r="M8" i="15" s="1"/>
  <c r="K22" i="13"/>
  <c r="K23" i="13"/>
  <c r="G30" i="21" l="1"/>
  <c r="G31" i="21"/>
  <c r="G41" i="21"/>
  <c r="G42" i="21"/>
  <c r="G43" i="21"/>
  <c r="L24" i="13"/>
  <c r="L25" i="13"/>
  <c r="L6" i="15"/>
  <c r="L9" i="15" s="1"/>
  <c r="F30" i="21"/>
  <c r="F31" i="21"/>
  <c r="F41" i="21"/>
  <c r="F42" i="21"/>
  <c r="F43" i="21"/>
  <c r="H20" i="17"/>
  <c r="L20" i="17" s="1"/>
  <c r="J13" i="15"/>
  <c r="J14" i="15" s="1"/>
  <c r="J26" i="13"/>
  <c r="J23" i="14"/>
  <c r="M20" i="15"/>
  <c r="H27" i="21"/>
  <c r="H28" i="21" s="1"/>
  <c r="K6" i="15"/>
  <c r="K9" i="15" s="1"/>
  <c r="K24" i="13"/>
  <c r="M22" i="13"/>
  <c r="M23" i="13"/>
  <c r="L26" i="13" l="1"/>
  <c r="L13" i="15"/>
  <c r="L14" i="15" s="1"/>
  <c r="J10" i="16"/>
  <c r="K23" i="14"/>
  <c r="J26" i="14"/>
  <c r="J27" i="14" s="1"/>
  <c r="J6" i="14" s="1"/>
  <c r="H29" i="21"/>
  <c r="M21" i="15"/>
  <c r="M6" i="15"/>
  <c r="M9" i="15" s="1"/>
  <c r="M24" i="13"/>
  <c r="M25" i="13" s="1"/>
  <c r="L25" i="14"/>
  <c r="M25" i="14" s="1"/>
  <c r="K25" i="14"/>
  <c r="K25" i="13"/>
  <c r="K26" i="14" l="1"/>
  <c r="K27" i="14" s="1"/>
  <c r="K6" i="14" s="1"/>
  <c r="L23" i="14"/>
  <c r="J14" i="11"/>
  <c r="J15" i="11" s="1"/>
  <c r="J11" i="16"/>
  <c r="J17" i="15"/>
  <c r="J15" i="15" s="1"/>
  <c r="K16" i="15"/>
  <c r="J12" i="14"/>
  <c r="J16" i="14" s="1"/>
  <c r="J28" i="14" s="1"/>
  <c r="J8" i="16" s="1"/>
  <c r="J7" i="14"/>
  <c r="J8" i="14" s="1"/>
  <c r="J29" i="14"/>
  <c r="E42" i="24"/>
  <c r="E67" i="21"/>
  <c r="C66" i="21"/>
  <c r="D65" i="21"/>
  <c r="D64" i="21"/>
  <c r="C63" i="21"/>
  <c r="E38" i="24"/>
  <c r="D41" i="24"/>
  <c r="B38" i="24"/>
  <c r="D42" i="24"/>
  <c r="B42" i="24"/>
  <c r="H30" i="21"/>
  <c r="B72" i="21" s="1"/>
  <c r="D72" i="21" s="1"/>
  <c r="E39" i="24"/>
  <c r="C39" i="24"/>
  <c r="E66" i="21"/>
  <c r="F64" i="21"/>
  <c r="D39" i="24"/>
  <c r="C67" i="21"/>
  <c r="F65" i="21"/>
  <c r="G64" i="21"/>
  <c r="D63" i="21"/>
  <c r="F67" i="21"/>
  <c r="F39" i="24"/>
  <c r="F41" i="24"/>
  <c r="D67" i="21"/>
  <c r="F42" i="24"/>
  <c r="F40" i="24"/>
  <c r="F38" i="24"/>
  <c r="E41" i="24"/>
  <c r="E40" i="24"/>
  <c r="D38" i="24"/>
  <c r="C42" i="24"/>
  <c r="C41" i="24"/>
  <c r="C40" i="24"/>
  <c r="B39" i="24"/>
  <c r="G65" i="21"/>
  <c r="B41" i="24"/>
  <c r="F66" i="21"/>
  <c r="E65" i="21"/>
  <c r="E64" i="21"/>
  <c r="C64" i="21"/>
  <c r="G63" i="21"/>
  <c r="F63" i="21"/>
  <c r="E63" i="21"/>
  <c r="C38" i="24"/>
  <c r="D66" i="21"/>
  <c r="C65" i="21"/>
  <c r="B40" i="24"/>
  <c r="G67" i="21"/>
  <c r="D40" i="24"/>
  <c r="G66" i="21"/>
  <c r="H31" i="21"/>
  <c r="H41" i="21"/>
  <c r="I41" i="21" s="1"/>
  <c r="D51" i="21" s="1"/>
  <c r="H42" i="21"/>
  <c r="I42" i="21" s="1"/>
  <c r="E51" i="21" s="1"/>
  <c r="H43" i="21"/>
  <c r="I43" i="21" s="1"/>
  <c r="F51" i="21" s="1"/>
  <c r="D48" i="21"/>
  <c r="D49" i="21" s="1"/>
  <c r="D50" i="21" s="1"/>
  <c r="D52" i="21" s="1"/>
  <c r="E48" i="21"/>
  <c r="E49" i="21" s="1"/>
  <c r="E50" i="21" s="1"/>
  <c r="F48" i="21"/>
  <c r="F49" i="21" s="1"/>
  <c r="F50" i="21" s="1"/>
  <c r="M26" i="13"/>
  <c r="M13" i="15"/>
  <c r="M14" i="15" s="1"/>
  <c r="K13" i="15"/>
  <c r="K26" i="13"/>
  <c r="K7" i="14" l="1"/>
  <c r="K8" i="14"/>
  <c r="K12" i="14"/>
  <c r="K16" i="14" s="1"/>
  <c r="K28" i="14" s="1"/>
  <c r="K8" i="16" s="1"/>
  <c r="L16" i="15"/>
  <c r="K17" i="15"/>
  <c r="K15" i="15" s="1"/>
  <c r="K11" i="16"/>
  <c r="K14" i="11"/>
  <c r="K15" i="11" s="1"/>
  <c r="K29" i="14"/>
  <c r="L26" i="14"/>
  <c r="L27" i="14" s="1"/>
  <c r="L6" i="14" s="1"/>
  <c r="M23" i="14"/>
  <c r="L10" i="16"/>
  <c r="J19" i="15"/>
  <c r="J9" i="16" s="1"/>
  <c r="J12" i="16" s="1"/>
  <c r="J18" i="15"/>
  <c r="D55" i="21"/>
  <c r="D13" i="21"/>
  <c r="E52" i="21"/>
  <c r="F52" i="21"/>
  <c r="K14" i="15"/>
  <c r="K10" i="16"/>
  <c r="K19" i="15" l="1"/>
  <c r="K9" i="16" s="1"/>
  <c r="K12" i="16" s="1"/>
  <c r="K18" i="15"/>
  <c r="L7" i="14"/>
  <c r="L8" i="14"/>
  <c r="L12" i="14"/>
  <c r="L16" i="14" s="1"/>
  <c r="L28" i="14" s="1"/>
  <c r="L8" i="16" s="1"/>
  <c r="M16" i="15"/>
  <c r="L17" i="15"/>
  <c r="L15" i="15" s="1"/>
  <c r="L11" i="16"/>
  <c r="L14" i="11"/>
  <c r="L15" i="11" s="1"/>
  <c r="L29" i="14"/>
  <c r="M26" i="14"/>
  <c r="M27" i="14" s="1"/>
  <c r="M6" i="14" s="1"/>
  <c r="M10" i="16"/>
  <c r="D56" i="21"/>
  <c r="D14" i="21"/>
  <c r="E13" i="21"/>
  <c r="E55" i="21"/>
  <c r="F13" i="21"/>
  <c r="F55" i="21"/>
  <c r="L19" i="15" l="1"/>
  <c r="L9" i="16" s="1"/>
  <c r="L12" i="16" s="1"/>
  <c r="L18" i="15"/>
  <c r="M7" i="14"/>
  <c r="M8" i="14"/>
  <c r="M12" i="14"/>
  <c r="M16" i="14" s="1"/>
  <c r="M28" i="14" s="1"/>
  <c r="M8" i="16" s="1"/>
  <c r="M17" i="15"/>
  <c r="M15" i="15" s="1"/>
  <c r="M11" i="16"/>
  <c r="M14" i="11"/>
  <c r="M15" i="11" s="1"/>
  <c r="M29" i="14"/>
  <c r="D57" i="21"/>
  <c r="D16" i="21" s="1"/>
  <c r="D10" i="24" s="1"/>
  <c r="D15" i="21"/>
  <c r="E56" i="21"/>
  <c r="B74" i="21"/>
  <c r="D74" i="21" s="1"/>
  <c r="E14" i="21"/>
  <c r="F56" i="21"/>
  <c r="F14" i="21"/>
  <c r="M19" i="15" l="1"/>
  <c r="M9" i="16" s="1"/>
  <c r="M12" i="16" s="1"/>
  <c r="I16" i="16" s="1"/>
  <c r="I17" i="16" s="1"/>
  <c r="M18" i="15"/>
  <c r="D10" i="23"/>
  <c r="D55" i="23" s="1"/>
  <c r="D56" i="23" s="1"/>
  <c r="D8" i="24"/>
  <c r="E57" i="21"/>
  <c r="E16" i="21" s="1"/>
  <c r="E10" i="24" s="1"/>
  <c r="E15" i="21"/>
  <c r="F57" i="21"/>
  <c r="F16" i="21" s="1"/>
  <c r="F10" i="24" s="1"/>
  <c r="F15" i="21"/>
  <c r="B75" i="21" l="1"/>
  <c r="D75" i="21" s="1"/>
  <c r="E10" i="23"/>
  <c r="E55" i="23" s="1"/>
  <c r="E56" i="23" s="1"/>
  <c r="E8" i="24"/>
  <c r="D31" i="24"/>
  <c r="D69" i="24" s="1"/>
  <c r="E69" i="24" s="1"/>
  <c r="E72" i="24" s="1"/>
  <c r="F10" i="23"/>
  <c r="F55" i="23" s="1"/>
  <c r="F56" i="23" s="1"/>
  <c r="F8" i="24"/>
</calcChain>
</file>

<file path=xl/sharedStrings.xml><?xml version="1.0" encoding="utf-8"?>
<sst xmlns="http://schemas.openxmlformats.org/spreadsheetml/2006/main" count="25327" uniqueCount="2915">
  <si>
    <t>MWG - Historical Financial Statements (VND bn)</t>
  </si>
  <si>
    <r>
      <t xml:space="preserve">Period: 2022A-2025A | Unit: VND bn ; </t>
    </r>
    <r>
      <rPr>
        <b/>
        <i/>
        <sz val="11"/>
        <color theme="9"/>
        <rFont val="Carlito"/>
      </rPr>
      <t>Green = linked raw data</t>
    </r>
    <r>
      <rPr>
        <b/>
        <i/>
        <sz val="11"/>
        <color rgb="FF1F4E78"/>
        <rFont val="Carlito"/>
      </rPr>
      <t xml:space="preserve"> </t>
    </r>
    <r>
      <rPr>
        <i/>
        <sz val="11"/>
        <color rgb="FF1F4E78"/>
        <rFont val="Carlito"/>
      </rPr>
      <t xml:space="preserve">; </t>
    </r>
    <r>
      <rPr>
        <b/>
        <i/>
        <sz val="11"/>
        <rFont val="Carlito"/>
      </rPr>
      <t>Black = calculations</t>
    </r>
  </si>
  <si>
    <t>Section</t>
  </si>
  <si>
    <t>Line Item</t>
  </si>
  <si>
    <t>Unit</t>
  </si>
  <si>
    <t>2021A</t>
  </si>
  <si>
    <t>2022A</t>
  </si>
  <si>
    <t>2023A</t>
  </si>
  <si>
    <t>2024A</t>
  </si>
  <si>
    <t>2025A</t>
  </si>
  <si>
    <t>Source Sheet</t>
  </si>
  <si>
    <t>Source item_id</t>
  </si>
  <si>
    <t>INCOME STATEMENT</t>
  </si>
  <si>
    <t>Gross Revenue</t>
  </si>
  <si>
    <t>VND bn</t>
  </si>
  <si>
    <t>90_Raw_IS_vnstock</t>
  </si>
  <si>
    <t>revenue</t>
  </si>
  <si>
    <t>Revenue</t>
  </si>
  <si>
    <t>COGS</t>
  </si>
  <si>
    <t>cost_of_goods_sold</t>
  </si>
  <si>
    <t>Gross Profit</t>
  </si>
  <si>
    <t>gross_profit</t>
  </si>
  <si>
    <t>Gross Margin</t>
  </si>
  <si>
    <t>%</t>
  </si>
  <si>
    <t>Formula</t>
  </si>
  <si>
    <t>Financial Income</t>
  </si>
  <si>
    <t>financial_income</t>
  </si>
  <si>
    <t>Finance Expenses</t>
  </si>
  <si>
    <t>finance_expenses</t>
  </si>
  <si>
    <t>Interest Expense</t>
  </si>
  <si>
    <t>of_which_interest_expense</t>
  </si>
  <si>
    <t>Selling Expenses</t>
  </si>
  <si>
    <t>selling_expenses</t>
  </si>
  <si>
    <t>G&amp;A Expenses</t>
  </si>
  <si>
    <t>admin_expenses</t>
  </si>
  <si>
    <t>Operating Expenses</t>
  </si>
  <si>
    <t>EBIT</t>
  </si>
  <si>
    <t>operating_profit</t>
  </si>
  <si>
    <t>EBIT Margin</t>
  </si>
  <si>
    <t>Other Profit</t>
  </si>
  <si>
    <t>other_profit</t>
  </si>
  <si>
    <t>Profit Before Tax</t>
  </si>
  <si>
    <t>profit_before_tax</t>
  </si>
  <si>
    <t>Current Tax Expense</t>
  </si>
  <si>
    <t>current_corporate_income_tax_expenses</t>
  </si>
  <si>
    <t>Deferred Tax Expense</t>
  </si>
  <si>
    <t>deferred_income_tax_expenses</t>
  </si>
  <si>
    <t>Total Tax Expense</t>
  </si>
  <si>
    <t>NPAT</t>
  </si>
  <si>
    <t>net_profit</t>
  </si>
  <si>
    <t>Minority Interest - IS</t>
  </si>
  <si>
    <t>minority_interest</t>
  </si>
  <si>
    <t>NPATMI</t>
  </si>
  <si>
    <t>profit_after_tax_for_shareholders_of_parent_company</t>
  </si>
  <si>
    <t>NPATMI Margin</t>
  </si>
  <si>
    <t>BALANCE SHEET</t>
  </si>
  <si>
    <t>Cash &amp; Cash Equivalents</t>
  </si>
  <si>
    <t>91_Raw_BS_vnstock</t>
  </si>
  <si>
    <t>cash_and_cash_equivalents</t>
  </si>
  <si>
    <t>Short-term Financial Investments</t>
  </si>
  <si>
    <t>short_term_financial_investments</t>
  </si>
  <si>
    <t>Receivables</t>
  </si>
  <si>
    <t>short_term_receivables</t>
  </si>
  <si>
    <t>Inventory</t>
  </si>
  <si>
    <t>inventories</t>
  </si>
  <si>
    <t>Other Current Assets</t>
  </si>
  <si>
    <t>other_short_term_assets</t>
  </si>
  <si>
    <t>Total Current Assets</t>
  </si>
  <si>
    <t>current_assets</t>
  </si>
  <si>
    <t>Fixed Assets</t>
  </si>
  <si>
    <t>fixed_assets</t>
  </si>
  <si>
    <t>Long-term Financial Investments</t>
  </si>
  <si>
    <t>long_term_financial_investments</t>
  </si>
  <si>
    <t>Other Long-term Assets</t>
  </si>
  <si>
    <t>other_long_term_assets</t>
  </si>
  <si>
    <t>Total Assets</t>
  </si>
  <si>
    <t>total_assets</t>
  </si>
  <si>
    <t>Trade Payables</t>
  </si>
  <si>
    <t>short_term_trade_accounts_payable</t>
  </si>
  <si>
    <t>Short-term Debt</t>
  </si>
  <si>
    <t>short_term_borrowings_and_financial_leases</t>
  </si>
  <si>
    <t>Current Liabilities</t>
  </si>
  <si>
    <t>current_liabilities</t>
  </si>
  <si>
    <t>Long-term Debt</t>
  </si>
  <si>
    <t>long_term_borrowings_and_financial_leases</t>
  </si>
  <si>
    <t>Long-term Liabilities</t>
  </si>
  <si>
    <t>long_term_liabilities</t>
  </si>
  <si>
    <t>Total Liabilities</t>
  </si>
  <si>
    <t>total_liabilities</t>
  </si>
  <si>
    <t>Share Capital</t>
  </si>
  <si>
    <t>owners_capital</t>
  </si>
  <si>
    <t>Retained Earnings</t>
  </si>
  <si>
    <t>retained_earnings</t>
  </si>
  <si>
    <t>Minority Interest - BS</t>
  </si>
  <si>
    <t>Total Equity</t>
  </si>
  <si>
    <t>owners_equity_2</t>
  </si>
  <si>
    <t>Total Liabilities + Equity</t>
  </si>
  <si>
    <t>total_owners_equity_and_liabilities</t>
  </si>
  <si>
    <t>Total Debt</t>
  </si>
  <si>
    <t>Net Debt</t>
  </si>
  <si>
    <t>Net Working Capital</t>
  </si>
  <si>
    <t>CASH FLOW</t>
  </si>
  <si>
    <t>CF Profit Before Tax</t>
  </si>
  <si>
    <t>92_Raw_CF_vnstock</t>
  </si>
  <si>
    <t>D&amp;A</t>
  </si>
  <si>
    <t>depreciation_of_fixed_assets_and_investment_properties</t>
  </si>
  <si>
    <t>Interest Paid</t>
  </si>
  <si>
    <t>interest_expenses_paid</t>
  </si>
  <si>
    <t>Tax Paid</t>
  </si>
  <si>
    <t>corporate_income_tax_paid</t>
  </si>
  <si>
    <t>CFO</t>
  </si>
  <si>
    <t>operating_cash_flow</t>
  </si>
  <si>
    <t>Capex</t>
  </si>
  <si>
    <t>payment_for_fixed_assets_constructions_and_other_long_term_assets</t>
  </si>
  <si>
    <t>CFI</t>
  </si>
  <si>
    <t>investing_cash_flow</t>
  </si>
  <si>
    <t>Debt Proceeds</t>
  </si>
  <si>
    <t>proceeds_from_borrowings</t>
  </si>
  <si>
    <t>Debt Repayments</t>
  </si>
  <si>
    <t>principal_repayments</t>
  </si>
  <si>
    <t>Dividends Paid</t>
  </si>
  <si>
    <t>dividends_paid_profits_distributed_to_owners</t>
  </si>
  <si>
    <t>CFF</t>
  </si>
  <si>
    <t>financing_cash_flow</t>
  </si>
  <si>
    <t>Net Change in Cash</t>
  </si>
  <si>
    <t>net_cash_flows_during_the_period</t>
  </si>
  <si>
    <t>Beginning Cash</t>
  </si>
  <si>
    <t>cash_and_cash_equivalents_at_beginning_of_the_period</t>
  </si>
  <si>
    <t>FX Effect on Cash</t>
  </si>
  <si>
    <t>exchange_difference_due_to_re_valuation_of_ending_balances</t>
  </si>
  <si>
    <t>Ending Cash</t>
  </si>
  <si>
    <t>cash_and_cash_equivalents_at_end_of_the_period</t>
  </si>
  <si>
    <t>EBITDA</t>
  </si>
  <si>
    <t>FCFF Proxy</t>
  </si>
  <si>
    <t>MODEL CHECKS</t>
  </si>
  <si>
    <t>Gross Profit Check</t>
  </si>
  <si>
    <t>Revenue - COGS - Gross Profit; should be 0</t>
  </si>
  <si>
    <t>Balance Sheet Check</t>
  </si>
  <si>
    <t>Total Assets - Total Liabilities - Total Equity; should be 0</t>
  </si>
  <si>
    <t>Liabilities + Equity Check</t>
  </si>
  <si>
    <t>Total Assets - Total Liabilities + Equity; should be 0</t>
  </si>
  <si>
    <t>Cash Flow Tie Check</t>
  </si>
  <si>
    <t>Beginning Cash + Net Change + FX - Ending Cash; should be 0</t>
  </si>
  <si>
    <t>MWG - Q1 Historical Financial Statements and LTM Bridge</t>
  </si>
  <si>
    <r>
      <t xml:space="preserve">Unit: VND bn; </t>
    </r>
    <r>
      <rPr>
        <b/>
        <i/>
        <sz val="11"/>
        <color theme="9"/>
        <rFont val="Carlito"/>
      </rPr>
      <t>Green = workbook link</t>
    </r>
    <r>
      <rPr>
        <i/>
        <sz val="11"/>
        <color rgb="FF1F4E78"/>
        <rFont val="Carlito"/>
      </rPr>
      <t xml:space="preserve"> ; </t>
    </r>
    <r>
      <rPr>
        <b/>
        <i/>
        <sz val="11"/>
        <color theme="1"/>
        <rFont val="Carlito"/>
      </rPr>
      <t>Black = formula  ;</t>
    </r>
    <r>
      <rPr>
        <i/>
        <sz val="11"/>
        <color rgb="FF1F4E78"/>
        <rFont val="Carlito"/>
      </rPr>
      <t>LTM Mar-26 = FY2025 - Q1 2025 + Q1 2026 for flow items.</t>
    </r>
  </si>
  <si>
    <t>100_Raw_Peer_Metrics!A1</t>
  </si>
  <si>
    <t>Q1 2025A</t>
  </si>
  <si>
    <t>Q1 2026A</t>
  </si>
  <si>
    <t>YoY / Change</t>
  </si>
  <si>
    <t>LTM Mar-26 / Q1 BS</t>
  </si>
  <si>
    <t>Source</t>
  </si>
  <si>
    <t>93_Raw_IS_Q_BCTC:gross_revenue</t>
  </si>
  <si>
    <t>Raw_IS_Q_vnstock:revenue</t>
  </si>
  <si>
    <t>Raw_IS_Q_vnstock:cogs</t>
  </si>
  <si>
    <t>Raw_IS_Q_vnstock:gross_profit</t>
  </si>
  <si>
    <t>Raw_IS_Q_vnstock:financial_income</t>
  </si>
  <si>
    <t>Raw_IS_Q_vnstock:finance_expenses</t>
  </si>
  <si>
    <t>Raw_IS_Q_vnstock:interest_expense</t>
  </si>
  <si>
    <t>Raw_IS_Q_vnstock:selling_expenses</t>
  </si>
  <si>
    <t>Raw_IS_Q_vnstock:admin_expenses</t>
  </si>
  <si>
    <t>Raw_IS_Q_vnstock:ebit</t>
  </si>
  <si>
    <t>Raw_IS_Q_vnstock:other_profit</t>
  </si>
  <si>
    <t>Raw_IS_Q_vnstock:pbt</t>
  </si>
  <si>
    <t>Raw_IS_Q_vnstock:current_tax</t>
  </si>
  <si>
    <t>Raw_IS_Q_vnstock:deferred_tax</t>
  </si>
  <si>
    <t>Raw_IS_Q_vnstock:total_tax</t>
  </si>
  <si>
    <t>Raw_IS_Q_vnstock:npat</t>
  </si>
  <si>
    <t>Raw_IS_Q_vnstock:minority_interest_is</t>
  </si>
  <si>
    <t>Raw_IS_Q_vnstock:npatmi</t>
  </si>
  <si>
    <t>Raw_BS_Q_vnstock:cash</t>
  </si>
  <si>
    <t>Raw_BS_Q_vnstock:short_term_investments</t>
  </si>
  <si>
    <t>Raw_BS_Q_vnstock:receivables</t>
  </si>
  <si>
    <t>Raw_BS_Q_vnstock:inventory</t>
  </si>
  <si>
    <t>Raw_BS_Q_vnstock:other_current_assets</t>
  </si>
  <si>
    <t>Raw_BS_Q_vnstock:current_assets</t>
  </si>
  <si>
    <t>Raw_BS_Q_vnstock:fixed_assets</t>
  </si>
  <si>
    <t>Raw_BS_Q_vnstock:long_term_investments</t>
  </si>
  <si>
    <t>Raw_BS_Q_vnstock:other_long_term_assets</t>
  </si>
  <si>
    <t>Raw_BS_Q_vnstock:total_assets</t>
  </si>
  <si>
    <t>Raw_BS_Q_vnstock:trade_payables</t>
  </si>
  <si>
    <t>Raw_BS_Q_vnstock:short_term_debt</t>
  </si>
  <si>
    <t>Raw_BS_Q_vnstock:current_liabilities</t>
  </si>
  <si>
    <t>Raw_BS_Q_vnstock:long_term_debt</t>
  </si>
  <si>
    <t>Raw_BS_Q_vnstock:long_term_liabilities</t>
  </si>
  <si>
    <t>Raw_BS_Q_vnstock:total_liabilities</t>
  </si>
  <si>
    <t>Raw_BS_Q_vnstock:share_capital</t>
  </si>
  <si>
    <t>Raw_BS_Q_vnstock:retained_earnings</t>
  </si>
  <si>
    <t>Raw_BS_Q_vnstock:minority_interest_bs</t>
  </si>
  <si>
    <t>Raw_BS_Q_vnstock:total_equity</t>
  </si>
  <si>
    <t>Raw_BS_Q_vnstock:liabilities_and_equity</t>
  </si>
  <si>
    <t>Raw_CF_Q_vnstock:pbt</t>
  </si>
  <si>
    <t>Raw_CF_Q_vnstock:da</t>
  </si>
  <si>
    <t>Raw_CF_Q_vnstock:interest_paid</t>
  </si>
  <si>
    <t>Raw_CF_Q_vnstock:tax_paid</t>
  </si>
  <si>
    <t>Raw_CF_Q_vnstock:cfo</t>
  </si>
  <si>
    <t>Raw_CF_Q_vnstock:capex</t>
  </si>
  <si>
    <t>Raw_CF_Q_vnstock:cfi</t>
  </si>
  <si>
    <t>Raw_CF_Q_vnstock:debt_proceeds</t>
  </si>
  <si>
    <t>Raw_CF_Q_vnstock:debt_repayments</t>
  </si>
  <si>
    <t>Raw_CF_Q_vnstock:dividends_paid</t>
  </si>
  <si>
    <t>Raw_CF_Q_vnstock:cff</t>
  </si>
  <si>
    <t>Raw_CF_Q_vnstock:net_change_cash</t>
  </si>
  <si>
    <t>Raw_CF_Q_vnstock:beginning_cash</t>
  </si>
  <si>
    <t>Raw_CF_Q_vnstock:fx_effect_cash</t>
  </si>
  <si>
    <t>Raw_CF_Q_vnstock:ending_cash</t>
  </si>
  <si>
    <t>MWG - Ratio Analysis</t>
  </si>
  <si>
    <t>Metric</t>
  </si>
  <si>
    <t>LTM Mar-26</t>
  </si>
  <si>
    <t>ROIC tax rate</t>
  </si>
  <si>
    <t>KEY DATA</t>
  </si>
  <si>
    <t>Q1 annualization factor</t>
  </si>
  <si>
    <t>Days per year</t>
  </si>
  <si>
    <t>Q1 day factor</t>
  </si>
  <si>
    <t>Cash + ST Investments</t>
  </si>
  <si>
    <t>PROFITABILITY</t>
  </si>
  <si>
    <t>ROE</t>
  </si>
  <si>
    <t>ROA</t>
  </si>
  <si>
    <t>ROIC</t>
  </si>
  <si>
    <t>WORKING CAPITAL</t>
  </si>
  <si>
    <t>Inventory Days</t>
  </si>
  <si>
    <t>days</t>
  </si>
  <si>
    <t>Receivable Days</t>
  </si>
  <si>
    <t>Payable Days</t>
  </si>
  <si>
    <t>Cash Conversion Cycle</t>
  </si>
  <si>
    <t>LEVERAGE / LIQUIDITY</t>
  </si>
  <si>
    <t>Current Ratio</t>
  </si>
  <si>
    <t>x</t>
  </si>
  <si>
    <t>Quick Ratio</t>
  </si>
  <si>
    <t>Net Debt / EBITDA</t>
  </si>
  <si>
    <t>Interest Coverage</t>
  </si>
  <si>
    <t>MWG - 06_Revenue_Drivers_Hist</t>
  </si>
  <si>
    <r>
      <t>Unit: VND bn unless otherwise stated |</t>
    </r>
    <r>
      <rPr>
        <b/>
        <i/>
        <sz val="11"/>
        <color rgb="FF44546A"/>
        <rFont val="Carlito"/>
      </rPr>
      <t xml:space="preserve"> </t>
    </r>
    <r>
      <rPr>
        <b/>
        <i/>
        <sz val="11"/>
        <color rgb="FF0070C0"/>
        <rFont val="Carlito"/>
      </rPr>
      <t xml:space="preserve">Blue = hardcoded input from source </t>
    </r>
    <r>
      <rPr>
        <b/>
        <i/>
        <sz val="11"/>
        <color rgb="FF44546A"/>
        <rFont val="Carlito"/>
      </rPr>
      <t>|</t>
    </r>
    <r>
      <rPr>
        <i/>
        <sz val="11"/>
        <color rgb="FF44546A"/>
        <rFont val="Carlito"/>
      </rPr>
      <t xml:space="preserve"> </t>
    </r>
    <r>
      <rPr>
        <b/>
        <i/>
        <sz val="11"/>
        <color rgb="FF44546A"/>
        <rFont val="Carlito"/>
      </rPr>
      <t>Black = formula/calculation</t>
    </r>
    <r>
      <rPr>
        <i/>
        <sz val="11"/>
        <color rgb="FF44546A"/>
        <rFont val="Carlito"/>
      </rPr>
      <t xml:space="preserve"> ;</t>
    </r>
    <r>
      <rPr>
        <b/>
        <i/>
        <sz val="11"/>
        <color rgb="FF44546A"/>
        <rFont val="Carlito"/>
      </rPr>
      <t>Green =Linked rawsource</t>
    </r>
  </si>
  <si>
    <t>3M2026</t>
  </si>
  <si>
    <t>5M2026</t>
  </si>
  <si>
    <t>2021-25 CAGR / Avg</t>
  </si>
  <si>
    <t>2026E Anchor</t>
  </si>
  <si>
    <t>GROUP SUMMARY</t>
  </si>
  <si>
    <t>Months represented</t>
  </si>
  <si>
    <t>months</t>
  </si>
  <si>
    <t>Total Revenue</t>
  </si>
  <si>
    <t>YoY Revenue Growth</t>
  </si>
  <si>
    <t>Online Revenue</t>
  </si>
  <si>
    <t>Online Mix</t>
  </si>
  <si>
    <t>REVENUE BY CHAIN</t>
  </si>
  <si>
    <t>TGDĐ / TopZone Revenue</t>
  </si>
  <si>
    <t>ĐMX Revenue</t>
  </si>
  <si>
    <t>BHX Revenue</t>
  </si>
  <si>
    <t>An Khang Revenue</t>
  </si>
  <si>
    <t>AVAKids Revenue</t>
  </si>
  <si>
    <t>EraBlue Revenue</t>
  </si>
  <si>
    <t>Other / Unallocated / Rounding</t>
  </si>
  <si>
    <t>Revenue Check: Segment Sum - Total Revenue</t>
  </si>
  <si>
    <t>REVENUE MIX BY CHAIN</t>
  </si>
  <si>
    <t>TGDĐ / TopZone Mix</t>
  </si>
  <si>
    <t>ĐMX Mix</t>
  </si>
  <si>
    <t>BHX Mix</t>
  </si>
  <si>
    <t>An Khang Mix</t>
  </si>
  <si>
    <t>AVAKids Mix</t>
  </si>
  <si>
    <t>Other / Rounding Mix</t>
  </si>
  <si>
    <t>ENDING STORE COUNT BY CHAIN</t>
  </si>
  <si>
    <t>TGDĐ / TopZone Stores</t>
  </si>
  <si>
    <t>stores</t>
  </si>
  <si>
    <t>ĐMX Stores</t>
  </si>
  <si>
    <t>BHX Stores</t>
  </si>
  <si>
    <t>An Khang Stores</t>
  </si>
  <si>
    <t>AVAKids Stores</t>
  </si>
  <si>
    <t>EraBlue Stores</t>
  </si>
  <si>
    <t>Total Stores - Modeled Chains</t>
  </si>
  <si>
    <t>REVENUE / STORE / MONTH</t>
  </si>
  <si>
    <t>TGDĐ / TopZone Rev/Store/Month</t>
  </si>
  <si>
    <t>VND bn/store/month</t>
  </si>
  <si>
    <t>ĐMX Rev/Store/Month</t>
  </si>
  <si>
    <t>BHX Rev/Store/Month</t>
  </si>
  <si>
    <t>An Khang Rev/Store/Month</t>
  </si>
  <si>
    <t>AVAKids Rev/Store/Month</t>
  </si>
  <si>
    <t>ONLINE &amp; KEY OPERATING METRICS</t>
  </si>
  <si>
    <t>TGDĐ/ĐMX Online Revenue</t>
  </si>
  <si>
    <t>BHX Online Revenue</t>
  </si>
  <si>
    <t>AVAKids Online Revenue</t>
  </si>
  <si>
    <t>TGDĐ/ĐMX Online Mix</t>
  </si>
  <si>
    <t>BHX Online Mix</t>
  </si>
  <si>
    <t>AVAKids Online Mix</t>
  </si>
  <si>
    <t>DMX Investment / Core ICT+CE Revenue</t>
  </si>
  <si>
    <t>Core ICT+CE SSSG / Same-store growth</t>
  </si>
  <si>
    <t>BHX New Stores in Period</t>
  </si>
  <si>
    <t>EraBlue Stores Opened in Period</t>
  </si>
  <si>
    <t>EraBlue Revenue (IDR bn)</t>
  </si>
  <si>
    <t>IDR bn</t>
  </si>
  <si>
    <t>MWG -  Revenue Driver Forecast</t>
  </si>
  <si>
    <t>Forecast period: 2026E-2030E | Unit: VND bn unless stated | Green = linked history/raw source | Blue = scenario selector/source inputs | Black = formulas. 2026E Base is calibrated to company guidance; 2027E+ uses store count x revenue/store/month drivers.</t>
  </si>
  <si>
    <t>Selected Scenario</t>
  </si>
  <si>
    <t>Base</t>
  </si>
  <si>
    <t>3M2026A</t>
  </si>
  <si>
    <t>5M2026A</t>
  </si>
  <si>
    <t>2026E</t>
  </si>
  <si>
    <t>2027E</t>
  </si>
  <si>
    <t>2028E</t>
  </si>
  <si>
    <t>2029E</t>
  </si>
  <si>
    <t>2030E</t>
  </si>
  <si>
    <t>2026 target completion</t>
  </si>
  <si>
    <t>Online / Super App Revenue</t>
  </si>
  <si>
    <t>Online / Super App Mix</t>
  </si>
  <si>
    <t>TGDD / TopZone Revenue</t>
  </si>
  <si>
    <t>DMX Revenue</t>
  </si>
  <si>
    <t>REVENUE GROWTH BY CHAIN</t>
  </si>
  <si>
    <t>TGDD / TopZone Growth</t>
  </si>
  <si>
    <t>DMX Growth</t>
  </si>
  <si>
    <t>BHX Growth</t>
  </si>
  <si>
    <t>An Khang Growth</t>
  </si>
  <si>
    <t>AVAKids Growth</t>
  </si>
  <si>
    <t>Other Growth</t>
  </si>
  <si>
    <t>TGDD / TopZone Stores</t>
  </si>
  <si>
    <t>DMX Stores</t>
  </si>
  <si>
    <t>EraBlue Stores (supplemental)</t>
  </si>
  <si>
    <t>AVERAGE STORE COUNT</t>
  </si>
  <si>
    <t>TGDD / TopZone Average Stores</t>
  </si>
  <si>
    <t>DMX Average Stores</t>
  </si>
  <si>
    <t>BHX Average Stores</t>
  </si>
  <si>
    <t>An Khang Average Stores</t>
  </si>
  <si>
    <t>AVAKids Average Stores</t>
  </si>
  <si>
    <t>TGDD / TopZone Rev/Store/Month</t>
  </si>
  <si>
    <t>DMX Rev/Store/Month</t>
  </si>
  <si>
    <t>Segment Revenue Check</t>
  </si>
  <si>
    <t>2026 Scenario Target Check</t>
  </si>
  <si>
    <t>2026 Core Mix Check</t>
  </si>
  <si>
    <t>ppt</t>
  </si>
  <si>
    <t>2026 BHX Mix Check</t>
  </si>
  <si>
    <t>2026E vs 5M Annualized Run-rate</t>
  </si>
  <si>
    <t>Model Status</t>
  </si>
  <si>
    <t>status</t>
  </si>
  <si>
    <t>FORECAST ASSUMPTION CHECK</t>
  </si>
  <si>
    <t>Driver</t>
  </si>
  <si>
    <t>Historical CAGR / Avg</t>
  </si>
  <si>
    <t>Forecast Avg</t>
  </si>
  <si>
    <t>Gap vs History</t>
  </si>
  <si>
    <t>Tolerance</t>
  </si>
  <si>
    <t>Status</t>
  </si>
  <si>
    <t>RPSM GROWTH CHECK</t>
  </si>
  <si>
    <t>TGDD / TopZone RPSM growth</t>
  </si>
  <si>
    <t>DMX RPSM growth</t>
  </si>
  <si>
    <t>BHX RPSM growth</t>
  </si>
  <si>
    <t>An Khang RPSM growth</t>
  </si>
  <si>
    <t>AVAKids RPSM growth</t>
  </si>
  <si>
    <t>STORE EXPANSION CHECK</t>
  </si>
  <si>
    <t>Historical Avg Additions</t>
  </si>
  <si>
    <t>2027E Additions</t>
  </si>
  <si>
    <t>2028E Additions</t>
  </si>
  <si>
    <t>2029E Additions</t>
  </si>
  <si>
    <t>2030E Additions</t>
  </si>
  <si>
    <t>Forecast Avg Additions</t>
  </si>
  <si>
    <t>TGDD / TopZone net store additions</t>
  </si>
  <si>
    <t>DMX net store additions</t>
  </si>
  <si>
    <t>BHX net store additions</t>
  </si>
  <si>
    <t>An Khang net store additions</t>
  </si>
  <si>
    <t>AVAKids net store additions</t>
  </si>
  <si>
    <t>EraBlue net store additions</t>
  </si>
  <si>
    <t>ASSUMPTION CHECK SUMMARY</t>
  </si>
  <si>
    <t>Total CHECK flags</t>
  </si>
  <si>
    <t>count</t>
  </si>
  <si>
    <t>MWG -  Assumptions</t>
  </si>
  <si>
    <t>Group-level 3-statement assumptions. Green = linked historical data; Blue = visible analyst input; Black = formulas. Forecast revenue links to segment driver model.</t>
  </si>
  <si>
    <t>REVENUE, MARGIN AND CAPITAL ALLOCATION</t>
  </si>
  <si>
    <t>Revenue Growth</t>
  </si>
  <si>
    <t>Margin</t>
  </si>
  <si>
    <t>Opex</t>
  </si>
  <si>
    <t>Selling Expenses / Revenue</t>
  </si>
  <si>
    <t>G&amp;A Expenses / Revenue</t>
  </si>
  <si>
    <t>Finance</t>
  </si>
  <si>
    <t>Financial Income / Revenue</t>
  </si>
  <si>
    <t>Interest Rate on Average Debt</t>
  </si>
  <si>
    <t>Other</t>
  </si>
  <si>
    <t>Other Profit / Revenue</t>
  </si>
  <si>
    <t>Tax</t>
  </si>
  <si>
    <t>Effective Tax Rate</t>
  </si>
  <si>
    <t>Minority Interest</t>
  </si>
  <si>
    <t>Minority Interest / NPAT</t>
  </si>
  <si>
    <t>Capital Return</t>
  </si>
  <si>
    <t>Dividend Payout Ratio</t>
  </si>
  <si>
    <t>WORKING CAPITAL AND BALANCE SHEET SUPPORT</t>
  </si>
  <si>
    <t>Working Capital</t>
  </si>
  <si>
    <t>Debt</t>
  </si>
  <si>
    <t>Total Debt / Revenue</t>
  </si>
  <si>
    <t>Current Assets</t>
  </si>
  <si>
    <t>Other Current Assets / Revenue</t>
  </si>
  <si>
    <t>Other Current Liabilities / Revenue</t>
  </si>
  <si>
    <t>Long-term Assets</t>
  </si>
  <si>
    <t>Long-term Investments / Revenue</t>
  </si>
  <si>
    <t>Other Long-term Assets / Revenue</t>
  </si>
  <si>
    <t>Other LT Liabilities / Revenue</t>
  </si>
  <si>
    <t>CAPEX AND D&amp;A</t>
  </si>
  <si>
    <t>Capex / Revenue</t>
  </si>
  <si>
    <t>D&amp;A / Revenue</t>
  </si>
  <si>
    <t>MWG - Working Capital Schedule</t>
  </si>
  <si>
    <t>Forecast receivables, inventory and payables from explicit days assumptions. Historical values link to 03_Historical_FS / 05_Ratio_Analysis.</t>
  </si>
  <si>
    <t>Method / Source</t>
  </si>
  <si>
    <t>Notes</t>
  </si>
  <si>
    <t>WORKING CAPITAL SCHEDULE</t>
  </si>
  <si>
    <t>Input</t>
  </si>
  <si>
    <t>Linked</t>
  </si>
  <si>
    <t>Historical FS / assumptions.</t>
  </si>
  <si>
    <t>Linked / formula</t>
  </si>
  <si>
    <t>Forecast COGS = Revenue x (1 - Gross Margin).</t>
  </si>
  <si>
    <t>Days</t>
  </si>
  <si>
    <t>Assumption sheet.</t>
  </si>
  <si>
    <t>Balance</t>
  </si>
  <si>
    <t>Historical link / formula</t>
  </si>
  <si>
    <t>Revenue x receivable days / 365.</t>
  </si>
  <si>
    <t>COGS x inventory days / 365.</t>
  </si>
  <si>
    <t>COGS x payable days / 365.</t>
  </si>
  <si>
    <t>Receivables + Inventory - Trade Payables.</t>
  </si>
  <si>
    <t>Cash Flow</t>
  </si>
  <si>
    <t>Change in Net Working Capital</t>
  </si>
  <si>
    <t>Positive value is cash outflow in CFO.</t>
  </si>
  <si>
    <t>Inventory days + receivable days - payable days.</t>
  </si>
  <si>
    <t>MWG - Capex and D&amp;A Schedule</t>
  </si>
  <si>
    <t>Forecast capex and depreciation from visible revenue-based assumptions. Fixed assets roll forward from 2025 actual.</t>
  </si>
  <si>
    <t>CAPEX AND FIXED ASSET ROLL-FORWARD</t>
  </si>
  <si>
    <t>Historical FS /  assumptions.</t>
  </si>
  <si>
    <t>Capex (Positive Outflow)</t>
  </si>
  <si>
    <t>Positive presentation; cash flow sheet shows it as outflow.</t>
  </si>
  <si>
    <t>P&amp;L</t>
  </si>
  <si>
    <t>Revenue x D&amp;A / revenue.</t>
  </si>
  <si>
    <t>Beginning Fixed Assets</t>
  </si>
  <si>
    <t>Prior year ending fixed assets.</t>
  </si>
  <si>
    <t>Ending Fixed Assets</t>
  </si>
  <si>
    <t>Historical link / roll-forward</t>
  </si>
  <si>
    <t>Forecast = beginning fixed assets + capex - D&amp;A.</t>
  </si>
  <si>
    <t>Check</t>
  </si>
  <si>
    <t>Historical Fixed Asset Check</t>
  </si>
  <si>
    <t>Historical only: ending fixed assets - raw historical fixed assets.</t>
  </si>
  <si>
    <t>MWG - Debt, Cash and Interest Schedule</t>
  </si>
  <si>
    <t>Forecast debt using debt/revenue ratio and interest using implied borrowing cost. Liquid funds link from the balance sheet.</t>
  </si>
  <si>
    <t>DEBT, CASH AND INTEREST</t>
  </si>
  <si>
    <t>Forecast = revenue x debt/revenue.</t>
  </si>
  <si>
    <t>Debt / Revenue</t>
  </si>
  <si>
    <t>Debt intensity.</t>
  </si>
  <si>
    <t>Average Debt</t>
  </si>
  <si>
    <t>Average current and prior year debt.</t>
  </si>
  <si>
    <t>Interest</t>
  </si>
  <si>
    <t>Interest Rate</t>
  </si>
  <si>
    <t>Forecast = average debt x interest rate.</t>
  </si>
  <si>
    <t>Finance Income</t>
  </si>
  <si>
    <t>Forecast = revenue x financial income/revenue.</t>
  </si>
  <si>
    <t>Liquidity</t>
  </si>
  <si>
    <t>Cash + Short-term Investments</t>
  </si>
  <si>
    <t>Balance sheet liquid funds plug.</t>
  </si>
  <si>
    <t>Total debt - cash and short-term investments.</t>
  </si>
  <si>
    <t>MWG - Forecast Income Statement</t>
  </si>
  <si>
    <t>Integrated group-level income statement. Historical data links to 03_Historical_FS; 2026E-2030E flows from assumptions and schedules.</t>
  </si>
  <si>
    <t>Implied growth.</t>
  </si>
  <si>
    <t>Revenue x gross margin.</t>
  </si>
  <si>
    <t>Revenue - gross profit.</t>
  </si>
  <si>
    <t>Revenue x selling expense ratio.</t>
  </si>
  <si>
    <t>Check ratio.</t>
  </si>
  <si>
    <t>Revenue x G&amp;A ratio.</t>
  </si>
  <si>
    <t>Gross profit - selling expenses - G&amp;A expenses.</t>
  </si>
  <si>
    <t>EBIT / revenue.</t>
  </si>
  <si>
    <t>Historical link / schedule</t>
  </si>
  <si>
    <t>Debt/cash/interest schedule.</t>
  </si>
  <si>
    <t>Revenue x other profit / revenue.</t>
  </si>
  <si>
    <t>PBT</t>
  </si>
  <si>
    <t>EBIT + financial income - interest expense + other profit.</t>
  </si>
  <si>
    <t>Tax Expense</t>
  </si>
  <si>
    <t>PBT x effective tax rate.</t>
  </si>
  <si>
    <t>Tax / PBT.</t>
  </si>
  <si>
    <t>PBT - tax.</t>
  </si>
  <si>
    <t>NPAT x minority interest ratio.</t>
  </si>
  <si>
    <t>NPAT - minority interest.</t>
  </si>
  <si>
    <t>NPATMI / revenue.</t>
  </si>
  <si>
    <t>Schedule</t>
  </si>
  <si>
    <t>Capex and D&amp;A schedule.</t>
  </si>
  <si>
    <t>EBIT + D&amp;A.</t>
  </si>
  <si>
    <t>MWG - Forecast Balance Sheet</t>
  </si>
  <si>
    <t>Historical link / plug</t>
  </si>
  <si>
    <t>Forecast balancing item for liquid funds; used for net debt.</t>
  </si>
  <si>
    <t>Historical link / split</t>
  </si>
  <si>
    <t>Forecast informational split using 2025 cash/liquid funds mix.</t>
  </si>
  <si>
    <t>Forecast informational split; row 6 is the model driver.</t>
  </si>
  <si>
    <t>Working capital schedule</t>
  </si>
  <si>
    <t>Revenue x receivable days.</t>
  </si>
  <si>
    <t>COGS x inventory days.</t>
  </si>
  <si>
    <t>Revenue x assumption.</t>
  </si>
  <si>
    <t>Liquid funds + receivables + inventory + other current assets.</t>
  </si>
  <si>
    <t>Capex schedule</t>
  </si>
  <si>
    <t>Fixed asset roll-forward.</t>
  </si>
  <si>
    <t>Assets</t>
  </si>
  <si>
    <t>Total current assets + long-term assets.</t>
  </si>
  <si>
    <t>Liabilities</t>
  </si>
  <si>
    <t>COGS x payable days.</t>
  </si>
  <si>
    <t>Debt schedule</t>
  </si>
  <si>
    <t>Short-term + long-term debt shown as total debt at group level.</t>
  </si>
  <si>
    <t>Other Current Liabilities</t>
  </si>
  <si>
    <t>Historical implied / formula</t>
  </si>
  <si>
    <t>Current liabilities excluding trade payables and debt.</t>
  </si>
  <si>
    <t>Other Long-term Liabilities</t>
  </si>
  <si>
    <t>Long-term liabilities excluding long-term debt.</t>
  </si>
  <si>
    <t>Payables + debt + other liabilities.</t>
  </si>
  <si>
    <t>Equity</t>
  </si>
  <si>
    <t>Historical link / carry</t>
  </si>
  <si>
    <t>Forecast assumes no new shares at this stage.</t>
  </si>
  <si>
    <t>Prior retained earnings + NPATMI - dividends.</t>
  </si>
  <si>
    <t>Other Equity / Reserves</t>
  </si>
  <si>
    <t>Historical implied / carry</t>
  </si>
  <si>
    <t>Total equity less share capital, retained earnings and minority interest.</t>
  </si>
  <si>
    <t>Prior minority interest + current period minority interest.</t>
  </si>
  <si>
    <t>Share capital + retained earnings + other equity + minority interest.</t>
  </si>
  <si>
    <t>Capital</t>
  </si>
  <si>
    <t>Total liabilities + total equity.</t>
  </si>
  <si>
    <t>Total assets - liabilities - equity; must be zero.</t>
  </si>
  <si>
    <t>MWG - Forecast Cash Flow Statement</t>
  </si>
  <si>
    <t>Cash flow forecast tied to the balance sheet liquid funds line</t>
  </si>
  <si>
    <t>CASH FLOW STATEMENT</t>
  </si>
  <si>
    <t>Operating</t>
  </si>
  <si>
    <t>Income statement</t>
  </si>
  <si>
    <t>Net profit after tax.</t>
  </si>
  <si>
    <t>Non-cash depreciation and amortization.</t>
  </si>
  <si>
    <t>Positive value is cash outflow.</t>
  </si>
  <si>
    <t>CFO (Simplified)</t>
  </si>
  <si>
    <t>NPAT + D&amp;A - change in NWC.</t>
  </si>
  <si>
    <t>Investing</t>
  </si>
  <si>
    <t>Negative cash outflow.</t>
  </si>
  <si>
    <t>CFI before Liquid Investment Movement</t>
  </si>
  <si>
    <t>Capex only for forecast; official CFI has more detail historically.</t>
  </si>
  <si>
    <t>Financing</t>
  </si>
  <si>
    <t>Debt Movement</t>
  </si>
  <si>
    <t>Current debt - prior debt.</t>
  </si>
  <si>
    <t>Negative outflow; forecast uses dividend payout ratio.</t>
  </si>
  <si>
    <t>Debt movement + dividends.</t>
  </si>
  <si>
    <t>Net Change in Liquid Funds</t>
  </si>
  <si>
    <t>Ending liquid funds - beginning liquid funds.</t>
  </si>
  <si>
    <t>Beginning Liquid Funds</t>
  </si>
  <si>
    <t>Prior period cash + short-term investments.</t>
  </si>
  <si>
    <t>Ending Liquid Funds</t>
  </si>
  <si>
    <t>Balance sheet</t>
  </si>
  <si>
    <t>Cash + short-term financial investments.</t>
  </si>
  <si>
    <t>Other / Liquid Investment Movement</t>
  </si>
  <si>
    <t>Balancing line for cash-like investments and public-data gaps.</t>
  </si>
  <si>
    <t>Beginning liquid funds + net change - ending liquid funds; should be zero.</t>
  </si>
  <si>
    <t>FCFF</t>
  </si>
  <si>
    <t>EBIT x (1-tax rate) + D&amp;A - capex - change in NWC.</t>
  </si>
  <si>
    <t>FCFF Margin</t>
  </si>
  <si>
    <t>FCFF / revenue.</t>
  </si>
  <si>
    <t>MWG - Trading Comparables</t>
  </si>
  <si>
    <t>Current trading comps use latest available closing prices through 2026-06-26. LTM = FY2025 + Q1/2026 - Q1/2025. Green = linked to raw/API sheets or MWG model;</t>
  </si>
  <si>
    <t>Valuation Date</t>
  </si>
  <si>
    <t>2026-06-26</t>
  </si>
  <si>
    <t>Currency</t>
  </si>
  <si>
    <t>VND bn unless noted</t>
  </si>
  <si>
    <t>Peer Set</t>
  </si>
  <si>
    <t>MWG + FRT/DGW/PET + MSN proxy</t>
  </si>
  <si>
    <t>CURRENT TRADING COMPS - 2025A AND LTM</t>
  </si>
  <si>
    <t>Ticker</t>
  </si>
  <si>
    <t>Role</t>
  </si>
  <si>
    <t>Company</t>
  </si>
  <si>
    <t>Price Date</t>
  </si>
  <si>
    <t>Current Price VND</t>
  </si>
  <si>
    <t>Shares</t>
  </si>
  <si>
    <t>Market Cap VND bn</t>
  </si>
  <si>
    <t>Cash + STI VND bn</t>
  </si>
  <si>
    <t>Debt VND bn</t>
  </si>
  <si>
    <t>Net Debt 2026 Q1 VND bn</t>
  </si>
  <si>
    <t>EV VND bn</t>
  </si>
  <si>
    <t>Revenue 2025A</t>
  </si>
  <si>
    <t>EBITDA 2025A</t>
  </si>
  <si>
    <t>NPATMI 2025A</t>
  </si>
  <si>
    <t>Revenue LTM</t>
  </si>
  <si>
    <t>EBITDA LTM</t>
  </si>
  <si>
    <t>NPATMI LTM</t>
  </si>
  <si>
    <t>Equity Latest</t>
  </si>
  <si>
    <t>P/E 2025A</t>
  </si>
  <si>
    <t>EV/EBITDA 2025A</t>
  </si>
  <si>
    <t>EV/Sales 2025A</t>
  </si>
  <si>
    <t>P/E LTM</t>
  </si>
  <si>
    <t>EV/EBITDA LTM</t>
  </si>
  <si>
    <t>EV/Sales LTM</t>
  </si>
  <si>
    <t>P/B Latest</t>
  </si>
  <si>
    <t>Source / Note</t>
  </si>
  <si>
    <t>Core Peer Median</t>
  </si>
  <si>
    <t>FRT/DGW/PET</t>
  </si>
  <si>
    <t>Excludes MWG and MSN proxy</t>
  </si>
  <si>
    <t>Broader Proxy Median</t>
  </si>
  <si>
    <t>FRT/DGW/PET/MSN</t>
  </si>
  <si>
    <t>Excludes MWG</t>
  </si>
  <si>
    <t xml:space="preserve">FORWARD MULTIPLES </t>
  </si>
  <si>
    <t>Revenue 2026E</t>
  </si>
  <si>
    <t>EBITDA 2026E</t>
  </si>
  <si>
    <t>NPATMI 2026E</t>
  </si>
  <si>
    <t>Revenue 2027E</t>
  </si>
  <si>
    <t>EBITDA 2027E</t>
  </si>
  <si>
    <t>NPATMI 2027E</t>
  </si>
  <si>
    <t>P/E 2026E</t>
  </si>
  <si>
    <t>EV/EBITDA 2026E</t>
  </si>
  <si>
    <t>EV/Sales 2026E</t>
  </si>
  <si>
    <t>P/E 2027E</t>
  </si>
  <si>
    <t>EV/EBITDA 2027E</t>
  </si>
  <si>
    <t>EV/Sales 2027E</t>
  </si>
  <si>
    <t xml:space="preserve">MWG - Beta Calculation </t>
  </si>
  <si>
    <t>Green = linked/API price data; Black = formulas. Base beta feeds 19_WACC</t>
  </si>
  <si>
    <t>Value</t>
  </si>
  <si>
    <t>Formula / Source</t>
  </si>
  <si>
    <t>Stock</t>
  </si>
  <si>
    <t>text</t>
  </si>
  <si>
    <t>MWG</t>
  </si>
  <si>
    <t>vnstock Quote.history source=VCI</t>
  </si>
  <si>
    <t>Market index</t>
  </si>
  <si>
    <t>VNINDEX</t>
  </si>
  <si>
    <t>Frequency</t>
  </si>
  <si>
    <t>Weekly Friday close</t>
  </si>
  <si>
    <t>Weekly close resampled to Friday</t>
  </si>
  <si>
    <t>API pull timestamp: 2026-06-27 16:03:32 +07</t>
  </si>
  <si>
    <t>Price points</t>
  </si>
  <si>
    <t>COUNTA(Date)</t>
  </si>
  <si>
    <t>Return observations</t>
  </si>
  <si>
    <t>COUNT(MWG weekly returns)</t>
  </si>
  <si>
    <t>Start date</t>
  </si>
  <si>
    <t>date</t>
  </si>
  <si>
    <t>First return observation date</t>
  </si>
  <si>
    <t>End date</t>
  </si>
  <si>
    <t>Last return observation date</t>
  </si>
  <si>
    <t>Raw beta</t>
  </si>
  <si>
    <t>COVARIANCE.S(MWG return, VNINDEX return) / VAR.S(VNINDEX return)</t>
  </si>
  <si>
    <t>Rounded beta for WACC</t>
  </si>
  <si>
    <t>ROUND(raw beta, 2)</t>
  </si>
  <si>
    <t>Correlation</t>
  </si>
  <si>
    <t>CORREL(MWG return, VNINDEX return)</t>
  </si>
  <si>
    <t>R-squared</t>
  </si>
  <si>
    <t>RSQ(MWG return, VNINDEX return)</t>
  </si>
  <si>
    <t>WEEKLY PRICE AND RETURN DATA</t>
  </si>
  <si>
    <t>Date</t>
  </si>
  <si>
    <t>MWG Price</t>
  </si>
  <si>
    <t>MWG Return</t>
  </si>
  <si>
    <t>VNINDEX Return</t>
  </si>
  <si>
    <t>Data Source</t>
  </si>
  <si>
    <t>Row Check</t>
  </si>
  <si>
    <t>First price observation</t>
  </si>
  <si>
    <t>MWG -  WACC Assumptions</t>
  </si>
  <si>
    <t>Valuation currency: VND. Green = linked workbook/API data; Blue = analyst input; Black = formulas. WACC will feed the next DCF sheet.</t>
  </si>
  <si>
    <t>Bull</t>
  </si>
  <si>
    <t>Bear</t>
  </si>
  <si>
    <t>Method / Formula</t>
  </si>
  <si>
    <t>Note</t>
  </si>
  <si>
    <t>CAPM AND COST OF EQUITY</t>
  </si>
  <si>
    <t>CAPM</t>
  </si>
  <si>
    <t>Risk-free rate</t>
  </si>
  <si>
    <t>Vietnam 10Y government bond yield, rounded for model use.</t>
  </si>
  <si>
    <t>Trading Economics Vietnam 10Y; ADB AsianBondsOnline cross-check</t>
  </si>
  <si>
    <t>Mature market ERP</t>
  </si>
  <si>
    <t>Damodaran mature market equity risk premium.</t>
  </si>
  <si>
    <t>Damodaran CompanyERP</t>
  </si>
  <si>
    <t>Vietnam country risk premium</t>
  </si>
  <si>
    <t>Damodaran Vietnam CRP based on sovereign rating/default spread.</t>
  </si>
  <si>
    <t>Damodaran country risk premiums</t>
  </si>
  <si>
    <t>Equity risk premium</t>
  </si>
  <si>
    <t>Base = mature market ERP + Vietnam CRP; Bull/Bear flex around base.</t>
  </si>
  <si>
    <t>Beta</t>
  </si>
  <si>
    <t>2-year weekly beta from 18_Beta_Calculation: Cov(MWG return, VNINDEX return) / Var(VNINDEX return).</t>
  </si>
  <si>
    <t>18_Beta_Calculation / vnstock Quote.history source=VCI</t>
  </si>
  <si>
    <t>Cost of Equity</t>
  </si>
  <si>
    <t>Cost of Equity = Risk-free rate + Beta x ERP.</t>
  </si>
  <si>
    <t>Cost of equity &gt; risk-free?</t>
  </si>
  <si>
    <t>DEBT, TAX AND CAPITAL STRUCTURE</t>
  </si>
  <si>
    <t>Pre-tax cost of debt</t>
  </si>
  <si>
    <t xml:space="preserve"> implied borrowing cost; Bull/Bear flex +/-50 bps.</t>
  </si>
  <si>
    <t>08_P5_Assumptions row Interest Rate on Average Debt</t>
  </si>
  <si>
    <t>Effective tax rate</t>
  </si>
  <si>
    <t xml:space="preserve">Linked to normalized 2026E tax rate </t>
  </si>
  <si>
    <t>08_P5_Assumptions row Effective Tax Rate</t>
  </si>
  <si>
    <t>After-tax cost of debt</t>
  </si>
  <si>
    <t>After-tax cost of debt = pre-tax cost of debt x (1 - tax rate).</t>
  </si>
  <si>
    <t>Capital Structure</t>
  </si>
  <si>
    <t>Market cap</t>
  </si>
  <si>
    <t>Current share price x shares outstanding.</t>
  </si>
  <si>
    <t>100_Raw_Peer_Metrics MWG row</t>
  </si>
  <si>
    <t>Gross debt</t>
  </si>
  <si>
    <t>Short-term borrowings + long-term borrowings.</t>
  </si>
  <si>
    <t>Total capital</t>
  </si>
  <si>
    <t>Market cap + gross debt.</t>
  </si>
  <si>
    <t>Equity weight</t>
  </si>
  <si>
    <t>Market cap / total capital.</t>
  </si>
  <si>
    <t>Debt weight</t>
  </si>
  <si>
    <t>Gross debt / total capital.</t>
  </si>
  <si>
    <t>WACC</t>
  </si>
  <si>
    <t>WACC = Cost of Equity x Equity Weight + After-tax Cost of Debt x Debt Weight.</t>
  </si>
  <si>
    <t>Rounded WACC for DCF</t>
  </si>
  <si>
    <t>Rounded to nearest 10 bps for clean sensitivity tables.</t>
  </si>
  <si>
    <t>BETA CALCULATION AUDIT</t>
  </si>
  <si>
    <t>Beta Audit</t>
  </si>
  <si>
    <t>Target stock used for beta.</t>
  </si>
  <si>
    <t>Market index used as market proxy.</t>
  </si>
  <si>
    <t>Weekly Friday close.</t>
  </si>
  <si>
    <t>First weekly observation.</t>
  </si>
  <si>
    <t>Last weekly observation.</t>
  </si>
  <si>
    <t>Observations</t>
  </si>
  <si>
    <t>Number of weekly return observations.</t>
  </si>
  <si>
    <t>Raw beta linked from 18_Beta_Calculation.</t>
  </si>
  <si>
    <t>R-squared linked from 18_Beta_Calculation.</t>
  </si>
  <si>
    <t>SOURCE LOG</t>
  </si>
  <si>
    <t>Vietnam 10Y government bond yield</t>
  </si>
  <si>
    <t>Used as risk-free anchor; model rounds base to 4.5%.</t>
  </si>
  <si>
    <t>https://tradingeconomics.com/vietnam/government-bond-yield</t>
  </si>
  <si>
    <t>ADB cross-check</t>
  </si>
  <si>
    <t>Cross-check for Vietnam local-currency government bond yields.</t>
  </si>
  <si>
    <t>https://asianbondsonline.adb.org/vietnam/</t>
  </si>
  <si>
    <t>Damodaran mature market ERP</t>
  </si>
  <si>
    <t>Mature market ERP input.</t>
  </si>
  <si>
    <t>https://pages.stern.nyu.edu/~adamodar/pc/CompanyERP.xlsx</t>
  </si>
  <si>
    <t>Damodaran Vietnam CRP</t>
  </si>
  <si>
    <t>Vietnam Ba2; CRP 3.90%; total ERP 8.13%.</t>
  </si>
  <si>
    <t>https://pages.stern.nyu.edu/~adamodar/New_Home_Page/datafile/ctryprem.html</t>
  </si>
  <si>
    <t>Cost of debt / tax</t>
  </si>
  <si>
    <t>08_P5_Assumptions</t>
  </si>
  <si>
    <t>Capital structure</t>
  </si>
  <si>
    <t>Linked from 100_Raw_Peer_Metrics MWG row.</t>
  </si>
  <si>
    <t>100_Raw_Peer_Metrics</t>
  </si>
  <si>
    <t>WACC CHECKS</t>
  </si>
  <si>
    <t>Weight sum</t>
  </si>
  <si>
    <t>Equity weight + debt weight should equal 100%.</t>
  </si>
  <si>
    <t>WACC positive?</t>
  </si>
  <si>
    <t>WACC must be positive.</t>
  </si>
  <si>
    <t>Base WACC &gt; after-tax cost of debt?</t>
  </si>
  <si>
    <t>Equity risk should make WACC higher than after-tax debt cost.</t>
  </si>
  <si>
    <t>Beta observations</t>
  </si>
  <si>
    <t>At least 52 weekly observations.</t>
  </si>
  <si>
    <t>WACC sheet status</t>
  </si>
  <si>
    <t>All key checks OK.</t>
  </si>
  <si>
    <t>MWG - FCFF DCF Valuation</t>
  </si>
  <si>
    <t>Valuation currency: VND. Unit: VND bn unless noted. Green = linked workbook/API data; Blue = visible analyst input; Black = formulas. DCF uses FCFF and end-of-year discount convention.</t>
  </si>
  <si>
    <t>VALUATION SUMMARY</t>
  </si>
  <si>
    <t>Market Data</t>
  </si>
  <si>
    <t>16_Trading_Comps</t>
  </si>
  <si>
    <t>Current Price</t>
  </si>
  <si>
    <t>VND/share</t>
  </si>
  <si>
    <t>Diluted Shares Outstanding</t>
  </si>
  <si>
    <t>shares</t>
  </si>
  <si>
    <t>Equity Bridge</t>
  </si>
  <si>
    <t>Net Debt / (Net Cash)</t>
  </si>
  <si>
    <t>Debt - cash &amp; STI</t>
  </si>
  <si>
    <t>2026E proxy</t>
  </si>
  <si>
    <t>13_Balance_Sheet</t>
  </si>
  <si>
    <t>Discount Rate</t>
  </si>
  <si>
    <t>19_WACC</t>
  </si>
  <si>
    <t>Terminal Value</t>
  </si>
  <si>
    <t>Terminal Growth</t>
  </si>
  <si>
    <t>Analyst input</t>
  </si>
  <si>
    <t>Analyst assumption</t>
  </si>
  <si>
    <t>DCF Output</t>
  </si>
  <si>
    <t>Enterprise Value</t>
  </si>
  <si>
    <t>PV FCFF + PV terminal value</t>
  </si>
  <si>
    <t>DCF mechanics below</t>
  </si>
  <si>
    <t>Equity Value</t>
  </si>
  <si>
    <t>EV - net debt - minority interest</t>
  </si>
  <si>
    <t>Target Price</t>
  </si>
  <si>
    <t>Equity value / shares</t>
  </si>
  <si>
    <t>Upside / Downside</t>
  </si>
  <si>
    <t>Target price / current price - 1</t>
  </si>
  <si>
    <t>FCFF BRIDG</t>
  </si>
  <si>
    <t>Operating Forecast</t>
  </si>
  <si>
    <t>12_Income_Statement</t>
  </si>
  <si>
    <t>NOPAT</t>
  </si>
  <si>
    <t>EBIT x (1 - tax rate)</t>
  </si>
  <si>
    <t>Non-cash</t>
  </si>
  <si>
    <t>14_Cash_Flow</t>
  </si>
  <si>
    <t>Reinvestment</t>
  </si>
  <si>
    <t>Positive cash outflow</t>
  </si>
  <si>
    <t>Change in NWC</t>
  </si>
  <si>
    <t>Calculated FCFF</t>
  </si>
  <si>
    <t>NOPAT + D&amp;A - Capex - Change in NWC</t>
  </si>
  <si>
    <t>Linked FCFF</t>
  </si>
  <si>
    <t>FCFF Tie Check</t>
  </si>
  <si>
    <t>Calculated FCFF - linked FCFF</t>
  </si>
  <si>
    <t>Linked FCFF / Revenue</t>
  </si>
  <si>
    <t>Operating case used</t>
  </si>
  <si>
    <t>Base operating forecast</t>
  </si>
  <si>
    <t>Disclosure</t>
  </si>
  <si>
    <t>Model note</t>
  </si>
  <si>
    <t>DISCOUNT FACTORS AND PV OF EXPLICIT FCFF</t>
  </si>
  <si>
    <t>Scenario</t>
  </si>
  <si>
    <t>Total</t>
  </si>
  <si>
    <t>Stub FCFF factor; DCF uses FCFF with a stub period and end-of-period discount convention</t>
  </si>
  <si>
    <t>Time</t>
  </si>
  <si>
    <t>Discount Period</t>
  </si>
  <si>
    <t>-</t>
  </si>
  <si>
    <t>End-of-period convention</t>
  </si>
  <si>
    <t>Discount Factor</t>
  </si>
  <si>
    <t>1 / (1 + WACC)^t</t>
  </si>
  <si>
    <t>PV FCFF</t>
  </si>
  <si>
    <t>PV of FCFF</t>
  </si>
  <si>
    <t>FCFF x discount factor</t>
  </si>
  <si>
    <t>TERMINAL VALUE AND EQUITY VALUE BRIDGE</t>
  </si>
  <si>
    <t>Terminal FCFF</t>
  </si>
  <si>
    <t>2030E FCFF x (1 + terminal growth)</t>
  </si>
  <si>
    <t>Terminal FCFF / (WACC - terminal growth)</t>
  </si>
  <si>
    <t>Gordon Growth</t>
  </si>
  <si>
    <t>PV of Terminal Value</t>
  </si>
  <si>
    <t>Terminal value / (1 + WACC)^5</t>
  </si>
  <si>
    <t>Explicit Period</t>
  </si>
  <si>
    <t>PV of Explicit FCFF</t>
  </si>
  <si>
    <t>Sum of annual PV FCFF</t>
  </si>
  <si>
    <t>Rows 41-43</t>
  </si>
  <si>
    <t>Equity value x 1bn / shares</t>
  </si>
  <si>
    <t>BASE CASE SENSITIVITY - WACC VS TERMINAL GROWTH</t>
  </si>
  <si>
    <t>WACC \ Terminal Growth</t>
  </si>
  <si>
    <t>DCF CHECKS AND MODEL NOTES</t>
  </si>
  <si>
    <t>Actual</t>
  </si>
  <si>
    <t>Expected / Tolerance</t>
  </si>
  <si>
    <t>FCFF tie check</t>
  </si>
  <si>
    <t>0.0</t>
  </si>
  <si>
    <t>Rows 28-30</t>
  </si>
  <si>
    <t>Base WACC &gt; Base terminal growth</t>
  </si>
  <si>
    <t>&gt; 0</t>
  </si>
  <si>
    <t>Rows 11-12</t>
  </si>
  <si>
    <t>Base equity value positive</t>
  </si>
  <si>
    <t>Row 55</t>
  </si>
  <si>
    <t>Base target price linked to summary</t>
  </si>
  <si>
    <t>Rows 15 and 56</t>
  </si>
  <si>
    <t>DCF scenario scope</t>
  </si>
  <si>
    <t>WACC/TG sensitivity only</t>
  </si>
  <si>
    <t>OK</t>
  </si>
  <si>
    <t>MWG - SOTP Target Multiple Bridge</t>
  </si>
  <si>
    <t>16_Trading_Comps'!A1</t>
  </si>
  <si>
    <t>Segment</t>
  </si>
  <si>
    <t>Link / Location</t>
  </si>
  <si>
    <t>DMX Investment</t>
  </si>
  <si>
    <t>DMX post-money equity benchmark</t>
  </si>
  <si>
    <t>Source-backed IPO valuation anchor</t>
  </si>
  <si>
    <t>MWG DMX IPO offering article</t>
  </si>
  <si>
    <t>https://mwg.vn/tin-tuc/dien-may-xanh-dmx-ipo-chao-ban-hon-179-5-trieu-co-phieu-gia-du-kien-80000-dong-5002407</t>
  </si>
  <si>
    <t>Scenario adjustment to IPO benchmark</t>
  </si>
  <si>
    <t>Visible analyst scenario adjustment</t>
  </si>
  <si>
    <t>Analyst adjustment</t>
  </si>
  <si>
    <t>DMX 100% equity value</t>
  </si>
  <si>
    <t>Benchmark x (1 + adjustment)</t>
  </si>
  <si>
    <t>Formula output</t>
  </si>
  <si>
    <t>Pre-IPO charter capital</t>
  </si>
  <si>
    <t>Source-backed input</t>
  </si>
  <si>
    <t>Post-IPO charter capital</t>
  </si>
  <si>
    <t>Implied MWG ownership after IPO</t>
  </si>
  <si>
    <t>Pre-IPO capital / post-IPO capital</t>
  </si>
  <si>
    <t>BHX</t>
  </si>
  <si>
    <t>Broker benchmark P/S</t>
  </si>
  <si>
    <t>Current broker benchmark</t>
  </si>
  <si>
    <t>Shinhan MWG Update Q1/2026</t>
  </si>
  <si>
    <t>https://shinhansec.com.vn/uploads/report/MWG_Update_Q1_2026_EN.pdf</t>
  </si>
  <si>
    <t>Company-specific adjustment</t>
  </si>
  <si>
    <t>BHX target EV/Sales proxy</t>
  </si>
  <si>
    <t>Benchmark + adjustment</t>
  </si>
  <si>
    <t>An Khang</t>
  </si>
  <si>
    <t>FRT / Long Chau proxy EV/Sales LTM</t>
  </si>
  <si>
    <t>Linked to FRT EV/Sales LTM</t>
  </si>
  <si>
    <t>16_Trading_Comps / vnstock</t>
  </si>
  <si>
    <t>Turnaround / scale discount</t>
  </si>
  <si>
    <t>An Khang target EV/Sales</t>
  </si>
  <si>
    <t>ROUND(MAX(0, proxy + discount), 1)</t>
  </si>
  <si>
    <t>AVAKids</t>
  </si>
  <si>
    <t>Domestic retail proxy EV/Sales LTM</t>
  </si>
  <si>
    <t>Linked to broader proxy median EV/Sales LTM</t>
  </si>
  <si>
    <t>Niche / online mix and scale adjustment</t>
  </si>
  <si>
    <t>AVAKids target EV/Sales</t>
  </si>
  <si>
    <t>ROUND(MAX(0, proxy + adjustment), 1)</t>
  </si>
  <si>
    <t>Holding Company</t>
  </si>
  <si>
    <t>Holding company discount</t>
  </si>
  <si>
    <t>Simple scenario assumption</t>
  </si>
  <si>
    <t>Analyst convention</t>
  </si>
  <si>
    <t>Consolidated net cash inclusion factor</t>
  </si>
  <si>
    <t>2025/bs 2025.pdf p.28</t>
  </si>
  <si>
    <t>SOURCE LOG - SOTP BRIDGE</t>
  </si>
  <si>
    <t>Data Point</t>
  </si>
  <si>
    <t>Period / As-of</t>
  </si>
  <si>
    <t>Document / Location</t>
  </si>
  <si>
    <t>How used</t>
  </si>
  <si>
    <t>Reliability</t>
  </si>
  <si>
    <t xml:space="preserve">Note </t>
  </si>
  <si>
    <t>Link</t>
  </si>
  <si>
    <t>DMX post-money valuation</t>
  </si>
  <si>
    <t>IPO 2026</t>
  </si>
  <si>
    <t>DMX SOTP primary anchor</t>
  </si>
  <si>
    <t>Company disclosure</t>
  </si>
  <si>
    <t>DMX subscription result</t>
  </si>
  <si>
    <t>166mn+ shares registered / 93%</t>
  </si>
  <si>
    <t>shares/%</t>
  </si>
  <si>
    <t>2026</t>
  </si>
  <si>
    <t>MWG DMX IPO closing article</t>
  </si>
  <si>
    <t>IPO execution context</t>
  </si>
  <si>
    <t>https://mwg.vn/tin-tuc/dmx-ket-thuc-dot-mo-ban-ipo-voi-hon-166-trieu-co-phieu-duoc-dang-ky-nha-dau-tu-to-chuc-chiem-90-5002440</t>
  </si>
  <si>
    <t>Pre/post IPO charter capital</t>
  </si>
  <si>
    <t>11,012.8 / 12,807.8</t>
  </si>
  <si>
    <t>MWG ownership bridge</t>
  </si>
  <si>
    <t>Shinhan implied forward P/S</t>
  </si>
  <si>
    <t>Q1/2026 update</t>
  </si>
  <si>
    <t>BHX broker benchmark</t>
  </si>
  <si>
    <t>Broker research</t>
  </si>
  <si>
    <t>FRT EV/Sales LTM</t>
  </si>
  <si>
    <t>16_Trading_Comps!X9</t>
  </si>
  <si>
    <t>An Khang proxy benchmark</t>
  </si>
  <si>
    <t>vnstock/workbook link</t>
  </si>
  <si>
    <t>Broader proxy median EV/Sales LTM</t>
  </si>
  <si>
    <t>16_Trading_Comps!X15</t>
  </si>
  <si>
    <t>AVAKids proxy benchmark</t>
  </si>
  <si>
    <t>BHX 2026E revenue</t>
  </si>
  <si>
    <t>07_Revenue_Drivers!G17</t>
  </si>
  <si>
    <t>BHX SOTP sales base</t>
  </si>
  <si>
    <t>Model link</t>
  </si>
  <si>
    <t>An Khang 2026E revenue</t>
  </si>
  <si>
    <t>07_Revenue_Drivers!G18</t>
  </si>
  <si>
    <t>An Khang SOTP sales base</t>
  </si>
  <si>
    <t>AVAKids 2026E revenue</t>
  </si>
  <si>
    <t>07_Revenue_Drivers!G19</t>
  </si>
  <si>
    <t>AVAKids SOTP sales base</t>
  </si>
  <si>
    <t>MWG - SOTP Valuation</t>
  </si>
  <si>
    <t>Debt - Cash &amp; STI</t>
  </si>
  <si>
    <t>Cross-check</t>
  </si>
  <si>
    <t>DCF Target Price</t>
  </si>
  <si>
    <t>Linked to DCF</t>
  </si>
  <si>
    <t>20_DCF</t>
  </si>
  <si>
    <t>SOTP Output</t>
  </si>
  <si>
    <t>SOTP Target Price</t>
  </si>
  <si>
    <t>SOTP bridge below</t>
  </si>
  <si>
    <t>SOURCE-BACKED INPUTS AND ANALYST ASSUMPTIONS</t>
  </si>
  <si>
    <t>DMX IPO Anchor</t>
  </si>
  <si>
    <t>DMX 100% post-money equity value</t>
  </si>
  <si>
    <t>Linked to SOTP bridge</t>
  </si>
  <si>
    <t>21_Target_Multiple_Bridge / MWG IPO article</t>
  </si>
  <si>
    <t>DMX pre-IPO charter capital</t>
  </si>
  <si>
    <t>DMX post-IPO charter capital</t>
  </si>
  <si>
    <t>Implied MWG ownership after planned IPO</t>
  </si>
  <si>
    <t>21_Target_Multiple_Bridge</t>
  </si>
  <si>
    <t>BHX EV/Sales multiple</t>
  </si>
  <si>
    <t>21_Target_Multiple_Bridge / Shinhan 2026</t>
  </si>
  <si>
    <t>An Khang EV/Sales multiple</t>
  </si>
  <si>
    <t>21_Target_Multiple_Bridge / FRT proxy</t>
  </si>
  <si>
    <t>AVAKids EV/Sales multiple</t>
  </si>
  <si>
    <t>21_Target_Multiple_Bridge / domestic proxy median</t>
  </si>
  <si>
    <t>SEGMENT SOTP VALUATION</t>
  </si>
  <si>
    <t>Segment Value</t>
  </si>
  <si>
    <t>DMX Investment attributable value</t>
  </si>
  <si>
    <t>DMX 100% equity value x implied MWG ownership</t>
  </si>
  <si>
    <t>DMX IPO anchor</t>
  </si>
  <si>
    <t>BHX value</t>
  </si>
  <si>
    <t>BHX 2026E revenue x EV/Sales</t>
  </si>
  <si>
    <t>07_Revenue_Drivers + assumption</t>
  </si>
  <si>
    <t>An Khang value</t>
  </si>
  <si>
    <t>An Khang 2026E revenue x EV/Sales</t>
  </si>
  <si>
    <t>AVAKids value</t>
  </si>
  <si>
    <t>AVAKids 2026E revenue x EV/Sales</t>
  </si>
  <si>
    <t>Other / unallocated value</t>
  </si>
  <si>
    <t>Set to zero</t>
  </si>
  <si>
    <t>Subtotal</t>
  </si>
  <si>
    <t>Gross SOTP segment value</t>
  </si>
  <si>
    <t>SUM segment values</t>
  </si>
  <si>
    <t>Adjustment</t>
  </si>
  <si>
    <t>- Gross SOTP x holding discount</t>
  </si>
  <si>
    <t>Net cash / (debt) adjustment</t>
  </si>
  <si>
    <t>- Net debt x inclusion factor</t>
  </si>
  <si>
    <t>16_Trading_Comps + assumption</t>
  </si>
  <si>
    <t>SOTP equity value</t>
  </si>
  <si>
    <t>Gross value + adjustments</t>
  </si>
  <si>
    <t>Output</t>
  </si>
  <si>
    <t>SOTP target price</t>
  </si>
  <si>
    <t>Target / current - 1</t>
  </si>
  <si>
    <t>CROSS-CHECK AGAINST DCF AND MARKET CAP</t>
  </si>
  <si>
    <t>SOTP output</t>
  </si>
  <si>
    <t>DCF target price</t>
  </si>
  <si>
    <t>SOTP discount / premium to DCF</t>
  </si>
  <si>
    <t>SOTP target / DCF target - 1</t>
  </si>
  <si>
    <t>SOTP premium to current market cap</t>
  </si>
  <si>
    <t>SOTP equity value / market cap - 1</t>
  </si>
  <si>
    <t>BASE CASE SENSITIVITY - BHX EV/SALES VS HOLDING DISCOUNT</t>
  </si>
  <si>
    <t>BHX EV/Sales \ Holding Discount</t>
  </si>
  <si>
    <t>Expected</t>
  </si>
  <si>
    <t>Difference</t>
  </si>
  <si>
    <t>DMX ownership reasonableness</t>
  </si>
  <si>
    <t>80%-100%</t>
  </si>
  <si>
    <t>Segment sum check</t>
  </si>
  <si>
    <t>Base target nonblank</t>
  </si>
  <si>
    <t>&gt;0</t>
  </si>
  <si>
    <t>Net debt sign check</t>
  </si>
  <si>
    <t>Net cash allowed</t>
  </si>
  <si>
    <t>MWG currently has negative net debt in the linked model.</t>
  </si>
  <si>
    <t>MWG - Sensitivity + Valuation Summary</t>
  </si>
  <si>
    <t>22_SOTP / 16_Trading_Comps</t>
  </si>
  <si>
    <t>Primary Valuation</t>
  </si>
  <si>
    <t>Linked to SOTP output</t>
  </si>
  <si>
    <t>22_SOTP</t>
  </si>
  <si>
    <t>Linked to DCF output</t>
  </si>
  <si>
    <t>SOTP Upside / Downside</t>
  </si>
  <si>
    <t>Target / current price - 1</t>
  </si>
  <si>
    <t>DCF Upside / Downside</t>
  </si>
  <si>
    <t>Final View</t>
  </si>
  <si>
    <t>Selected Target Price</t>
  </si>
  <si>
    <t>Rounded SOTP target price</t>
  </si>
  <si>
    <t>Selected Upside / Downside</t>
  </si>
  <si>
    <t>Selected target / current price - 1</t>
  </si>
  <si>
    <t>Recommendation</t>
  </si>
  <si>
    <t>BUY if upside &gt;=15%; HOLD if &gt; -10%; otherwise SELL</t>
  </si>
  <si>
    <t>Model Note</t>
  </si>
  <si>
    <t>Primary logic</t>
  </si>
  <si>
    <t>SOTP primary</t>
  </si>
  <si>
    <t>Model convention</t>
  </si>
  <si>
    <t>KEY LINKED INPUTS USED BY SENSITIVITY TABLES</t>
  </si>
  <si>
    <t>Base Value</t>
  </si>
  <si>
    <t>Current price</t>
  </si>
  <si>
    <t>Diluted shares</t>
  </si>
  <si>
    <t>Net debt / (net cash)</t>
  </si>
  <si>
    <t>Minority interest</t>
  </si>
  <si>
    <t>DCF</t>
  </si>
  <si>
    <t>Base WACC</t>
  </si>
  <si>
    <t>20_DCF / 19_WACC</t>
  </si>
  <si>
    <t>Base terminal growth</t>
  </si>
  <si>
    <t>SOTP</t>
  </si>
  <si>
    <t>Base BHX value</t>
  </si>
  <si>
    <t>22_SOTP / 17A bridge</t>
  </si>
  <si>
    <t>Base DMX attributable value</t>
  </si>
  <si>
    <t>Implied MWG ownership in DMX</t>
  </si>
  <si>
    <t>Base net cash adjustment</t>
  </si>
  <si>
    <t>Base SOTP target price</t>
  </si>
  <si>
    <t>Base DCF target price</t>
  </si>
  <si>
    <t>DCF SENSITIVITY - WACC VS TERMINAL GROWTH</t>
  </si>
  <si>
    <t>Terminal Growth (vertically) \ WACC</t>
  </si>
  <si>
    <t>SOTP SENSITIVITY - BHX EV/SALES VS HOLDING DISCOUNT</t>
  </si>
  <si>
    <t>SOTP SENSITIVITY - DMX IPO VALUE VS HOLDING DISCOUNT</t>
  </si>
  <si>
    <t>DMX 100% Equity Value \ Holding Discount</t>
  </si>
  <si>
    <t xml:space="preserve">CHECKS </t>
  </si>
  <si>
    <t>DCF sensitivity base cell ties to DCF base TP</t>
  </si>
  <si>
    <t>BHX sensitivity base cell ties to SOTP base TP</t>
  </si>
  <si>
    <t>DMX sensitivity base cell ties to SOTP base TP</t>
  </si>
  <si>
    <t>Sensitivity model status</t>
  </si>
  <si>
    <t>MWG - FP&amp;A Module</t>
  </si>
  <si>
    <t>EXECUTIVE FP&amp;A SNAPSHOT</t>
  </si>
  <si>
    <t>Actual Period</t>
  </si>
  <si>
    <t>Budget</t>
  </si>
  <si>
    <t>Variance</t>
  </si>
  <si>
    <t>Variance % / ppt</t>
  </si>
  <si>
    <t>Group revenue</t>
  </si>
  <si>
    <t>07_Revenue_Drivers</t>
  </si>
  <si>
    <t>Q1/2026</t>
  </si>
  <si>
    <t>04_Q1_Historical_FS</t>
  </si>
  <si>
    <t>Apr-May revenue</t>
  </si>
  <si>
    <t>2M2026</t>
  </si>
  <si>
    <t>07_Revenue_Drivers / 04A</t>
  </si>
  <si>
    <t>BHX revenue</t>
  </si>
  <si>
    <t>DMX Investment / Core ICT+CE revenue</t>
  </si>
  <si>
    <t>06_Revenue_Drivers_Hist / 07_Revenue_Drivers</t>
  </si>
  <si>
    <t>Online / Super App revenue</t>
  </si>
  <si>
    <t>BHX new stores</t>
  </si>
  <si>
    <t>Gross margin</t>
  </si>
  <si>
    <t>KEY INPUTS AND SOURCE LINKS</t>
  </si>
  <si>
    <t>2026E / Actual</t>
  </si>
  <si>
    <t>Source Location</t>
  </si>
  <si>
    <t>Scope</t>
  </si>
  <si>
    <t>FP&amp;A module type</t>
  </si>
  <si>
    <t>External FP&amp;A simulation</t>
  </si>
  <si>
    <t>12_Income_Statement!I6:J6</t>
  </si>
  <si>
    <t>Profit</t>
  </si>
  <si>
    <t>12_Income_Statement!I23:J23</t>
  </si>
  <si>
    <t>08_P5_Assumptions!I8:J8</t>
  </si>
  <si>
    <t>Selling expense / revenue</t>
  </si>
  <si>
    <t>08_P5_Assumptions!I9:J9</t>
  </si>
  <si>
    <t>G&amp;A expense / revenue</t>
  </si>
  <si>
    <t>08_P5_Assumptions!I10:J10</t>
  </si>
  <si>
    <t>Capex / revenue</t>
  </si>
  <si>
    <t>08_P5_Assumptions!I32:J32</t>
  </si>
  <si>
    <t>Inventory days</t>
  </si>
  <si>
    <t>08_P5_Assumptions!I20:J20</t>
  </si>
  <si>
    <t>Payable days</t>
  </si>
  <si>
    <t>08_P5_Assumptions!I22:J22</t>
  </si>
  <si>
    <t>Group revenue actual</t>
  </si>
  <si>
    <t>07_Revenue_Drivers!F8</t>
  </si>
  <si>
    <t>Q1 revenue actual</t>
  </si>
  <si>
    <t>04_Q1_Historical_FS!E7</t>
  </si>
  <si>
    <t>BHX revenue actual</t>
  </si>
  <si>
    <t>07_Revenue_Drivers!F17</t>
  </si>
  <si>
    <t>Core ICT+CE revenue actual</t>
  </si>
  <si>
    <t>06_Revenue_Drivers_Hist</t>
  </si>
  <si>
    <t>06_Revenue_Drivers_Hist!J49</t>
  </si>
  <si>
    <t>Online / Super App revenue actual</t>
  </si>
  <si>
    <t>07_Revenue_Drivers!F11</t>
  </si>
  <si>
    <t>BHX new stores actual</t>
  </si>
  <si>
    <t>06_Revenue_Drivers_Hist!J51</t>
  </si>
  <si>
    <t>Planning Input</t>
  </si>
  <si>
    <t>Monthly revenue phasing</t>
  </si>
  <si>
    <t>See seasonality bridge</t>
  </si>
  <si>
    <t>Linked / visible assumption</t>
  </si>
  <si>
    <t>KQKD 2023-2025 + external FP&amp;A assumption</t>
  </si>
  <si>
    <t>Rows 119-136</t>
  </si>
  <si>
    <t>Store rollout phasing</t>
  </si>
  <si>
    <t>See clean rollout bridge</t>
  </si>
  <si>
    <t>KQKD 2025-2026 + Business Directions 2026</t>
  </si>
  <si>
    <t>Rows 138-153</t>
  </si>
  <si>
    <t>MONTHLY PHASING ASSUMPTIONS</t>
  </si>
  <si>
    <t>Method</t>
  </si>
  <si>
    <t>Jan</t>
  </si>
  <si>
    <t>Feb</t>
  </si>
  <si>
    <t>Mar</t>
  </si>
  <si>
    <t>Apr</t>
  </si>
  <si>
    <t>May</t>
  </si>
  <si>
    <t>Jun</t>
  </si>
  <si>
    <t>Jul</t>
  </si>
  <si>
    <t>Aug</t>
  </si>
  <si>
    <t>Sep</t>
  </si>
  <si>
    <t>Oct</t>
  </si>
  <si>
    <t>Nov</t>
  </si>
  <si>
    <t>Dec</t>
  </si>
  <si>
    <t>Month</t>
  </si>
  <si>
    <t>Calendar month</t>
  </si>
  <si>
    <t>Revenue seasonality</t>
  </si>
  <si>
    <t>Linked to KQKD seasonality bridge</t>
  </si>
  <si>
    <t>BHX store rollout phasing</t>
  </si>
  <si>
    <t>Linked to clean BHX rollout bridge</t>
  </si>
  <si>
    <t>Phasing check</t>
  </si>
  <si>
    <t>Must equal 100%</t>
  </si>
  <si>
    <t>MONTHLY BUDGET MODEL - 2026 AND 2027</t>
  </si>
  <si>
    <t>FY2026 Check</t>
  </si>
  <si>
    <t>FY2027 Check</t>
  </si>
  <si>
    <t>Method / Note</t>
  </si>
  <si>
    <t>Timeline</t>
  </si>
  <si>
    <t>Year</t>
  </si>
  <si>
    <t>year</t>
  </si>
  <si>
    <t>Calendar year</t>
  </si>
  <si>
    <t>month</t>
  </si>
  <si>
    <t>Planning</t>
  </si>
  <si>
    <t>Revenue phasing</t>
  </si>
  <si>
    <t>Annual revenue x monthly phasing.</t>
  </si>
  <si>
    <t>Annual segment revenue x monthly phasing.</t>
  </si>
  <si>
    <t>Other / Unallocated Revenue</t>
  </si>
  <si>
    <t>Residual revenue x monthly phasing.</t>
  </si>
  <si>
    <t>Revenue x annual gross margin.</t>
  </si>
  <si>
    <t>Gross profit / revenue.</t>
  </si>
  <si>
    <t>Revenue x G&amp;A expense ratio.</t>
  </si>
  <si>
    <t>Annual EBITDA x monthly phasing.</t>
  </si>
  <si>
    <t>Gross profit - selling expense - G&amp;A.</t>
  </si>
  <si>
    <t>Annual NPAT x monthly phasing.</t>
  </si>
  <si>
    <t>Store KPI</t>
  </si>
  <si>
    <t>Total Ending Stores</t>
  </si>
  <si>
    <t>Linear interpolation between annual ending store counts.</t>
  </si>
  <si>
    <t>BHX Ending Stores</t>
  </si>
  <si>
    <t>Linear interpolation between annual ending BHX stores.</t>
  </si>
  <si>
    <t>Average of beginning and ending monthly BHX stores.</t>
  </si>
  <si>
    <t>BHX Revenue / Avg Store / Month</t>
  </si>
  <si>
    <t>Monthly BHX revenue / average BHX stores.</t>
  </si>
  <si>
    <t>Capex Outflow</t>
  </si>
  <si>
    <t>Positive cash outflow; linked to annual capex.</t>
  </si>
  <si>
    <t>CFO Simplified</t>
  </si>
  <si>
    <t>Annual CFO x monthly phasing.</t>
  </si>
  <si>
    <t>Annual FCFF x monthly phasing.</t>
  </si>
  <si>
    <t>Revenue Annual Tie</t>
  </si>
  <si>
    <t>Yearly sum must tie to income statement annual revenue.</t>
  </si>
  <si>
    <t>NPAT Annual Tie</t>
  </si>
  <si>
    <t>Yearly sum must tie to income statement annual NPAT.</t>
  </si>
  <si>
    <t>ACTUAL VS BUDGET VARIANCE ANALYSIS</t>
  </si>
  <si>
    <t>Period</t>
  </si>
  <si>
    <t>Group Revenue</t>
  </si>
  <si>
    <t>Apr-May 2026 implied</t>
  </si>
  <si>
    <t>Core ICT+CE Revenue</t>
  </si>
  <si>
    <t>BHX New Stores</t>
  </si>
  <si>
    <t>Selling + G&amp;A Expenses</t>
  </si>
  <si>
    <t>Q1 EBIT VARIANCE BRIDGE</t>
  </si>
  <si>
    <t>Bridge Step</t>
  </si>
  <si>
    <t>Formula Logic</t>
  </si>
  <si>
    <t>Budget EBIT Q1</t>
  </si>
  <si>
    <t>Budget Jan-Mar EBIT</t>
  </si>
  <si>
    <t>Monthly Budget</t>
  </si>
  <si>
    <t>Revenue volume impact</t>
  </si>
  <si>
    <t>(Actual revenue - budget revenue) x budget gross margin</t>
  </si>
  <si>
    <t>04A + monthly budget</t>
  </si>
  <si>
    <t>Gross margin rate impact</t>
  </si>
  <si>
    <t>Actual revenue x (actual GM - budget GM)</t>
  </si>
  <si>
    <t>Opex impact</t>
  </si>
  <si>
    <t>-(Actual opex - budget opex)</t>
  </si>
  <si>
    <t>Other / rounding impact</t>
  </si>
  <si>
    <t>Plug to actual EBIT</t>
  </si>
  <si>
    <t>Actual EBIT Q1</t>
  </si>
  <si>
    <t>Reported EBIT</t>
  </si>
  <si>
    <t>Bridge Check</t>
  </si>
  <si>
    <t>Sum bridge - actual EBIT</t>
  </si>
  <si>
    <t>Delta</t>
  </si>
  <si>
    <t>Where to fix</t>
  </si>
  <si>
    <t>Revenue phasing sums to 100%</t>
  </si>
  <si>
    <t>Rows 39-42</t>
  </si>
  <si>
    <t>2026 revenue monthly budget ties to annual</t>
  </si>
  <si>
    <t>Row 50 / 12_Income_Statement</t>
  </si>
  <si>
    <t>2027 revenue monthly budget ties to annual</t>
  </si>
  <si>
    <t>2026 NPAT monthly budget ties to annual</t>
  </si>
  <si>
    <t>Row 63 / 12_Income_Statement</t>
  </si>
  <si>
    <t>2027 NPAT monthly budget ties to annual</t>
  </si>
  <si>
    <t>Q1 EBIT bridge ties to reported actual</t>
  </si>
  <si>
    <t>Rows 96-102</t>
  </si>
  <si>
    <t>Actual data limitation disclosed</t>
  </si>
  <si>
    <t>Rows 1-2 / 18-35</t>
  </si>
  <si>
    <t>Phase 7 model status</t>
  </si>
  <si>
    <t>This check block</t>
  </si>
  <si>
    <t>SEASONALITY BRIDGE - KQKD 2023-2025</t>
  </si>
  <si>
    <t>YTD Revenue 2023</t>
  </si>
  <si>
    <t>KQKD 2024 reports / 2023 prior-year YTD</t>
  </si>
  <si>
    <t>YTD Revenue 2024</t>
  </si>
  <si>
    <t>KQKD 2024-2025 reports</t>
  </si>
  <si>
    <t>YTD Revenue 2025</t>
  </si>
  <si>
    <t>KQKD 2025 reports</t>
  </si>
  <si>
    <t>Jan-Feb split</t>
  </si>
  <si>
    <t>Visible assumption</t>
  </si>
  <si>
    <t>Monthly Revenue 2023</t>
  </si>
  <si>
    <t>Formula from YTD revenue</t>
  </si>
  <si>
    <t>Monthly Revenue 2024</t>
  </si>
  <si>
    <t>Monthly Revenue 2025</t>
  </si>
  <si>
    <t>Monthly Mix 2023</t>
  </si>
  <si>
    <t>Monthly revenue / full-year revenue</t>
  </si>
  <si>
    <t>Monthly Mix 2024</t>
  </si>
  <si>
    <t>Monthly Mix 2025</t>
  </si>
  <si>
    <t>Weight 2023</t>
  </si>
  <si>
    <t>Visible planning input</t>
  </si>
  <si>
    <t>Weight 2024</t>
  </si>
  <si>
    <t>Weight 2025</t>
  </si>
  <si>
    <t>Weighted Avg Monthly Mix</t>
  </si>
  <si>
    <t>2023/2024/2025 weighted average</t>
  </si>
  <si>
    <t>Final Seasonality Used</t>
  </si>
  <si>
    <t>Normalized weighted average; linked to row 40</t>
  </si>
  <si>
    <t>Check / Total</t>
  </si>
  <si>
    <t>Note tieng Viet</t>
  </si>
  <si>
    <t>2026 cumulative actual</t>
  </si>
  <si>
    <t>KQKD 2026 public updates</t>
  </si>
  <si>
    <t>2025 cumulative source</t>
  </si>
  <si>
    <t>KQKD 2025; used for Jun-Dec mix only</t>
  </si>
  <si>
    <t>2025 Jun-Dec mix</t>
  </si>
  <si>
    <t>Monthly delta / total Jun-Dec 2025 openings</t>
  </si>
  <si>
    <t>Jan-Feb split assumption</t>
  </si>
  <si>
    <t>Visible assumption because no 1M BHX opening disclosure</t>
  </si>
  <si>
    <t>2026 target new stores</t>
  </si>
  <si>
    <t>Linked to 07_Revenue_Drivers / Business Directions 2026</t>
  </si>
  <si>
    <t>Remaining after May</t>
  </si>
  <si>
    <t>Target - actual 5M openings</t>
  </si>
  <si>
    <t>Final monthly openings</t>
  </si>
  <si>
    <t>Jan-Feb split; Mar-May actual delta; Jun-Dec remaining x 2025 mix</t>
  </si>
  <si>
    <t>Opening check</t>
  </si>
  <si>
    <t>Final monthly openings - target</t>
  </si>
  <si>
    <t>Final Store Rollout Phasing Used</t>
  </si>
  <si>
    <t>Monthly openings / target; linked to row 41</t>
  </si>
  <si>
    <t>Source note: KQKD 2026 cumulative BHX openings: 2M=199, 3M=280, 4M=403, 5M=532. KQKD 2025 cumulative BHX openings: 5M=410, 6M=414, 7M=434, 8M=463, 9M=520, 10M=600, 11M=721, 12M=789. Business Directions 2026 / Phase 4 target: about 1,000 new BHX stores.</t>
  </si>
  <si>
    <t>MWG -  Checks</t>
  </si>
  <si>
    <t>CHECKS</t>
  </si>
  <si>
    <t>Forecast should equal zero.</t>
  </si>
  <si>
    <t>Income Statement</t>
  </si>
  <si>
    <t>Revenue - COGS - gross profit.</t>
  </si>
  <si>
    <t>Balance Sheet</t>
  </si>
  <si>
    <t>Total assets - liabilities - equity.</t>
  </si>
  <si>
    <t>Beginning liquid funds + net change - ending liquid funds.</t>
  </si>
  <si>
    <t>Retained Earnings Roll-forward Check</t>
  </si>
  <si>
    <t>Current RE - prior RE - NPATMI + dividends.</t>
  </si>
  <si>
    <t>Liquid Funds Positive?</t>
  </si>
  <si>
    <t>OK when cash + short-term investments stays positive.</t>
  </si>
  <si>
    <t>Year Status</t>
  </si>
  <si>
    <t>OK when key checks pass.</t>
  </si>
  <si>
    <t>SUMMARY</t>
  </si>
  <si>
    <t>Summary</t>
  </si>
  <si>
    <t>Forecast Years with CHECK</t>
  </si>
  <si>
    <t>Count across 2026E-2030E.</t>
  </si>
  <si>
    <t>MWG - Peer Data Checks</t>
  </si>
  <si>
    <t>Checks focus on API completeness, LTM math and market data sanity. REVIEW does not necessarily mean an error; it can flag source timing differences.</t>
  </si>
  <si>
    <t>Location</t>
  </si>
  <si>
    <t>API error count</t>
  </si>
  <si>
    <t>vnstock fetch returned errors list.</t>
  </si>
  <si>
    <t>peer_data_payload.json</t>
  </si>
  <si>
    <t>Critical metric blanks</t>
  </si>
  <si>
    <t>Current price, shares, cash, debt, equity, FY/Q1 revenue/EBITDA/NPATMI.</t>
  </si>
  <si>
    <t>G5:AA9</t>
  </si>
  <si>
    <t>Same price date across tickers</t>
  </si>
  <si>
    <t>All same</t>
  </si>
  <si>
    <t>Use one close date for clean comps.</t>
  </si>
  <si>
    <t>F5:F9</t>
  </si>
  <si>
    <t>Market cap vs overview max diff</t>
  </si>
  <si>
    <t>&lt; 10% preferred</t>
  </si>
  <si>
    <t>Overview market cap can differ because price source/as-of differs.</t>
  </si>
  <si>
    <t>AE5:AE9</t>
  </si>
  <si>
    <t>LTM formula status</t>
  </si>
  <si>
    <t>All OK</t>
  </si>
  <si>
    <t>Checks Revenue/EBITDA/NPATMI LTM = FY2025 + Q1/2026 - Q1/2025.</t>
  </si>
  <si>
    <t>AF5:AF9</t>
  </si>
  <si>
    <t>Forward peer estimates</t>
  </si>
  <si>
    <t>Peers left blank</t>
  </si>
  <si>
    <t>Intentional</t>
  </si>
  <si>
    <t>MWG links to Phase 5; peer forward inputs require analyst estimates/consensus.</t>
  </si>
  <si>
    <t>Forward block</t>
  </si>
  <si>
    <t>MWG 2026 Guidance Source Audit</t>
  </si>
  <si>
    <t>Purpose: map each 2026 management guidance item used in Phase 4 / Phase 5 to the exact local source, page, model driver and workbook cell treatment. Screenshots below are cropped from the source PDF for source audit.</t>
  </si>
  <si>
    <t>ID</t>
  </si>
  <si>
    <t>Guidance Item</t>
  </si>
  <si>
    <t>Value Used</t>
  </si>
  <si>
    <t>Source File</t>
  </si>
  <si>
    <t>Page / Location</t>
  </si>
  <si>
    <t>Verbatim Source Snippet</t>
  </si>
  <si>
    <t>Model Driver ID</t>
  </si>
  <si>
    <t>Workbook Treatment / Cell</t>
  </si>
  <si>
    <t>Used As</t>
  </si>
  <si>
    <t>Evidence Image</t>
  </si>
  <si>
    <t>G01</t>
  </si>
  <si>
    <t>Group revenue target</t>
  </si>
  <si>
    <t>185,000 VND bn; +18% YoY</t>
  </si>
  <si>
    <t>Thêm\định hướng kinh doanh 2026.pdf</t>
  </si>
  <si>
    <t>Page 1, top target table</t>
  </si>
  <si>
    <t>Doanh thu thuần hợp nhất 185.000 +18%</t>
  </si>
  <si>
    <t>group_revenue_target_2026</t>
  </si>
  <si>
    <t>96_Raw_Phase4_Drivers; 07_Revenue_Drivers!G8; 08_P5_Assumptions!I6</t>
  </si>
  <si>
    <t>2026E group revenue anchor</t>
  </si>
  <si>
    <t>guidance_01_group_targets.png</t>
  </si>
  <si>
    <t>G02</t>
  </si>
  <si>
    <t>Group NPAT target</t>
  </si>
  <si>
    <t>9,200 VND bn; +30% YoY</t>
  </si>
  <si>
    <t>Lợi nhuận sau thuế hợp nhất 9.200 +30%</t>
  </si>
  <si>
    <t>npat_target_2026</t>
  </si>
  <si>
    <t>96_Raw_Phase4_Drivers; reference for profitability sanity check</t>
  </si>
  <si>
    <t>Reference / cross-check</t>
  </si>
  <si>
    <t>G03</t>
  </si>
  <si>
    <t>DMX contribution to MWG</t>
  </si>
  <si>
    <t>About 65% of revenue; &gt;80% of profit</t>
  </si>
  <si>
    <t>Page 2, section I, first bullet</t>
  </si>
  <si>
    <t>Năm 2026, DMX vẫn đóng vai trò là trụ cột quan trọng, dự kiến đóng góp khoảng 65% doanh thu và hơn 80% lợi nhuận cho MWG.</t>
  </si>
  <si>
    <t>core_revenue_mix_2026</t>
  </si>
  <si>
    <t>07_Revenue_Drivers!G55; 2026E split to TGDD/TopZone and DMX via 5M mix</t>
  </si>
  <si>
    <t>2026E core revenue mix anchor</t>
  </si>
  <si>
    <t>guidance_02_dmx_core_growth.png</t>
  </si>
  <si>
    <t>G04</t>
  </si>
  <si>
    <t>DMX growth guidance</t>
  </si>
  <si>
    <t>+15% revenue; +20% profit vs 2025</t>
  </si>
  <si>
    <t>Page 2, section I, second bullet</t>
  </si>
  <si>
    <t>DMX đặt mục tiêu tăng trưởng tích cực 15% về doanh thu và 20% về lợi nhuận so với 2025.</t>
  </si>
  <si>
    <t>core_revenue_growth_2026</t>
  </si>
  <si>
    <t>07_Revenue_Drivers!G56 as supplemental KPI / sanity check</t>
  </si>
  <si>
    <t>Supporting guidance</t>
  </si>
  <si>
    <t>G05</t>
  </si>
  <si>
    <t>EraBlue 2026 direction</t>
  </si>
  <si>
    <t>&gt;300 stores; +30% revenue</t>
  </si>
  <si>
    <t>Page 2, section I, strategic focus 5</t>
  </si>
  <si>
    <t>Erablue hướng tới mục tiêu vận hành hơn 300 cửa hàng và tăng trưởng 30% về doanh thu trong năm 2026.</t>
  </si>
  <si>
    <t>erablue_target_stores_2026; erablue_revenue_growth_2026</t>
  </si>
  <si>
    <t>07_Revenue_Drivers!G37/G60/G61; supplemental footprint / optionality</t>
  </si>
  <si>
    <t>Supplemental / SOTP thesis</t>
  </si>
  <si>
    <t>guidance_03_erablue.png</t>
  </si>
  <si>
    <t>G06</t>
  </si>
  <si>
    <t>BHX contribution to MWG</t>
  </si>
  <si>
    <t>About 30% of revenue; near 20% of profit</t>
  </si>
  <si>
    <t>Page 3, section II, first bullet</t>
  </si>
  <si>
    <t>BHX dự kiến đóng góp khoảng 30% doanh thu và gần 20% lợi nhuận cho MWG.</t>
  </si>
  <si>
    <t>bhx_revenue_mix_2026</t>
  </si>
  <si>
    <t>07_Revenue_Drivers!G17 = group revenue x BHX revenue mix</t>
  </si>
  <si>
    <t>2026E BHX revenue anchor</t>
  </si>
  <si>
    <t>guidance_04_bhx.png</t>
  </si>
  <si>
    <t>G07</t>
  </si>
  <si>
    <t>BHX growth and expansion</t>
  </si>
  <si>
    <t>&gt;20% revenue growth; about 1,000 new stores</t>
  </si>
  <si>
    <t>Page 3, section II, strategic focus 1</t>
  </si>
  <si>
    <t>Hướng đến tăng trưởng doanh thu trên 20%, tiếp tục gia tăng thị phần và cải thiện lợi nhuận. Động lực đến từ việc tối ưu doanh thu cửa hàng cũ, song song với nỗ lực mở thêm khoảng 1.000 cửa hàng tại cả các vùng hiện hữu và các tỉnh thành mới.</t>
  </si>
  <si>
    <t>bhx_revenue_growth_2026; bhx_new_stores_2026</t>
  </si>
  <si>
    <t>07_Revenue_Drivers!G57; BHX store count and assumption check</t>
  </si>
  <si>
    <t>Expansion driver / sanity check</t>
  </si>
  <si>
    <t>G08</t>
  </si>
  <si>
    <t>An Khang growth and expansion</t>
  </si>
  <si>
    <t>About 100 new pharmacies; +30% revenue</t>
  </si>
  <si>
    <t>Page 3, section III, second bullet</t>
  </si>
  <si>
    <t>An Khang dự kiến mở mới khoảng 100 nhà thuốc, đặt mục tiêu tăng trưởng 30% về doanh thu và bắt đầu đóng góp lợi nhuận cho MWG trong năm 2026.</t>
  </si>
  <si>
    <t>ak_new_stores_2026; ak_revenue_growth_2026</t>
  </si>
  <si>
    <t>07_Revenue_Drivers!G18/G35; 96_Raw_Phase4_Drivers</t>
  </si>
  <si>
    <t>2026E small-chain revenue/store anchor</t>
  </si>
  <si>
    <t>guidance_05_ankhang_avakids.png</t>
  </si>
  <si>
    <t>G09</t>
  </si>
  <si>
    <t>AVAKids growth guidance</t>
  </si>
  <si>
    <t>+20% revenue; +30% profit</t>
  </si>
  <si>
    <t>Page 3, section IV, first bullet</t>
  </si>
  <si>
    <t>Avakids bước vào năm 2026 với mục tiêu tiếp tục tăng trưởng 20% về doanh thu và 30% về lợi nhuận.</t>
  </si>
  <si>
    <t>ava_revenue_growth_2026</t>
  </si>
  <si>
    <t>07_Revenue_Drivers!G19; 96_Raw_Phase4_Drivers</t>
  </si>
  <si>
    <t>2026E small-chain revenue anchor</t>
  </si>
  <si>
    <t>G10</t>
  </si>
  <si>
    <t>AVAKids online direction</t>
  </si>
  <si>
    <t>&gt;60% of chain revenue from online</t>
  </si>
  <si>
    <t>Page 3, section IV, second bullet</t>
  </si>
  <si>
    <t>Dự kiến doanh thu từ online có thể chiếm hơn 60% tổng doanh thu của chuỗi.</t>
  </si>
  <si>
    <t>Not currently a core revenue-driver input</t>
  </si>
  <si>
    <t>Future FP&amp;A / segment dashboard input; not forced into Phase 5 group model</t>
  </si>
  <si>
    <t>Supporting operating KPI</t>
  </si>
  <si>
    <t>SOURCE SCREENSHOTS</t>
  </si>
  <si>
    <t>Screenshot 1 - Group 2026 targets: revenue and NPAT</t>
  </si>
  <si>
    <t>Image</t>
  </si>
  <si>
    <t>Source Page</t>
  </si>
  <si>
    <t>Guidance Covered</t>
  </si>
  <si>
    <t>Used In Model</t>
  </si>
  <si>
    <t>1</t>
  </si>
  <si>
    <t>p.1</t>
  </si>
  <si>
    <t>Group revenue / NPAT target</t>
  </si>
  <si>
    <t>07_Revenue_Drivers!G8; 96_Raw_Phase4_Drivers</t>
  </si>
  <si>
    <t>2</t>
  </si>
  <si>
    <t>p.2</t>
  </si>
  <si>
    <t>DMX 65% revenue / &gt;80% profit; +15% revenue / +20% profit</t>
  </si>
  <si>
    <t>07_Revenue_Drivers!G55/G56</t>
  </si>
  <si>
    <t>3</t>
  </si>
  <si>
    <t>EraBlue &gt;300 stores; +30% revenue</t>
  </si>
  <si>
    <t>07_Revenue_Drivers!G37/G60/G61</t>
  </si>
  <si>
    <t>4</t>
  </si>
  <si>
    <t>p.3</t>
  </si>
  <si>
    <t>BHX 30% revenue / near 20% profit; &gt;20% growth; ~1,000 stores</t>
  </si>
  <si>
    <t>07_Revenue_Drivers!G17/G57</t>
  </si>
  <si>
    <t>5</t>
  </si>
  <si>
    <t>An Khang +30% revenue / 100 stores; AVAKids +20% revenue / +30% profit</t>
  </si>
  <si>
    <t>07_Revenue_Drivers!G18/G19/G35</t>
  </si>
  <si>
    <t>Screenshot 2 - DMX contribution and growth guidance</t>
  </si>
  <si>
    <t>Screenshot 3 - EraBlue 2026 store / revenue direction</t>
  </si>
  <si>
    <t>Screenshot 4 - BHX contribution, growth and store expansion guidance</t>
  </si>
  <si>
    <t>Screenshot 5 - An Khang and AVAKids guidance</t>
  </si>
  <si>
    <t>MWG - Source Audit Master</t>
  </si>
  <si>
    <t xml:space="preserve"> this sheet is the central audit map.</t>
  </si>
  <si>
    <t>Source_ID</t>
  </si>
  <si>
    <t>Used_For</t>
  </si>
  <si>
    <t>Data_Point</t>
  </si>
  <si>
    <t>HIST-001</t>
  </si>
  <si>
    <t>Historical FS</t>
  </si>
  <si>
    <t>Annual financial statements used in model</t>
  </si>
  <si>
    <t>2021A-2025A</t>
  </si>
  <si>
    <t>See model</t>
  </si>
  <si>
    <t>Annual reports / BCTC / vnstock raw sheets</t>
  </si>
  <si>
    <t>03_Historical_FS; 90-92_Raw_*</t>
  </si>
  <si>
    <t>Historical statements feed ratios, 3-statement base and charts.</t>
  </si>
  <si>
    <t>QFS-001</t>
  </si>
  <si>
    <t>Q1 / LTM analysis</t>
  </si>
  <si>
    <t>Quarterly financial statements</t>
  </si>
  <si>
    <t>Q1/2025; Q1/2026</t>
  </si>
  <si>
    <t>MWG consolidated FS Q1/2026 + raw quarterly sheets</t>
  </si>
  <si>
    <t>04_Q1_Historical_FS; 93-95_Raw_*</t>
  </si>
  <si>
    <t>Used for Q1 bridge and LTM calculations.</t>
  </si>
  <si>
    <t>KQKD5M26-001</t>
  </si>
  <si>
    <t>Revenue Drivers</t>
  </si>
  <si>
    <t>kqkd 5t 2026.pdf</t>
  </si>
  <si>
    <t>96_Raw_Phase4_Drivers row group_revenue_5m_2026</t>
  </si>
  <si>
    <t>Latest public trading anchor.</t>
  </si>
  <si>
    <t>KQKD5M26-002</t>
  </si>
  <si>
    <t>5M2025</t>
  </si>
  <si>
    <t>96_Raw_Phase4_Drivers row group_revenue_5m_2025</t>
  </si>
  <si>
    <t>Prior-year base for 5M YoY context.</t>
  </si>
  <si>
    <t>KQKD5M26-003</t>
  </si>
  <si>
    <t>TGDD / TopZone chain mix</t>
  </si>
  <si>
    <t>96_Raw_Phase4_Drivers row tgd_mix_5m_2026</t>
  </si>
  <si>
    <t>Used to split core chain revenue.</t>
  </si>
  <si>
    <t>KQKD5M26-004</t>
  </si>
  <si>
    <t>DMX chain mix</t>
  </si>
  <si>
    <t>96_Raw_Phase4_Drivers row dmx_mix_5m_2026</t>
  </si>
  <si>
    <t>KQKD5M26-005</t>
  </si>
  <si>
    <t>BHX chain mix</t>
  </si>
  <si>
    <t>96_Raw_Phase4_Drivers row bhx_mix_5m_2026</t>
  </si>
  <si>
    <t>Used to cross-check BHX revenue share.</t>
  </si>
  <si>
    <t>KQKD5M26-006</t>
  </si>
  <si>
    <t>DMX Investment / core ICT+CE revenue</t>
  </si>
  <si>
    <t>96_Raw_Phase4_Drivers row core_revenue_5m_2026</t>
  </si>
  <si>
    <t>Anchor for core business actual vs 2026 plan.</t>
  </si>
  <si>
    <t>KQKD5M26-007</t>
  </si>
  <si>
    <t>Core same-store sales growth</t>
  </si>
  <si>
    <t>96_Raw_Phase4_Drivers row core_sssg_5m_2026</t>
  </si>
  <si>
    <t>Supports productivity / quality-led growth thesis.</t>
  </si>
  <si>
    <t>KQKD5M26-008</t>
  </si>
  <si>
    <t>96_Raw_Phase4_Drivers row bhx_revenue_5m_2026</t>
  </si>
  <si>
    <t>Conservative anchor because source says more than VND23tn.</t>
  </si>
  <si>
    <t>KQKD5M26-009</t>
  </si>
  <si>
    <t>BHX revenue growth</t>
  </si>
  <si>
    <t>96_Raw_Phase4_Drivers row bhx_yoy_5m_2026</t>
  </si>
  <si>
    <t>Used for BHX growth discussion.</t>
  </si>
  <si>
    <t>KQKD5M26-010</t>
  </si>
  <si>
    <t>Revenue Drivers / FP&amp;A</t>
  </si>
  <si>
    <t>96_Raw_Phase4_Drivers row bhx_new_stores_5m_2026</t>
  </si>
  <si>
    <t>Actual Jan-May rollout anchor.</t>
  </si>
  <si>
    <t>KQKD5M26-011</t>
  </si>
  <si>
    <t>EraBlue revenue</t>
  </si>
  <si>
    <t>96_Raw_Phase4_Drivers row erablue_revenue_idr_5m_2026</t>
  </si>
  <si>
    <t>Memo/optionality context only.</t>
  </si>
  <si>
    <t>KQKD5M26-012</t>
  </si>
  <si>
    <t>EraBlue new stores</t>
  </si>
  <si>
    <t>96_Raw_Phase4_Drivers row erablue_new_stores_5m_2026</t>
  </si>
  <si>
    <t>KQKD5M26-013</t>
  </si>
  <si>
    <t>EraBlue SSSG</t>
  </si>
  <si>
    <t>96_Raw_Phase4_Drivers row erablue_sssg_5m_2026</t>
  </si>
  <si>
    <t>KQKD5M26-014</t>
  </si>
  <si>
    <t>96_Raw_Phase4_Drivers row superapp_online_revenue_5m_2026</t>
  </si>
  <si>
    <t>Used in FP&amp;A dashboard tracking.</t>
  </si>
  <si>
    <t>BD2026-001</t>
  </si>
  <si>
    <t xml:space="preserve">Revenue Drivers </t>
  </si>
  <si>
    <t>Business Directions 2026</t>
  </si>
  <si>
    <t>96_Raw_Phase4_Drivers row group_revenue_target_2026</t>
  </si>
  <si>
    <t>Management guidance, not independent forecast.</t>
  </si>
  <si>
    <t>BD2026-002</t>
  </si>
  <si>
    <t>96_Raw_Phase4_Drivers row npat_target_2026</t>
  </si>
  <si>
    <t>BD2026-003</t>
  </si>
  <si>
    <t>DMX Investment revenue contribution</t>
  </si>
  <si>
    <t>96_Raw_Phase4_Drivers row core_revenue_mix_2026</t>
  </si>
  <si>
    <t>Used to anchor 2026 core revenue.</t>
  </si>
  <si>
    <t>BD2026-004</t>
  </si>
  <si>
    <t>BHX revenue contribution</t>
  </si>
  <si>
    <t>96_Raw_Phase4_Drivers row bhx_revenue_mix_2026</t>
  </si>
  <si>
    <t>Used to anchor 2026 BHX revenue.</t>
  </si>
  <si>
    <t>BD2026-005</t>
  </si>
  <si>
    <t>DMX revenue growth guidance</t>
  </si>
  <si>
    <t>96_Raw_Phase4_Drivers row core_revenue_growth_2026</t>
  </si>
  <si>
    <t>Source-backed base; bull/bear are scenario assumptions.</t>
  </si>
  <si>
    <t>BD2026-006</t>
  </si>
  <si>
    <t>BHX revenue growth guidance</t>
  </si>
  <si>
    <t>96_Raw_Phase4_Drivers row bhx_revenue_growth_2026</t>
  </si>
  <si>
    <t>BD2026-007</t>
  </si>
  <si>
    <t>BHX new stores target</t>
  </si>
  <si>
    <t>Business Directions 2026 / management response</t>
  </si>
  <si>
    <t>96_Raw_Phase4_Drivers row bhx_new_stores_2026</t>
  </si>
  <si>
    <t>FP&amp;A rollout target; monthly phasing is simulated.</t>
  </si>
  <si>
    <t>BD2026-008</t>
  </si>
  <si>
    <t>An Khang revenue growth</t>
  </si>
  <si>
    <t>96_Raw_Phase4_Drivers row ak_revenue_growth_2026</t>
  </si>
  <si>
    <t>Used for simple An Khang forecast.</t>
  </si>
  <si>
    <t>BD2026-009</t>
  </si>
  <si>
    <t>An Khang new stores</t>
  </si>
  <si>
    <t>96_Raw_Phase4_Drivers row ak_new_stores_2026</t>
  </si>
  <si>
    <t>BD2026-010</t>
  </si>
  <si>
    <t>AVAKids revenue growth</t>
  </si>
  <si>
    <t>96_Raw_Phase4_Drivers row ava_revenue_growth_2026</t>
  </si>
  <si>
    <t>Used for simple AVAKids forecast.</t>
  </si>
  <si>
    <t>BD2026-011</t>
  </si>
  <si>
    <t>EraBlue ending store target</t>
  </si>
  <si>
    <t>96_Raw_Phase4_Drivers row erablue_target_stores_2026</t>
  </si>
  <si>
    <t>BD2026-012</t>
  </si>
  <si>
    <t>EraBlue revenue growth</t>
  </si>
  <si>
    <t>96_Raw_Phase4_Drivers row erablue_revenue_growth_2026</t>
  </si>
  <si>
    <t>ROLL-001</t>
  </si>
  <si>
    <t>FP&amp;A Module</t>
  </si>
  <si>
    <t>Revenue seasonality bridge</t>
  </si>
  <si>
    <t>2023A-2025A</t>
  </si>
  <si>
    <t>KQKD 2023-2025 monthly/YTD reports</t>
  </si>
  <si>
    <t>24_FPA_Module rows 119-136</t>
  </si>
  <si>
    <t>Weighted monthly mix; 2025 has highest weight.</t>
  </si>
  <si>
    <t>ROLL-002</t>
  </si>
  <si>
    <t>BHX store rollout bridge</t>
  </si>
  <si>
    <t>2025A-2026E</t>
  </si>
  <si>
    <t>KQKD 2025/2026 + Business Directions 2026</t>
  </si>
  <si>
    <t>24_FPA_Module rows 138-153</t>
  </si>
  <si>
    <t>Jan-Feb split assumption; Mar-May actual; Jun-Dec allocated by 2025 pattern.</t>
  </si>
  <si>
    <t>WACC-001</t>
  </si>
  <si>
    <t>2026-06</t>
  </si>
  <si>
    <t>19_WACC row 6</t>
  </si>
  <si>
    <t>VND DCF should use VND risk-free proxy.</t>
  </si>
  <si>
    <t>WACC-002</t>
  </si>
  <si>
    <t>19_WACC row 7</t>
  </si>
  <si>
    <t>Base equity risk premium component.</t>
  </si>
  <si>
    <t>WACC-003</t>
  </si>
  <si>
    <t>19_WACC row 8</t>
  </si>
  <si>
    <t>Added to mature ERP for Vietnam risk.</t>
  </si>
  <si>
    <t>WACC-004</t>
  </si>
  <si>
    <t>2024-05-31 to 2026-06-26</t>
  </si>
  <si>
    <t>19_WACC row 10</t>
  </si>
  <si>
    <t>Weekly beta vs VNINDEX.</t>
  </si>
  <si>
    <t>COMPS-001</t>
  </si>
  <si>
    <t>Trading Comps</t>
  </si>
  <si>
    <t>Current price / market data cutoff</t>
  </si>
  <si>
    <t>vnstock API</t>
  </si>
  <si>
    <t>16_Trading_Comps; 100_Raw_Peer_Metrics; 101_Raw_Peer_Market</t>
  </si>
  <si>
    <t>LTM = FY2025 + Q1/2026 - Q1/2025.</t>
  </si>
  <si>
    <t>COMPS-002</t>
  </si>
  <si>
    <t>Peer financials</t>
  </si>
  <si>
    <t>FY2025; Q1/2025; Q1/2026</t>
  </si>
  <si>
    <t>See raw sheets</t>
  </si>
  <si>
    <t>97_Raw_Peer_IS; 98_Raw_Peer_BS; 99_Raw_Peer_CF</t>
  </si>
  <si>
    <t>Used for market cap, EV and multiples.</t>
  </si>
  <si>
    <t>SOTP-001</t>
  </si>
  <si>
    <t>21_Target_Multiple_Bridge row 6</t>
  </si>
  <si>
    <t>Main anchor for DMX value.</t>
  </si>
  <si>
    <t>SOTP-002</t>
  </si>
  <si>
    <t>21_Target_Multiple_Bridge row 9</t>
  </si>
  <si>
    <t>Used to calculate implied MWG ownership after IPO.</t>
  </si>
  <si>
    <t>SOTP-003</t>
  </si>
  <si>
    <t>21_Target_Multiple_Bridge row 10</t>
  </si>
  <si>
    <t>SOTP-004</t>
  </si>
  <si>
    <t>BHX benchmark P/S</t>
  </si>
  <si>
    <t>21_Target_Multiple_Bridge row 12</t>
  </si>
  <si>
    <t>Broker benchmark minus simple company-specific adjustment.</t>
  </si>
  <si>
    <t>SOTP-005</t>
  </si>
  <si>
    <t>An Khang proxy EV/Sales</t>
  </si>
  <si>
    <t>LTM</t>
  </si>
  <si>
    <t>21_Target_Multiple_Bridge row 15</t>
  </si>
  <si>
    <t>FRT/Long Chau proxy with turnaround discount.</t>
  </si>
  <si>
    <t>SOTP-006</t>
  </si>
  <si>
    <t>AVAKids proxy EV/Sales</t>
  </si>
  <si>
    <t>21_Target_Multiple_Bridge row 18</t>
  </si>
  <si>
    <t>Domestic retail proxy plus/minus niche adjustment.</t>
  </si>
  <si>
    <t>SOTP-007</t>
  </si>
  <si>
    <t>Net cash adjustment</t>
  </si>
  <si>
    <t>Base case</t>
  </si>
  <si>
    <t>16_Trading_Comps + analyst convention</t>
  </si>
  <si>
    <t>22_SOTP row 38</t>
  </si>
  <si>
    <t>Base includes 50% net cash to reduce double-count risk.</t>
  </si>
  <si>
    <t>FPA-001</t>
  </si>
  <si>
    <t>Module type</t>
  </si>
  <si>
    <t>2026E-2027E</t>
  </si>
  <si>
    <t>24_FPA_Module row 19</t>
  </si>
  <si>
    <t>Not MWG internal budget; based on public actuals and management guidance.</t>
  </si>
  <si>
    <t>FPA-002</t>
  </si>
  <si>
    <t>5M actual vs budget snapshot</t>
  </si>
  <si>
    <t>Public KQKD + model budget</t>
  </si>
  <si>
    <t>24_FPA_Module rows 5-13</t>
  </si>
  <si>
    <t>External budget variance analysis.</t>
  </si>
  <si>
    <t>ASSUMP-001</t>
  </si>
  <si>
    <t>Online mix forecast</t>
  </si>
  <si>
    <t>2026E-2030E</t>
  </si>
  <si>
    <t>96_Raw_Phase4_Drivers rows 38-42</t>
  </si>
  <si>
    <t>Anchored to Q1/5M online disclosures; used as operating KPI.</t>
  </si>
  <si>
    <t>ASSUMP-002</t>
  </si>
  <si>
    <t>2027E+ store/RPSM assumptions</t>
  </si>
  <si>
    <t>2027E-2030E</t>
  </si>
  <si>
    <t>96_Raw_Phase4_Drivers rows 57-93</t>
  </si>
  <si>
    <t>Forecast assumptions checked against historical driver metrics.</t>
  </si>
  <si>
    <t>Topic</t>
  </si>
  <si>
    <t>Source row</t>
  </si>
  <si>
    <t>Source item</t>
  </si>
  <si>
    <t>Treatment</t>
  </si>
  <si>
    <t>1. Doanh thu bán hàng và cung cấp dịch vụ</t>
  </si>
  <si>
    <t>Linked / divide by 1,000,000,000</t>
  </si>
  <si>
    <t>3. Doanh thu thuần về bán hàng và cung cấp dịch vụ</t>
  </si>
  <si>
    <t>4. Giá vốn hàng bán</t>
  </si>
  <si>
    <t>5. Lợi nhuận gộp về bán hàng và cung cấp dịch vụ</t>
  </si>
  <si>
    <t>Gross Profit / Revenue</t>
  </si>
  <si>
    <t>7. Doanh thu hoạt động tài chính</t>
  </si>
  <si>
    <t>8. Chi phí tài chính</t>
  </si>
  <si>
    <t>Trong đó: Chi phí đi vay</t>
  </si>
  <si>
    <t>9. Chi phí bán hàng</t>
  </si>
  <si>
    <t>10. Chi phí quản lý doanh nghiệp</t>
  </si>
  <si>
    <t>Selling Expenses + G&amp;A Expenses</t>
  </si>
  <si>
    <t>11. Lợi nhuận thuần từ hoạt động kinh doanh</t>
  </si>
  <si>
    <t>EBIT / Revenue</t>
  </si>
  <si>
    <t>14. Lợi nhuận khác</t>
  </si>
  <si>
    <t>15. Tổng lợi nhuận kế toán trước thuế</t>
  </si>
  <si>
    <t>16. Chi phí thuế TNDN hiện hành</t>
  </si>
  <si>
    <t>17. Chi phí thuế TNDN hoãn lại</t>
  </si>
  <si>
    <t>Current Tax + Deferred Tax</t>
  </si>
  <si>
    <t>18. Lợi nhuận sau thuế thu nhập doanh nghiệp</t>
  </si>
  <si>
    <t>Lợi ích của cổ đông thiểu số</t>
  </si>
  <si>
    <t>Lợi nhuận sau thuế của cổ đông của Công ty mẹ</t>
  </si>
  <si>
    <t>NPATMI / Revenue</t>
  </si>
  <si>
    <t>I. Tiền và các khoản tương đương tiền</t>
  </si>
  <si>
    <t>II.  Đầu tư tài chính ngắn hạn</t>
  </si>
  <si>
    <t>III. Các khoản phải thu ngắn hạn</t>
  </si>
  <si>
    <t>IV. Hàng tồn kho</t>
  </si>
  <si>
    <t>VI. Tài sản ngắn hạn khác</t>
  </si>
  <si>
    <t>A. TÀI SẢN NGẮN HẠN</t>
  </si>
  <si>
    <t>II. Tài sản cố định</t>
  </si>
  <si>
    <t>VI. Đầu tư tài chính dài hạn</t>
  </si>
  <si>
    <t>VII. Tài sản dài hạn khác</t>
  </si>
  <si>
    <t>TỔNG CỘNG TÀI SẢN</t>
  </si>
  <si>
    <t>1. Phải trả người bán ngắn hạn</t>
  </si>
  <si>
    <t>11. Vay và nợ thuê tài chính ngắn hạn</t>
  </si>
  <si>
    <t>I. Nợ ngắn hạn</t>
  </si>
  <si>
    <t>9. Vay và nợ thuê tài chính dài hạn</t>
  </si>
  <si>
    <t>II. Nợ dài hạn</t>
  </si>
  <si>
    <t>C. NỢ PHẢI TRẢ</t>
  </si>
  <si>
    <t>1. Vốn góp của chủ sở hữu</t>
  </si>
  <si>
    <t>10. Lợi nhuận sau thuế chưa phân phối</t>
  </si>
  <si>
    <t>13. Lợi ích cổ đông không kiểm soát</t>
  </si>
  <si>
    <t>D. VỐN CHỦ SỞ HỮU</t>
  </si>
  <si>
    <t>TỔNG CỘNG NGUỒN VỐN</t>
  </si>
  <si>
    <t>Short-term Debt + Long-term Debt</t>
  </si>
  <si>
    <t>Total Debt - Cash - Short-term Financial Investments</t>
  </si>
  <si>
    <t>Receivables + Inventory - Trade Payables</t>
  </si>
  <si>
    <t>1. Lợi nhuận trước thuế</t>
  </si>
  <si>
    <t>Khấu hao TSCĐ và BĐSĐT</t>
  </si>
  <si>
    <t>Chi phí đi vay đã trả</t>
  </si>
  <si>
    <t>Thuế thu nhập doanh nghiệp đã nộp</t>
  </si>
  <si>
    <t>Lưu chuyển tiền thuần từ hoạt động kinh doanh</t>
  </si>
  <si>
    <t>1. Tiền chi để mua sắm, xây dựng TSCĐ và các tài sản dài hạn khác</t>
  </si>
  <si>
    <t>Lưu chuyển tiền thuần từ hoạt động đầu tư</t>
  </si>
  <si>
    <t>3. Tiền thu từ đi vay</t>
  </si>
  <si>
    <t>4. Tiền trả nợ gốc vay</t>
  </si>
  <si>
    <t>6. Cổ tức, lợi nhuận đã trả cho chủ sở hữu</t>
  </si>
  <si>
    <t>Lưu chuyển tiền thuần từ hoạt động tài chính</t>
  </si>
  <si>
    <t>Lưu chuyển tiền thuần trong kỳ</t>
  </si>
  <si>
    <t>Tiền và tương đương tiền đầu kỳ</t>
  </si>
  <si>
    <t>Ảnh hưởng của thay đổi tỷ giá hối đoái quy đổi ngoại tệ</t>
  </si>
  <si>
    <t>Tiền và tương đương tiền cuối kỳ</t>
  </si>
  <si>
    <t>EBIT + D&amp;A</t>
  </si>
  <si>
    <t>EBIT x (1-tax rate) + D&amp;A + Capex - Change in NWC</t>
  </si>
  <si>
    <t>item</t>
  </si>
  <si>
    <t>item_id</t>
  </si>
  <si>
    <t>2025</t>
  </si>
  <si>
    <t>2024</t>
  </si>
  <si>
    <t>2023</t>
  </si>
  <si>
    <t>2022</t>
  </si>
  <si>
    <t>2. Các khoản giảm trừ doanh thu</t>
  </si>
  <si>
    <t>deduction_from_revenue</t>
  </si>
  <si>
    <t>6. Lãi/Lỗ của hoạt động bán, thanh lý bất động sản đầu tư</t>
  </si>
  <si>
    <t>gain_loss_on_disposal_of_investment_property</t>
  </si>
  <si>
    <t>8. Phần lãi/lỗ trong công ty liên doanh, liên kết</t>
  </si>
  <si>
    <t>share_of_associates_and_joint_ventures_result</t>
  </si>
  <si>
    <t>12. Thu nhập khác</t>
  </si>
  <si>
    <t>other_income</t>
  </si>
  <si>
    <t>13. Chi phí khác</t>
  </si>
  <si>
    <t>other_expenses</t>
  </si>
  <si>
    <t>Phần lợi nhuận/lỗ từ công ty liên kết liên doanh</t>
  </si>
  <si>
    <t>share_of_associates_and_joint_ventures_result_2</t>
  </si>
  <si>
    <t>19. Lãi cơ bản trên cổ phiếu (VNÐ)</t>
  </si>
  <si>
    <t>earnings_per_share_vnd</t>
  </si>
  <si>
    <t>20. Lãi suy giảm trên cổ phiếu (*)</t>
  </si>
  <si>
    <t>diluted_earnings_per_share</t>
  </si>
  <si>
    <t>TÀI SẢN</t>
  </si>
  <si>
    <t>1. Tiền</t>
  </si>
  <si>
    <t>cash</t>
  </si>
  <si>
    <t>2. Các khoản tương đương tiền</t>
  </si>
  <si>
    <t>cash_equivalents</t>
  </si>
  <si>
    <t>1. Chứng khoán kinh doanh</t>
  </si>
  <si>
    <t>trading_securities</t>
  </si>
  <si>
    <t>2. Dự phòng giảm giá chứng khoán kinh doanh (*)</t>
  </si>
  <si>
    <t>provision_for_diminution_in_value_of_available_for_sale_securities</t>
  </si>
  <si>
    <t>3. Đầu tư nắm giữ đến ngày đáo hạn ngắn hạn</t>
  </si>
  <si>
    <t>short_term_held_to_maturity_investments</t>
  </si>
  <si>
    <t>4. Dự phòng đầu tư nắm giữ đến ngày đáo hạn ngắn hạn (*)</t>
  </si>
  <si>
    <t>provision_for_short_term_investments_held_to_maturity</t>
  </si>
  <si>
    <t>5. Đầu tư ngắn hạn khác</t>
  </si>
  <si>
    <t>other_short_term_investments</t>
  </si>
  <si>
    <t>6. Dự phòng tổn thất các khoản đầu tư ngắn hạn khác (*)</t>
  </si>
  <si>
    <t>provision_for_impairment_of_other_short_term_investments</t>
  </si>
  <si>
    <t>1. Phải thu ngắn hạn của khách hàng</t>
  </si>
  <si>
    <t>short_term_trade_accounts_receivable</t>
  </si>
  <si>
    <t>2. Trả trước cho người bán ngắn hạn</t>
  </si>
  <si>
    <t>short_term_prepayments_to_suppliers</t>
  </si>
  <si>
    <t>3. Phải thu nội bộ ngắn hạn</t>
  </si>
  <si>
    <t>short_term_inter_company_receivables</t>
  </si>
  <si>
    <t>4. Phải thu theo tiến độ hợp đồng xây dựng</t>
  </si>
  <si>
    <t>receivables_under_construction_contracts</t>
  </si>
  <si>
    <t>5. Phải thu về cho vay ngắn hạn</t>
  </si>
  <si>
    <t>short_term_loan_receivables</t>
  </si>
  <si>
    <t>5. Phải thu ngắn hạn khác</t>
  </si>
  <si>
    <t>other_short_term_receivables</t>
  </si>
  <si>
    <t>6. Dự phòng phải thu ngắn hạn khó đòi (*)</t>
  </si>
  <si>
    <t>provision_for_short_term_doubtful_debts</t>
  </si>
  <si>
    <t>7. Tài sản thiếu chờ xử lý</t>
  </si>
  <si>
    <t>assets_awaiting_resolution</t>
  </si>
  <si>
    <t>1. Hàng tồn kho</t>
  </si>
  <si>
    <t>inventories_2</t>
  </si>
  <si>
    <t>2. Dự phòng giảm giá hàng tồn kho (*)</t>
  </si>
  <si>
    <t>provision_for_decline_in_value_of_inventories</t>
  </si>
  <si>
    <t>V. Tài sản sinh học ngắn hạn</t>
  </si>
  <si>
    <t>short_term_biological_assets</t>
  </si>
  <si>
    <t>1. Súc vật nuôi lấy sản phẩm một lần ngắn hạn</t>
  </si>
  <si>
    <t>short_term_consumable_livestock</t>
  </si>
  <si>
    <t>2. Cây trồng theo mùa vụ hoặc lấy sản phẩm một lần ngắn hạn</t>
  </si>
  <si>
    <t>short_term_seasonal_or_single_harvest_crops</t>
  </si>
  <si>
    <t>3. Dự phòng tổn thất tài sản sinh học ngắn hạn (*)</t>
  </si>
  <si>
    <t>provision_for_impairment_of_short_term_biological_assets</t>
  </si>
  <si>
    <t>1. Chi phí chờ phân bổ ngắn hạn</t>
  </si>
  <si>
    <t>short_term_deferred_expenses</t>
  </si>
  <si>
    <t>2. Thuế GTGT được khấu trừ</t>
  </si>
  <si>
    <t>deductible_value_added_tax</t>
  </si>
  <si>
    <t>3. Thuế và các khoản khác phải thu Nhà nước</t>
  </si>
  <si>
    <t>taxes_and_other_receivables_from_state_authorities</t>
  </si>
  <si>
    <t>4. Giao dịch mua bán lại trái phiếu chính phủ</t>
  </si>
  <si>
    <t>repurchase_government_bonds_transactions</t>
  </si>
  <si>
    <t>5. Tài sản ngắn hạn khác</t>
  </si>
  <si>
    <t>other_short_term_assets_2</t>
  </si>
  <si>
    <t>B. TÀI SẢN DÀI HẠN</t>
  </si>
  <si>
    <t>long_term_assets</t>
  </si>
  <si>
    <t>I. Các khoản phải thu dài hạn</t>
  </si>
  <si>
    <t>long_term_receivables</t>
  </si>
  <si>
    <t>1. Phải thu dài hạn của khách hàng</t>
  </si>
  <si>
    <t>long_term_trade_receivables</t>
  </si>
  <si>
    <t>2. Trả trước cho người bán dài hạn</t>
  </si>
  <si>
    <t>long_term_prepayments_to_suppliers</t>
  </si>
  <si>
    <t>3. Vốn kinh doanh ở các đơn vị trực thuộc</t>
  </si>
  <si>
    <t>capital_at_inter_company</t>
  </si>
  <si>
    <t>4.  Phải thu nội bộ dài hạn</t>
  </si>
  <si>
    <t>long_term_inter_company_receivables</t>
  </si>
  <si>
    <t>5. Phải thu về cho vay dài hạn</t>
  </si>
  <si>
    <t>long_term_loan_receivables</t>
  </si>
  <si>
    <t>5. Phải thu dài hạn khác</t>
  </si>
  <si>
    <t>other_long_term_receivables</t>
  </si>
  <si>
    <t>6. Dự phòng phải thu dài hạn khó đòi (*)</t>
  </si>
  <si>
    <t>provision_for_long_term_doubtful_debts</t>
  </si>
  <si>
    <t>1. Tài sản cố định hữu hình</t>
  </si>
  <si>
    <t>tangible_fixed_assets</t>
  </si>
  <si>
    <t>- Nguyên giá</t>
  </si>
  <si>
    <t>cost</t>
  </si>
  <si>
    <t>- Giá trị hao mòn lũy kế (*)</t>
  </si>
  <si>
    <t>accumulated_depreciation</t>
  </si>
  <si>
    <t>2. Tài sản cố định thuê tài chính</t>
  </si>
  <si>
    <t>financial_leased_fixed_assets</t>
  </si>
  <si>
    <t>cost_2</t>
  </si>
  <si>
    <t>accumulated_depreciation_2</t>
  </si>
  <si>
    <t>3. Tài sản cố định vô hình</t>
  </si>
  <si>
    <t>intangible_fixed_assets</t>
  </si>
  <si>
    <t>cost_3</t>
  </si>
  <si>
    <t>accumulated_depreciation_3</t>
  </si>
  <si>
    <t>III. Tài sản sinh học dài hạn</t>
  </si>
  <si>
    <t>long_term_biological_assets</t>
  </si>
  <si>
    <t>1. Súc vật nuôi cho sản phẩm định kỳ</t>
  </si>
  <si>
    <t>bearer_livestock</t>
  </si>
  <si>
    <t>a) Súc vật nuôi cho sản phẩm định kỳ chưa đến giai đoạn trưởng thành</t>
  </si>
  <si>
    <t>a_immature_bearer_livestock</t>
  </si>
  <si>
    <t>b) Súc vật nuôi cho sản phẩm định kỳ đến giai đoạn trưởng thành</t>
  </si>
  <si>
    <t>b_mature_bearer_livestock</t>
  </si>
  <si>
    <t>cost_4</t>
  </si>
  <si>
    <t>- Giá trị khấu hao lũy kế (*)</t>
  </si>
  <si>
    <t>accumulated_depreciation_4</t>
  </si>
  <si>
    <t>2. Súc vật nuôi lấy sản phẩm một lần dài hạn</t>
  </si>
  <si>
    <t>long_term_consumable_livestock</t>
  </si>
  <si>
    <t>3. Cây trồng theo mùa vụ hoặc lấy sản phẩm một lần dài hạn</t>
  </si>
  <si>
    <t>long_term_seasonal_or_single_harvest_crops</t>
  </si>
  <si>
    <t>4. Dự phòng tổn thất tài sản sinh học dài hạn (*)</t>
  </si>
  <si>
    <t>provision_for_impairment_of_long_term_biological_assets</t>
  </si>
  <si>
    <t>IV. Bất động sản đầu tư</t>
  </si>
  <si>
    <t>investment_properties</t>
  </si>
  <si>
    <t>cost_5</t>
  </si>
  <si>
    <t>accumulated_depreciation_5</t>
  </si>
  <si>
    <t>V. Tài sản dở dang dài hạn</t>
  </si>
  <si>
    <t>long_term_assets_in_progress</t>
  </si>
  <si>
    <t>1. Chi phí sản xuất, kinh doanh dở dang dài hạn</t>
  </si>
  <si>
    <t>long_term_production_in_progress</t>
  </si>
  <si>
    <t>2. Chi phí xây dựng cơ bản dở dang</t>
  </si>
  <si>
    <t>construction_in_progress</t>
  </si>
  <si>
    <t>1. Đầu tư vào công ty con</t>
  </si>
  <si>
    <t>investments_in_subsidiaries</t>
  </si>
  <si>
    <t>2. Đầu tư vào công ty liên doanh, liên kết</t>
  </si>
  <si>
    <t>investments_in_associates_joint_ventures</t>
  </si>
  <si>
    <t>3. Đầu tư góp vốn vào đơn vị khác</t>
  </si>
  <si>
    <t>investments_in_other_entities</t>
  </si>
  <si>
    <t>4. Dự phòng tổn thất đầu tư vào đơn vị khác dài hạn (*)</t>
  </si>
  <si>
    <t>allowance_for_long_term_investment_loss_in_other_entities</t>
  </si>
  <si>
    <t>5. Đầu tư nắm giữ đến ngày đáo hạn dài hạn</t>
  </si>
  <si>
    <t>long_term_held_to_maturity_investments</t>
  </si>
  <si>
    <t>6. Dự phòng đầu tư nắm giữ đến ngày đáo hạn dài hạn (*)</t>
  </si>
  <si>
    <t>provision_for_long_term_investments_held_to_maturity</t>
  </si>
  <si>
    <t>6. Đầu tư dài hạn khác</t>
  </si>
  <si>
    <t>other_long_term_investments</t>
  </si>
  <si>
    <t>1. Chi phí chờ phân bổ dài hạn</t>
  </si>
  <si>
    <t>long_term_deferred_expenses</t>
  </si>
  <si>
    <t>2. Tài sản thuế thu nhập hoãn lại</t>
  </si>
  <si>
    <t>deferred_income_tax_assets</t>
  </si>
  <si>
    <t>3. Thiết bị, vật tư, phụ tùng thay thế dài hạn</t>
  </si>
  <si>
    <t>long_term_equipment_supplies_spare_parts</t>
  </si>
  <si>
    <t>4. Tài sản dài hạn khác</t>
  </si>
  <si>
    <t>other_long_term_assets_2</t>
  </si>
  <si>
    <t>5. Lợi thế thương mại</t>
  </si>
  <si>
    <t>goodwill</t>
  </si>
  <si>
    <t>VII. Lợi thế thương mại (áp dụng trước năm 2015)</t>
  </si>
  <si>
    <t>goodwill_before_2015</t>
  </si>
  <si>
    <t>NGUỒN VỐN</t>
  </si>
  <si>
    <t>equity</t>
  </si>
  <si>
    <t>2. Người mua trả tiền trước ngắn hạn</t>
  </si>
  <si>
    <t>short_term_advances_from_customers</t>
  </si>
  <si>
    <t>3. Phải trả cổ tức, lợi nhuận</t>
  </si>
  <si>
    <t>dividends_and_profits_payable</t>
  </si>
  <si>
    <t>4. Thuế và các khoản phải nộp Nhà nước ngắn hạn</t>
  </si>
  <si>
    <t>short_term_taxes_and_other_payables_to_the_government</t>
  </si>
  <si>
    <t>5. Phải trả người lao động</t>
  </si>
  <si>
    <t>payable_to_employees</t>
  </si>
  <si>
    <t>6. Chi phí phải trả ngắn hạn</t>
  </si>
  <si>
    <t>short_term_accrued_expenses</t>
  </si>
  <si>
    <t>7. Phải trả nội bộ ngắn hạn</t>
  </si>
  <si>
    <t>short_term_inter_company_payables</t>
  </si>
  <si>
    <t>8. Phải trả theo tiến độ hợp đồng xây dựng ngắn hạn</t>
  </si>
  <si>
    <t>short_term_payables_for_construction_contract_progress</t>
  </si>
  <si>
    <t>9. Doanh thu chờ phân bổ ngắn hạn</t>
  </si>
  <si>
    <t>short_term_unearned_revenue</t>
  </si>
  <si>
    <t>10. Phải trả ngắn hạn khác</t>
  </si>
  <si>
    <t>other_short_term_payables</t>
  </si>
  <si>
    <t>12. Dự phòng phải trả ngắn hạn</t>
  </si>
  <si>
    <t>provision_for_short_term_liabilities</t>
  </si>
  <si>
    <t>13. Quỹ khen thưởng, phúc lợi</t>
  </si>
  <si>
    <t>bonus_and_welfare_fund</t>
  </si>
  <si>
    <t>14. Quỹ bình ổn giá</t>
  </si>
  <si>
    <t>price_stabilization_fund</t>
  </si>
  <si>
    <t>15. Giao dịch mua bán lại trái phiếu Chính phủ</t>
  </si>
  <si>
    <t>government_bonds</t>
  </si>
  <si>
    <t>1. Phải trả người bán dài hạn</t>
  </si>
  <si>
    <t>long_term_trade_payables</t>
  </si>
  <si>
    <t>2. Người mua trả tiền trước dài hạn</t>
  </si>
  <si>
    <t>long_term_advances_from_customers</t>
  </si>
  <si>
    <t>3. Thuế và các khoản phải nộp Nhà nước dài hạn</t>
  </si>
  <si>
    <t>long_term_taxes_and_other_payables_to_the_government</t>
  </si>
  <si>
    <t>4. Chi phí phải trả dài hạn</t>
  </si>
  <si>
    <t>long_term_accrued_expenses</t>
  </si>
  <si>
    <t>5. Phải trả nội bộ về vốn kinh doanh</t>
  </si>
  <si>
    <t>inter_company_payables_on_business_capital</t>
  </si>
  <si>
    <t>6. Phải trả nội bộ dài hạn</t>
  </si>
  <si>
    <t>long_term_inter_company_payables</t>
  </si>
  <si>
    <t>7. Doanh thu chờ phân bổ dài hạn</t>
  </si>
  <si>
    <t>long_term_unearned_revenue</t>
  </si>
  <si>
    <t>8. Phải trả dài hạn khác</t>
  </si>
  <si>
    <t>other_long_term_liabilities</t>
  </si>
  <si>
    <t>10. Trái phiếu chuyển đổi</t>
  </si>
  <si>
    <t>convertible_bonds</t>
  </si>
  <si>
    <t>11. Cổ phiếu ưu đãi</t>
  </si>
  <si>
    <t>preferred_stock</t>
  </si>
  <si>
    <t>12. Thuế thu nhập hoãn lại phải trả</t>
  </si>
  <si>
    <t>deferred_income_tax_liabilities</t>
  </si>
  <si>
    <t>13. Dự phòng phải trả dài hạn</t>
  </si>
  <si>
    <t>provision_for_long_term_liabilities</t>
  </si>
  <si>
    <t>14. Quỹ phát triển khoa học và công nghệ</t>
  </si>
  <si>
    <t>fund_for_technology_development</t>
  </si>
  <si>
    <t>14. Dự phòng trợ cấp mất việc làm</t>
  </si>
  <si>
    <t>provision_for_severance_allowances</t>
  </si>
  <si>
    <t>I. Vốn chủ sở hữu</t>
  </si>
  <si>
    <t>owners_equity_3</t>
  </si>
  <si>
    <t>- Cổ phiếu phổ thông có quyền biểu quyết</t>
  </si>
  <si>
    <t>common_stock_with_voting_right</t>
  </si>
  <si>
    <t>- Cổ phiếu ưu đãi</t>
  </si>
  <si>
    <t>preferred_stock_2</t>
  </si>
  <si>
    <t>2. Thặng dư vốn</t>
  </si>
  <si>
    <t>share_premium</t>
  </si>
  <si>
    <t>3. Quyền chọn chuyển đổi trái phiếu</t>
  </si>
  <si>
    <t>convertible_bond_option</t>
  </si>
  <si>
    <t>4. Vốn khác của chủ sở hữu</t>
  </si>
  <si>
    <t>other_capital_of_owners</t>
  </si>
  <si>
    <t>5. Cổ phiếu mua lại của chính mình (*)</t>
  </si>
  <si>
    <t>treasury_shares</t>
  </si>
  <si>
    <t>6. Chênh lệch đánh giá lại tài sản</t>
  </si>
  <si>
    <t>assets_revaluation_differences</t>
  </si>
  <si>
    <t>7. Chênh lệch tỷ giá hối đoái</t>
  </si>
  <si>
    <t>foreign_exchange_differences</t>
  </si>
  <si>
    <t>8. Quỹ đầu tư phát triển</t>
  </si>
  <si>
    <t>investment_and_development_fund</t>
  </si>
  <si>
    <t>9. Quỹ hỗ trợ sắp xếp doanh nghiệp</t>
  </si>
  <si>
    <t>fund_to_support_corporate_restructuring</t>
  </si>
  <si>
    <t>9. Quỹ khác thuộc vốn chủ sở hữu</t>
  </si>
  <si>
    <t>other_funds_from_owners_equity</t>
  </si>
  <si>
    <t>- LNST chưa phân phối lũy kế đến cuối kỳ trước</t>
  </si>
  <si>
    <t>accumulated_retained_earning_at_the_end_of_the_previous_period</t>
  </si>
  <si>
    <t>- LNST chưa phân phối kỳ này</t>
  </si>
  <si>
    <t>undistributed_earnings_in_this_period</t>
  </si>
  <si>
    <t>12. Nguồn vốn đầu tư XDCB</t>
  </si>
  <si>
    <t>reserves_for_investment_in_construction</t>
  </si>
  <si>
    <t>14. Quỹ dự phòng tài chính</t>
  </si>
  <si>
    <t>financial_reserves</t>
  </si>
  <si>
    <t>II. Nguồn kinh phí và quỹ khác</t>
  </si>
  <si>
    <t>other_resources_and_funds</t>
  </si>
  <si>
    <t>1. Nguồn kinh phí</t>
  </si>
  <si>
    <t>funding_sources</t>
  </si>
  <si>
    <t>2. Nguồn kinh phí đã hình thành TSCĐ</t>
  </si>
  <si>
    <t>funds_used_to_form_fixed_assets</t>
  </si>
  <si>
    <t>C. LỢI ÍCH CỔ ĐÔNG THIỂU SỐ</t>
  </si>
  <si>
    <t>minority_interest_2</t>
  </si>
  <si>
    <t>I. Lưu chuyển tiền từ hoạt động kinh doanh</t>
  </si>
  <si>
    <t>i_cash_flows_from_operating_activities</t>
  </si>
  <si>
    <t>2. Điều chỉnh cho các khoản</t>
  </si>
  <si>
    <t>n_2_adjustments_for</t>
  </si>
  <si>
    <t>Các khoản dự phòng</t>
  </si>
  <si>
    <t>reversal_of_provisions_provisions</t>
  </si>
  <si>
    <t>Lãi, lỗ chênh lệch tỷ giá hối đoái do đánh giá lại các khoản mục tiền tệ có gốc ngoại tệ</t>
  </si>
  <si>
    <t>foreign_exchange_gain_loss_from_revaluation_of_monetary_items_denominated_in_foreign_currencies</t>
  </si>
  <si>
    <t>Lãi, lỗ từ hoạt động đầu tư, tài chính</t>
  </si>
  <si>
    <t>gains_losses_from_investing_and_financing_activities</t>
  </si>
  <si>
    <t>Chi phí đi vay</t>
  </si>
  <si>
    <t>borrowing_costs</t>
  </si>
  <si>
    <t>Lãi, lỗ từ thanh lý TSCĐ</t>
  </si>
  <si>
    <t>loss_profits_from_disposal_of_fixed_asset</t>
  </si>
  <si>
    <t>Thu nhập lãi vay và cổ tức</t>
  </si>
  <si>
    <t>interest_income_and_dividends</t>
  </si>
  <si>
    <t>Phân bổ lợi thế thương mại</t>
  </si>
  <si>
    <t>allocation_of_goodwill</t>
  </si>
  <si>
    <t>Các khoản điều chỉnh khác</t>
  </si>
  <si>
    <t>other_adjustments</t>
  </si>
  <si>
    <t>3. Lợi nhuận từ hoạt động kinh doanh trước thay đổi vốn lưu động</t>
  </si>
  <si>
    <t>operating_profit_before_changes_in_working_capital</t>
  </si>
  <si>
    <t>Tăng, giảm các khoản phải thu</t>
  </si>
  <si>
    <t>increase_decrease_in_receivables</t>
  </si>
  <si>
    <t>Tăng, giảm hàng tồn kho</t>
  </si>
  <si>
    <t>increase_decrease_in_inventories</t>
  </si>
  <si>
    <t>Tăng, giảm các khoản phải trả (không kể lãi vay phải trả, thuế thu nhập doanh nghiệp phải nộp)</t>
  </si>
  <si>
    <t>increase_decrease_in_payables_excluding_interest_payables_and_corporate_income_tax_payables</t>
  </si>
  <si>
    <t>Tăng, giảm chi phí chờ phân bổ</t>
  </si>
  <si>
    <t>increase_decrease_in_deferred_expenses</t>
  </si>
  <si>
    <t>Tăng, giảm chứng khoán kinh doanh</t>
  </si>
  <si>
    <t>changes_in_available_for_sale_securities</t>
  </si>
  <si>
    <t>Tiền thu khác từ hoạt động kinh doanh</t>
  </si>
  <si>
    <t>other_receipts_from_operating_activities</t>
  </si>
  <si>
    <t>Tiền chi khác cho hoạt động kinh doanh</t>
  </si>
  <si>
    <t>other_payments_for_operating_activities</t>
  </si>
  <si>
    <t>II. Lưu chuyển tiền từ hoạt động đầu tư</t>
  </si>
  <si>
    <t>ii_cash_flows_from_investing_activities</t>
  </si>
  <si>
    <t>2. Tiền thu từ thanh lý, nhượng bán TSCĐ và các tài sản dài hạn khác</t>
  </si>
  <si>
    <t>receipts_from_disposal_of_fixed_assets_and_other_long_term_assets</t>
  </si>
  <si>
    <t>3. Tiền chi cho vay, mua các công cụ nợ của đơn vị khác</t>
  </si>
  <si>
    <t>loans_purchases_of_other_entities_debt_instruments</t>
  </si>
  <si>
    <t>4. Tiền thu hồi cho vay, bán lại các công cụ nợ của đơn vị khác</t>
  </si>
  <si>
    <t>receipts_from_loan_repayments_sale_of_other_entities_debt_instruments</t>
  </si>
  <si>
    <t>5. Tiền chi đầu tư góp vốn vào đơn vị khác</t>
  </si>
  <si>
    <t>payments_for_investment_in_other_entities</t>
  </si>
  <si>
    <t>6. Tiền thu hồi đầu tư góp vốn vào đơn vị khác</t>
  </si>
  <si>
    <t>collections_on_investment_in_other_entities</t>
  </si>
  <si>
    <t>7. Tiền thu lãi cho vay, cổ tức và lợi nhuận được chia</t>
  </si>
  <si>
    <t>dividends_interest_and_profit_received</t>
  </si>
  <si>
    <t>8. Tăng giảm tiền gửi ngân hàng có kỳ hạn</t>
  </si>
  <si>
    <t>increase_decrease_in_term_deposit</t>
  </si>
  <si>
    <t>9. Mua lại khoản góp vốn của cổ đông thiểu số trong công ty con</t>
  </si>
  <si>
    <t>purchases_of_minority_shares_of_subsidiaries</t>
  </si>
  <si>
    <t>10. Tiền thu khác từ hoạt động đầu tư</t>
  </si>
  <si>
    <t>other_receipts_from_investing_activities</t>
  </si>
  <si>
    <t>11. Tiền chi khác cho hoạt động đầu tư</t>
  </si>
  <si>
    <t>other_payments_for_investing_activities</t>
  </si>
  <si>
    <t>III. Lưu chuyển tiền từ hoạt động tài chính</t>
  </si>
  <si>
    <t>iii_cash_flows_from_financing_activities</t>
  </si>
  <si>
    <t>1. Tiền thu từ phát hành cổ phiếu, nhận vốn góp của chủ sở hữu</t>
  </si>
  <si>
    <t>receipts_from_equity_issue_and_owners_capital_contribution</t>
  </si>
  <si>
    <t>2. Tiền trả lại vốn góp cho các chủ sở hữu, mua lại cổ phiếu đã phát hành</t>
  </si>
  <si>
    <t>cash_paid_to_repurchased_or_redeem_the_entitys_shares_and_to_owners_for_capital_withdrawal</t>
  </si>
  <si>
    <t>5. Tiền trả nợ gốc thuê tài chính</t>
  </si>
  <si>
    <t>repayment_of_financial_leases</t>
  </si>
  <si>
    <t>7. Tiền thu khác từ hoạt động tài chính</t>
  </si>
  <si>
    <t>other_receipts_from_financing_activities</t>
  </si>
  <si>
    <t>8. Tiền chi khác cho hoạt động tài chính</t>
  </si>
  <si>
    <t>other_payments_for_financing_activities</t>
  </si>
  <si>
    <t>MWG Q1 Income Statement Raw</t>
  </si>
  <si>
    <t>Raw values are in VND, copied from MWG consolidated interim financial statements. Analysis sheets convert to VND bn via formulas.</t>
  </si>
  <si>
    <t>Q1 2025</t>
  </si>
  <si>
    <t>Q1 2026</t>
  </si>
  <si>
    <t>source</t>
  </si>
  <si>
    <t>notes</t>
  </si>
  <si>
    <t>1. Gross revenue</t>
  </si>
  <si>
    <t>gross_revenue</t>
  </si>
  <si>
    <t>B02-DN/HN</t>
  </si>
  <si>
    <t>2. Deductions from revenue</t>
  </si>
  <si>
    <t>deductions</t>
  </si>
  <si>
    <t>3. Net revenue</t>
  </si>
  <si>
    <t>4. Cost of goods sold</t>
  </si>
  <si>
    <t>cogs</t>
  </si>
  <si>
    <t>5. Gross profit</t>
  </si>
  <si>
    <t>6. Financial income</t>
  </si>
  <si>
    <t>7. Finance expenses</t>
  </si>
  <si>
    <t>of which: Interest expense</t>
  </si>
  <si>
    <t>interest_expense</t>
  </si>
  <si>
    <t>8. Share of associates/JV result</t>
  </si>
  <si>
    <t>share_of_associates_jv</t>
  </si>
  <si>
    <t>9. Selling expenses</t>
  </si>
  <si>
    <t>10. G&amp;A expenses</t>
  </si>
  <si>
    <t>11. Operating profit</t>
  </si>
  <si>
    <t>ebit</t>
  </si>
  <si>
    <t>12. Other income</t>
  </si>
  <si>
    <t>13. Other expenses</t>
  </si>
  <si>
    <t>14. Other profit</t>
  </si>
  <si>
    <t>15. Profit before tax</t>
  </si>
  <si>
    <t>pbt</t>
  </si>
  <si>
    <t>16. Current tax expense</t>
  </si>
  <si>
    <t>current_tax</t>
  </si>
  <si>
    <t>17. Deferred tax expense / (income)</t>
  </si>
  <si>
    <t>deferred_tax</t>
  </si>
  <si>
    <t>18. Total tax expense</t>
  </si>
  <si>
    <t>total_tax</t>
  </si>
  <si>
    <t>Derived from B02 current + deferred tax</t>
  </si>
  <si>
    <t>19. Net profit after tax</t>
  </si>
  <si>
    <t>npat</t>
  </si>
  <si>
    <t>20. Minority interest - IS</t>
  </si>
  <si>
    <t>minority_interest_is</t>
  </si>
  <si>
    <t>21. NPATMI</t>
  </si>
  <si>
    <t>npatmi</t>
  </si>
  <si>
    <t>22. EPS (VND)</t>
  </si>
  <si>
    <t>eps</t>
  </si>
  <si>
    <t>MWG Q1 Balance Sheet Raw</t>
  </si>
  <si>
    <t>A. Current assets</t>
  </si>
  <si>
    <t>B01-DN/HN</t>
  </si>
  <si>
    <t>I. Cash and cash equivalents</t>
  </si>
  <si>
    <t>II. Short-term financial investments</t>
  </si>
  <si>
    <t>short_term_investments</t>
  </si>
  <si>
    <t>III. Receivables</t>
  </si>
  <si>
    <t>receivables</t>
  </si>
  <si>
    <t>IV. Inventory</t>
  </si>
  <si>
    <t>inventory</t>
  </si>
  <si>
    <t>V. Other current assets</t>
  </si>
  <si>
    <t>other_current_assets</t>
  </si>
  <si>
    <t>B. Long-term assets</t>
  </si>
  <si>
    <t>Fixed assets</t>
  </si>
  <si>
    <t>Long-term financial investments</t>
  </si>
  <si>
    <t>long_term_investments</t>
  </si>
  <si>
    <t>Other long-term assets</t>
  </si>
  <si>
    <t>Total assets</t>
  </si>
  <si>
    <t>Trade payables</t>
  </si>
  <si>
    <t>trade_payables</t>
  </si>
  <si>
    <t>Short-term debt</t>
  </si>
  <si>
    <t>short_term_debt</t>
  </si>
  <si>
    <t>Current liabilities</t>
  </si>
  <si>
    <t>Long-term debt</t>
  </si>
  <si>
    <t>long_term_debt</t>
  </si>
  <si>
    <t>Long-term liabilities</t>
  </si>
  <si>
    <t>Total liabilities</t>
  </si>
  <si>
    <t>Share capital</t>
  </si>
  <si>
    <t>share_capital</t>
  </si>
  <si>
    <t>Retained earnings</t>
  </si>
  <si>
    <t>Minority interest - BS</t>
  </si>
  <si>
    <t>minority_interest_bs</t>
  </si>
  <si>
    <t>Total equity</t>
  </si>
  <si>
    <t>total_equity</t>
  </si>
  <si>
    <t>Total liabilities and equity</t>
  </si>
  <si>
    <t>liabilities_and_equity</t>
  </si>
  <si>
    <t>MWG Q1 Cash Flow Raw</t>
  </si>
  <si>
    <t>1. Profit before tax</t>
  </si>
  <si>
    <t>B03-DN/HN</t>
  </si>
  <si>
    <t>2. D&amp;A</t>
  </si>
  <si>
    <t>da</t>
  </si>
  <si>
    <t>Provisions</t>
  </si>
  <si>
    <t>provisions</t>
  </si>
  <si>
    <t>FX gain/loss from revaluation</t>
  </si>
  <si>
    <t>fx_revaluation</t>
  </si>
  <si>
    <t>Investment gain/loss</t>
  </si>
  <si>
    <t>investment_gain_loss</t>
  </si>
  <si>
    <t>Borrowing costs</t>
  </si>
  <si>
    <t>Operating profit before working capital</t>
  </si>
  <si>
    <t>op_before_wc</t>
  </si>
  <si>
    <t>Change in receivables</t>
  </si>
  <si>
    <t>change_receivables</t>
  </si>
  <si>
    <t>Change in inventory</t>
  </si>
  <si>
    <t>change_inventory</t>
  </si>
  <si>
    <t>Change in payables</t>
  </si>
  <si>
    <t>change_payables</t>
  </si>
  <si>
    <t>Change in prepaid/deferred expenses</t>
  </si>
  <si>
    <t>change_prepaids</t>
  </si>
  <si>
    <t>Interest paid</t>
  </si>
  <si>
    <t>interest_paid</t>
  </si>
  <si>
    <t>Tax paid</t>
  </si>
  <si>
    <t>tax_paid</t>
  </si>
  <si>
    <t>cfo</t>
  </si>
  <si>
    <t>capex</t>
  </si>
  <si>
    <t>Disposal proceeds</t>
  </si>
  <si>
    <t>disposal_proceeds</t>
  </si>
  <si>
    <t>Term deposit / lending outflow</t>
  </si>
  <si>
    <t>deposit_lending_outflow</t>
  </si>
  <si>
    <t>Term deposit / lending inflow</t>
  </si>
  <si>
    <t>deposit_lending_inflow</t>
  </si>
  <si>
    <t>Investment in other entities</t>
  </si>
  <si>
    <t>investment_other_entities</t>
  </si>
  <si>
    <t>Interest received</t>
  </si>
  <si>
    <t>interest_received</t>
  </si>
  <si>
    <t>Payments to non-controlling shareholders</t>
  </si>
  <si>
    <t>nci_payment</t>
  </si>
  <si>
    <t>cfi</t>
  </si>
  <si>
    <t>Share repurchase</t>
  </si>
  <si>
    <t>share_repurchase</t>
  </si>
  <si>
    <t>Debt proceeds</t>
  </si>
  <si>
    <t>debt_proceeds</t>
  </si>
  <si>
    <t>Debt repayments</t>
  </si>
  <si>
    <t>debt_repayments</t>
  </si>
  <si>
    <t>Dividends paid</t>
  </si>
  <si>
    <t>dividends_paid</t>
  </si>
  <si>
    <t>No dividend payment line disclosed in Q1 B03</t>
  </si>
  <si>
    <t>cff</t>
  </si>
  <si>
    <t>Net change in cash</t>
  </si>
  <si>
    <t>net_change_cash</t>
  </si>
  <si>
    <t>Beginning cash</t>
  </si>
  <si>
    <t>beginning_cash</t>
  </si>
  <si>
    <t>FX effect on cash</t>
  </si>
  <si>
    <t>fx_effect_cash</t>
  </si>
  <si>
    <t>Ending cash</t>
  </si>
  <si>
    <t>ending_cash</t>
  </si>
  <si>
    <t>MWG - Raw Drivers and Scenario Inputs</t>
  </si>
  <si>
    <t xml:space="preserve"> Base uses company guidance and latest 5M2026 update; Bull/Bear are analyst scenarios. Forecast sheet pulls these rows by Driver_ID.</t>
  </si>
  <si>
    <t>Category</t>
  </si>
  <si>
    <t>Driver_ID</t>
  </si>
  <si>
    <t>Driver / source item</t>
  </si>
  <si>
    <t>Latest trading</t>
  </si>
  <si>
    <t>latest_months</t>
  </si>
  <si>
    <t>Latest YTD period represented</t>
  </si>
  <si>
    <t>group_revenue_5m_2026</t>
  </si>
  <si>
    <t>Group revenue, 5M2026</t>
  </si>
  <si>
    <t>07_Revenue_Drivers'!A1</t>
  </si>
  <si>
    <t>group_revenue_5m_2025</t>
  </si>
  <si>
    <t>Group revenue, 5M2025</t>
  </si>
  <si>
    <t>tgd_mix_5m_2026</t>
  </si>
  <si>
    <t>TGDD / TopZone chain mix, 5M2026</t>
  </si>
  <si>
    <t>dmx_mix_5m_2026</t>
  </si>
  <si>
    <t>DMX chain mix, 5M2026</t>
  </si>
  <si>
    <t>bhx_mix_5m_2026</t>
  </si>
  <si>
    <t>BHX chain mix, 5M2026</t>
  </si>
  <si>
    <t>other_mix_5m_2026</t>
  </si>
  <si>
    <t>Other chain mix, 5M2026</t>
  </si>
  <si>
    <t>core_revenue_5m_2026</t>
  </si>
  <si>
    <t>DMX Investment / core ICT+CE revenue, 5M2026</t>
  </si>
  <si>
    <t>core_sssg_5m_2026</t>
  </si>
  <si>
    <t>Core same-store sales growth, 5M2026</t>
  </si>
  <si>
    <t>bhx_revenue_5m_2026</t>
  </si>
  <si>
    <t>BHX revenue, 5M2026</t>
  </si>
  <si>
    <t>bhx_yoy_5m_2026</t>
  </si>
  <si>
    <t>BHX revenue growth, 5M2026</t>
  </si>
  <si>
    <t>bhx_new_stores_5m_2026</t>
  </si>
  <si>
    <t>BHX new stores in 5M2026</t>
  </si>
  <si>
    <t>erablue_revenue_idr_5m_2026</t>
  </si>
  <si>
    <t>EraBlue revenue, 5M2026</t>
  </si>
  <si>
    <t>erablue_new_stores_5m_2026</t>
  </si>
  <si>
    <t>EraBlue new stores in 5M2026</t>
  </si>
  <si>
    <t>erablue_sssg_5m_2026</t>
  </si>
  <si>
    <t>EraBlue SSSG, 5M2026</t>
  </si>
  <si>
    <t>tgd_stores_5m_2026</t>
  </si>
  <si>
    <t>TGDD / TopZone stores, 5M2026</t>
  </si>
  <si>
    <t>dmx_stores_5m_2026</t>
  </si>
  <si>
    <t>DMX stores, 5M2026</t>
  </si>
  <si>
    <t>bhx_stores_5m_2026</t>
  </si>
  <si>
    <t>BHX stores, 5M2026</t>
  </si>
  <si>
    <t>ak_stores_5m_2026</t>
  </si>
  <si>
    <t>An Khang stores, 5M2026</t>
  </si>
  <si>
    <t>ava_stores_5m_2026</t>
  </si>
  <si>
    <t>AVAKids stores, 5M2026</t>
  </si>
  <si>
    <t>erablue_stores_5m_2026</t>
  </si>
  <si>
    <t>EraBlue stores, 5M2026</t>
  </si>
  <si>
    <t>Guidance 2026</t>
  </si>
  <si>
    <t>Group revenue target / scenario</t>
  </si>
  <si>
    <t>bhx_revenue_growth_2026</t>
  </si>
  <si>
    <t>bhx_new_stores_2026</t>
  </si>
  <si>
    <t>BHX new stores target, 2026</t>
  </si>
  <si>
    <t>Business Directions 2026 / Mgmt response</t>
  </si>
  <si>
    <t>bhx_new_store_monthly_rev_start</t>
  </si>
  <si>
    <t>BHX new northern/central store initial revenue</t>
  </si>
  <si>
    <t>Management response 2026</t>
  </si>
  <si>
    <t>ak_revenue_growth_2026</t>
  </si>
  <si>
    <t>An Khang revenue growth, 2026</t>
  </si>
  <si>
    <t>ak_new_stores_2026</t>
  </si>
  <si>
    <t>An Khang new stores, 2026</t>
  </si>
  <si>
    <t>AVAKids revenue growth, 2026</t>
  </si>
  <si>
    <t>erablue_target_stores_2026</t>
  </si>
  <si>
    <t>EraBlue ending store target, 2026</t>
  </si>
  <si>
    <t>erablue_revenue_growth_2026</t>
  </si>
  <si>
    <t>EraBlue revenue growth, 2026</t>
  </si>
  <si>
    <t>Operating assumption</t>
  </si>
  <si>
    <t>online_mix_2026</t>
  </si>
  <si>
    <t>Online / Super App revenue mix, 2026E</t>
  </si>
  <si>
    <t>online_mix_2027</t>
  </si>
  <si>
    <t>Online / Super App revenue mix, 2027E</t>
  </si>
  <si>
    <t>online_mix_2028</t>
  </si>
  <si>
    <t>Online / Super App revenue mix, 2028E</t>
  </si>
  <si>
    <t>online_mix_2029</t>
  </si>
  <si>
    <t>Online / Super App revenue mix, 2029E</t>
  </si>
  <si>
    <t>online_mix_2030</t>
  </si>
  <si>
    <t>Online / Super App revenue mix, 2030E</t>
  </si>
  <si>
    <t>ak_yoy_5m_2026</t>
  </si>
  <si>
    <t>An Khang revenue growth, 5M2026</t>
  </si>
  <si>
    <t>ava_yoy_5m_2026</t>
  </si>
  <si>
    <t>AVAKids revenue growth proxy, 5M2026</t>
  </si>
  <si>
    <t>Long-term</t>
  </si>
  <si>
    <t>other_growth_2027</t>
  </si>
  <si>
    <t>Other / unallocated revenue growth, 2027E</t>
  </si>
  <si>
    <t>other_growth_2028</t>
  </si>
  <si>
    <t>Other / unallocated revenue growth, 2028E</t>
  </si>
  <si>
    <t>other_growth_2029</t>
  </si>
  <si>
    <t>Other / unallocated revenue growth, 2029E</t>
  </si>
  <si>
    <t>other_growth_2030</t>
  </si>
  <si>
    <t>Other / unallocated revenue growth, 2030E</t>
  </si>
  <si>
    <t>tgd_store_additions_2027</t>
  </si>
  <si>
    <t>TGDD / TopZone store additions, 2027E</t>
  </si>
  <si>
    <t>tgd_store_additions_2028</t>
  </si>
  <si>
    <t>TGDD / TopZone store additions, 2028E</t>
  </si>
  <si>
    <t>tgd_store_additions_2029</t>
  </si>
  <si>
    <t>TGDD / TopZone store additions, 2029E</t>
  </si>
  <si>
    <t>tgd_store_additions_2030</t>
  </si>
  <si>
    <t>TGDD / TopZone store additions, 2030E</t>
  </si>
  <si>
    <t>tgd_rpsm_growth_2027</t>
  </si>
  <si>
    <t>TGDD / TopZone revenue/store/month growth, 2027E</t>
  </si>
  <si>
    <t>tgd_rpsm_growth_2028</t>
  </si>
  <si>
    <t>TGDD / TopZone revenue/store/month growth, 2028E</t>
  </si>
  <si>
    <t>tgd_rpsm_growth_2029</t>
  </si>
  <si>
    <t>TGDD / TopZone revenue/store/month growth, 2029E</t>
  </si>
  <si>
    <t>tgd_rpsm_growth_2030</t>
  </si>
  <si>
    <t>TGDD / TopZone revenue/store/month growth, 2030E</t>
  </si>
  <si>
    <t>dmx_store_additions_2027</t>
  </si>
  <si>
    <t>DMX store additions, 2027E</t>
  </si>
  <si>
    <t>dmx_store_additions_2028</t>
  </si>
  <si>
    <t>DMX store additions, 2028E</t>
  </si>
  <si>
    <t>dmx_store_additions_2029</t>
  </si>
  <si>
    <t>DMX store additions, 2029E</t>
  </si>
  <si>
    <t>dmx_store_additions_2030</t>
  </si>
  <si>
    <t>DMX store additions, 2030E</t>
  </si>
  <si>
    <t>dmx_rpsm_growth_2027</t>
  </si>
  <si>
    <t>DMX revenue/store/month growth, 2027E</t>
  </si>
  <si>
    <t>dmx_rpsm_growth_2028</t>
  </si>
  <si>
    <t>DMX revenue/store/month growth, 2028E</t>
  </si>
  <si>
    <t>dmx_rpsm_growth_2029</t>
  </si>
  <si>
    <t>DMX revenue/store/month growth, 2029E</t>
  </si>
  <si>
    <t>dmx_rpsm_growth_2030</t>
  </si>
  <si>
    <t>DMX revenue/store/month growth, 2030E</t>
  </si>
  <si>
    <t>bhx_store_additions_2027</t>
  </si>
  <si>
    <t>BHX store additions, 2027E</t>
  </si>
  <si>
    <t>bhx_store_additions_2028</t>
  </si>
  <si>
    <t>BHX store additions, 2028E</t>
  </si>
  <si>
    <t>bhx_store_additions_2029</t>
  </si>
  <si>
    <t>BHX store additions, 2029E</t>
  </si>
  <si>
    <t>bhx_store_additions_2030</t>
  </si>
  <si>
    <t>BHX store additions, 2030E</t>
  </si>
  <si>
    <t>bhx_rpsm_growth_2027</t>
  </si>
  <si>
    <t>BHX revenue/store/month growth, 2027E</t>
  </si>
  <si>
    <t>bhx_rpsm_growth_2028</t>
  </si>
  <si>
    <t>BHX revenue/store/month growth, 2028E</t>
  </si>
  <si>
    <t>bhx_rpsm_growth_2029</t>
  </si>
  <si>
    <t>BHX revenue/store/month growth, 2029E</t>
  </si>
  <si>
    <t>bhx_rpsm_growth_2030</t>
  </si>
  <si>
    <t>BHX revenue/store/month growth, 2030E</t>
  </si>
  <si>
    <t>ak_store_additions_2027</t>
  </si>
  <si>
    <t>An Khang store additions, 2027E</t>
  </si>
  <si>
    <t>ak_store_additions_2028</t>
  </si>
  <si>
    <t>An Khang store additions, 2028E</t>
  </si>
  <si>
    <t>ak_store_additions_2029</t>
  </si>
  <si>
    <t>An Khang store additions, 2029E</t>
  </si>
  <si>
    <t>ak_store_additions_2030</t>
  </si>
  <si>
    <t>An Khang store additions, 2030E</t>
  </si>
  <si>
    <t>ak_rpsm_growth_2027</t>
  </si>
  <si>
    <t>An Khang revenue/store/month growth, 2027E</t>
  </si>
  <si>
    <t>ak_rpsm_growth_2028</t>
  </si>
  <si>
    <t>An Khang revenue/store/month growth, 2028E</t>
  </si>
  <si>
    <t>ak_rpsm_growth_2029</t>
  </si>
  <si>
    <t>An Khang revenue/store/month growth, 2029E</t>
  </si>
  <si>
    <t>ak_rpsm_growth_2030</t>
  </si>
  <si>
    <t>An Khang revenue/store/month growth, 2030E</t>
  </si>
  <si>
    <t>ava_store_additions_2027</t>
  </si>
  <si>
    <t>AVAKids store additions, 2027E</t>
  </si>
  <si>
    <t>ava_store_additions_2028</t>
  </si>
  <si>
    <t>AVAKids store additions, 2028E</t>
  </si>
  <si>
    <t>ava_store_additions_2029</t>
  </si>
  <si>
    <t>AVAKids store additions, 2029E</t>
  </si>
  <si>
    <t>ava_store_additions_2030</t>
  </si>
  <si>
    <t>AVAKids store additions, 2030E</t>
  </si>
  <si>
    <t>ava_rpsm_growth_2027</t>
  </si>
  <si>
    <t>AVAKids revenue/store/month growth, 2027E</t>
  </si>
  <si>
    <t>ava_rpsm_growth_2028</t>
  </si>
  <si>
    <t>AVAKids revenue/store/month growth, 2028E</t>
  </si>
  <si>
    <t>ava_rpsm_growth_2029</t>
  </si>
  <si>
    <t>AVAKids revenue/store/month growth, 2029E</t>
  </si>
  <si>
    <t>ava_rpsm_growth_2030</t>
  </si>
  <si>
    <t>AVAKids revenue/store/month growth, 2030E</t>
  </si>
  <si>
    <t>Supplemental</t>
  </si>
  <si>
    <t>erablue_store_additions_2027</t>
  </si>
  <si>
    <t>EraBlue store additions, 2027E</t>
  </si>
  <si>
    <t>erablue_store_additions_2028</t>
  </si>
  <si>
    <t>EraBlue store additions, 2028E</t>
  </si>
  <si>
    <t>erablue_store_additions_2029</t>
  </si>
  <si>
    <t>EraBlue store additions, 2029E</t>
  </si>
  <si>
    <t>erablue_store_additions_2030</t>
  </si>
  <si>
    <t>EraBlue store additions, 2030E</t>
  </si>
  <si>
    <t>superapp_online_revenue_5m_2026</t>
  </si>
  <si>
    <t>Super App + online revenue, 5M2026</t>
  </si>
  <si>
    <t>MWG  - Raw Peer Income Statement Data</t>
  </si>
  <si>
    <t>Fetched 2026-06-26 19:48:56 +07. Periods: FY2025, Q1/2025, Q1/2026. Source: vnstock Finance source=VCI. Amounts are stored as numeric values.</t>
  </si>
  <si>
    <t>Statement</t>
  </si>
  <si>
    <t>Item ID</t>
  </si>
  <si>
    <t>Item EN</t>
  </si>
  <si>
    <t>Item VN</t>
  </si>
  <si>
    <t>Value VND</t>
  </si>
  <si>
    <t>Value VND bn</t>
  </si>
  <si>
    <t>FY2025</t>
  </si>
  <si>
    <t>sales</t>
  </si>
  <si>
    <t>Sales</t>
  </si>
  <si>
    <t>Doanh thu bán hàng và cung cấp dịch vụ</t>
  </si>
  <si>
    <t>vnstock Finance year source=VCI</t>
  </si>
  <si>
    <t>sales_deductions</t>
  </si>
  <si>
    <t>Sales deductions</t>
  </si>
  <si>
    <t>Các khoản giảm trừ doanh thu</t>
  </si>
  <si>
    <t>net_sales</t>
  </si>
  <si>
    <t>Net sales</t>
  </si>
  <si>
    <t>Doanh thu thuần</t>
  </si>
  <si>
    <t>cost_of_sales</t>
  </si>
  <si>
    <t>Cost of sales</t>
  </si>
  <si>
    <t>Giá vốn hàng bán</t>
  </si>
  <si>
    <t>Lợi nhuận gộp</t>
  </si>
  <si>
    <t>Financial income</t>
  </si>
  <si>
    <t>Doanh thu hoạt động tài chính</t>
  </si>
  <si>
    <t>financial_expenses</t>
  </si>
  <si>
    <t>Financial expenses</t>
  </si>
  <si>
    <t>Chi phí tài chính</t>
  </si>
  <si>
    <t>interest_expenses</t>
  </si>
  <si>
    <t>Interest expenses</t>
  </si>
  <si>
    <t>Chi phí lãi vay</t>
  </si>
  <si>
    <t>Selling expenses</t>
  </si>
  <si>
    <t>Chi phí bán hàng</t>
  </si>
  <si>
    <t>general_and_admin_expenses</t>
  </si>
  <si>
    <t>General and admin expenses</t>
  </si>
  <si>
    <t>Chi phí quản lý doanh nghiệp</t>
  </si>
  <si>
    <t>operating_profit_loss</t>
  </si>
  <si>
    <t>Operating profit/(loss)</t>
  </si>
  <si>
    <t>Lãi/(lỗ) từ hoạt động kinh doanh</t>
  </si>
  <si>
    <t>other_incomes</t>
  </si>
  <si>
    <t>Other incomes</t>
  </si>
  <si>
    <t>Thu nhập khác</t>
  </si>
  <si>
    <t>Other expenses</t>
  </si>
  <si>
    <t>Chi phí khác</t>
  </si>
  <si>
    <t>net_other_income_expenses</t>
  </si>
  <si>
    <t>Net other income/(expenses)</t>
  </si>
  <si>
    <t>Thu nhập khác, ròng</t>
  </si>
  <si>
    <t>income_from_investments_in_other_entities</t>
  </si>
  <si>
    <t>Income from investments in other entities</t>
  </si>
  <si>
    <t>Lãi/(lỗ) từ công ty liên doanh</t>
  </si>
  <si>
    <t>net_accounting_profit_loss_before_tax</t>
  </si>
  <si>
    <t>Net accounting profit/(loss) before tax</t>
  </si>
  <si>
    <t>Lãi/(lỗ) trước thuế</t>
  </si>
  <si>
    <t>business_income_tax_current</t>
  </si>
  <si>
    <t>Business income tax - current</t>
  </si>
  <si>
    <t>Thuế thu nhập doanh nghiệp - hiện thời</t>
  </si>
  <si>
    <t>business_income_tax_deferred</t>
  </si>
  <si>
    <t>Business income tax - deferred</t>
  </si>
  <si>
    <t>Thuế thu nhập doanh nghiệp - hoãn lại</t>
  </si>
  <si>
    <t>corporate_income_tax_expenses</t>
  </si>
  <si>
    <t>Corporate income tax expenses</t>
  </si>
  <si>
    <t>Chi phí thuế thu nhập doanh nghiệp</t>
  </si>
  <si>
    <t>net_profit_loss_after_tax</t>
  </si>
  <si>
    <t>Net profit/(loss) after tax</t>
  </si>
  <si>
    <t>Lãi/(lỗ) thuần sau thuế</t>
  </si>
  <si>
    <t>minority_interests</t>
  </si>
  <si>
    <t>Minority interests</t>
  </si>
  <si>
    <t>attributable_to_parent_company</t>
  </si>
  <si>
    <t>Attributable to parent company</t>
  </si>
  <si>
    <t>Lợi nhuận của Cổ đông của Công ty mẹ</t>
  </si>
  <si>
    <t>eps_basic_vnd</t>
  </si>
  <si>
    <t>EPS basic (VND)</t>
  </si>
  <si>
    <t>Lãi cơ bản trên cổ phiếu (VND)</t>
  </si>
  <si>
    <t>eps_diluted_vnd</t>
  </si>
  <si>
    <t>EPS diluted (VND)</t>
  </si>
  <si>
    <t>Lãi trên cổ phiếu pha loãng (VND)</t>
  </si>
  <si>
    <t>gain_loss_from_joint_ventures_from_2015</t>
  </si>
  <si>
    <t>Gain/(loss) from joint ventures (from 2015)</t>
  </si>
  <si>
    <t>Lãi/(lỗ) từ công ty liên doanh (từ năm 2015)</t>
  </si>
  <si>
    <t>Q1/2025</t>
  </si>
  <si>
    <t>vnstock Finance quarter source=VCI</t>
  </si>
  <si>
    <t>FRT</t>
  </si>
  <si>
    <t>DGW</t>
  </si>
  <si>
    <t>PET</t>
  </si>
  <si>
    <t>MSN</t>
  </si>
  <si>
    <t>MWG  - Raw Peer Balance Sheet Data</t>
  </si>
  <si>
    <t>CURRENT ASSETS</t>
  </si>
  <si>
    <t>TÀI SẢN NGẮN HẠN</t>
  </si>
  <si>
    <t>Cash and cash equivalents</t>
  </si>
  <si>
    <t>Tiền và tương đương tiền</t>
  </si>
  <si>
    <t>Cash</t>
  </si>
  <si>
    <t>Tiền</t>
  </si>
  <si>
    <t>Cash equivalents</t>
  </si>
  <si>
    <t>Các khoản tương đương tiền</t>
  </si>
  <si>
    <t>Short-term investments</t>
  </si>
  <si>
    <t>Đầu tư ngắn hạn</t>
  </si>
  <si>
    <t>provision_for_diminution</t>
  </si>
  <si>
    <t>Provision for diminution</t>
  </si>
  <si>
    <t>Dự phòng giảm giá</t>
  </si>
  <si>
    <t>accounts_receivable</t>
  </si>
  <si>
    <t>Accounts receivable</t>
  </si>
  <si>
    <t>Các khoản phải thu</t>
  </si>
  <si>
    <t>trade_accounts_receivable</t>
  </si>
  <si>
    <t>Trade accounts receivable</t>
  </si>
  <si>
    <t>Phải thu khách hàng</t>
  </si>
  <si>
    <t>prepayments_to_suppliers</t>
  </si>
  <si>
    <t>Prepayments to suppliers</t>
  </si>
  <si>
    <t>Trả trước người bán</t>
  </si>
  <si>
    <t>intercompany_receivables</t>
  </si>
  <si>
    <t>Intercompany receivables</t>
  </si>
  <si>
    <t>Phải thu nội bộ</t>
  </si>
  <si>
    <t>construction_contract_in_progress_receivables</t>
  </si>
  <si>
    <t>Construction contract in progress receivables</t>
  </si>
  <si>
    <t>Phải thu hợp đồng xây dựng đang thực hiện</t>
  </si>
  <si>
    <t>other_receivables</t>
  </si>
  <si>
    <t>Other receivables</t>
  </si>
  <si>
    <t>Phải thu khác</t>
  </si>
  <si>
    <t>provision_for_doubtful_debts</t>
  </si>
  <si>
    <t>Provision for doubtful debts</t>
  </si>
  <si>
    <t>Dự phòng nợ khó đòi</t>
  </si>
  <si>
    <t>inventories_net</t>
  </si>
  <si>
    <t>Inventories, Net</t>
  </si>
  <si>
    <t>Hàng tồn kho, ròng</t>
  </si>
  <si>
    <t>Inventories</t>
  </si>
  <si>
    <t>Hàng tồn kho</t>
  </si>
  <si>
    <t>provision_for_decline_in_inventories</t>
  </si>
  <si>
    <t>Provision for decline in inventories</t>
  </si>
  <si>
    <t>Dự phòng giảm giá hàng tồn kho</t>
  </si>
  <si>
    <t>Other current assets</t>
  </si>
  <si>
    <t>Tài sản lưu động khác</t>
  </si>
  <si>
    <t>short_term_prepayments</t>
  </si>
  <si>
    <t>Short-term prepayments</t>
  </si>
  <si>
    <t>Chi phí trả trước ngắn hạn</t>
  </si>
  <si>
    <t>vat_to_be_claimed</t>
  </si>
  <si>
    <t>VAT to be claimed</t>
  </si>
  <si>
    <t>Thuế GTGT được khấu trừ</t>
  </si>
  <si>
    <t>other_taxes_receivable</t>
  </si>
  <si>
    <t>Other taxes receivable</t>
  </si>
  <si>
    <t>Phải thu thuế khác</t>
  </si>
  <si>
    <t>LONG-TERM ASSETS</t>
  </si>
  <si>
    <t>TÀI SẢN DÀI HẠN</t>
  </si>
  <si>
    <t>Long-term trade receivables</t>
  </si>
  <si>
    <t>Phải thu dài hạn</t>
  </si>
  <si>
    <t>long_term_trade_receivables_from_customers</t>
  </si>
  <si>
    <t>Long-term trade receivables from customers</t>
  </si>
  <si>
    <t>Phải thu khách hàng dài hạn</t>
  </si>
  <si>
    <t>long_term_intercompany_receivables</t>
  </si>
  <si>
    <t>Long-term intercompany receivables</t>
  </si>
  <si>
    <t>Phải thu nội bộ dài hạn</t>
  </si>
  <si>
    <t>Other long-term receivables</t>
  </si>
  <si>
    <t>Phải thu dài hạn khác</t>
  </si>
  <si>
    <t>provision_for_doubtful_lt_receivable</t>
  </si>
  <si>
    <t>Provision for doubtful LT receivable</t>
  </si>
  <si>
    <t>Dự phòng phải thu dài hạn</t>
  </si>
  <si>
    <t>Tài sản cố định</t>
  </si>
  <si>
    <t>Tangible fixed assets</t>
  </si>
  <si>
    <t>GTCL TSCĐ hữu hình</t>
  </si>
  <si>
    <t>Cost</t>
  </si>
  <si>
    <t>Nguyên giá TSCĐ hữu hình</t>
  </si>
  <si>
    <t>Accumulated depreciation</t>
  </si>
  <si>
    <t>Khấu hao lũy kế TSCĐ hữu hình</t>
  </si>
  <si>
    <t>finance_lease_assets</t>
  </si>
  <si>
    <t>Finance lease assets</t>
  </si>
  <si>
    <t>GTCL tài sản thuê tài chính</t>
  </si>
  <si>
    <t>Nguyên giá tài sản thuê tài chính</t>
  </si>
  <si>
    <t>Khấu hao lũy kế tài sản thuê tài chính</t>
  </si>
  <si>
    <t>Intangible fixed assets</t>
  </si>
  <si>
    <t>GTCL tài sản cố định vô hình</t>
  </si>
  <si>
    <t>Nguyên giá TSCĐ vô hình</t>
  </si>
  <si>
    <t>Khấu hao lũy kế TSCĐ vô hình</t>
  </si>
  <si>
    <t>construction_in_progress_before_2015</t>
  </si>
  <si>
    <t>Construction in progress (before 2015)</t>
  </si>
  <si>
    <t>Xây dựng cơ bản đang dang dở (trước 2015)</t>
  </si>
  <si>
    <t>Investment properties</t>
  </si>
  <si>
    <t>Giá trị ròng tài sản đầu tư</t>
  </si>
  <si>
    <t>Nguyên giá tài sản đầu tư</t>
  </si>
  <si>
    <t>Khấu hao lũy kế tài sản đầu tư</t>
  </si>
  <si>
    <t>Long-term investments</t>
  </si>
  <si>
    <t>Đầu tư dài hạn</t>
  </si>
  <si>
    <t>Investments in subsidiaries</t>
  </si>
  <si>
    <t>Đầu tư vào các công ty con</t>
  </si>
  <si>
    <t>investments_in_associates</t>
  </si>
  <si>
    <t>Investments in associates</t>
  </si>
  <si>
    <t>Đầu tư vào các công ty liên kết</t>
  </si>
  <si>
    <t>Other long-term investments</t>
  </si>
  <si>
    <t>Đầu tư dài hạn khác</t>
  </si>
  <si>
    <t>provision_for_long_term_investments</t>
  </si>
  <si>
    <t>Provision for long-term investments</t>
  </si>
  <si>
    <t>Dự phòng giảm giá đầu tư dài hạn</t>
  </si>
  <si>
    <t>Goodwill (before 2015)</t>
  </si>
  <si>
    <t>Lợi thế thương mại (trước 2015)</t>
  </si>
  <si>
    <t>Tài sản dài hạn khác</t>
  </si>
  <si>
    <t>long_term_prepayments</t>
  </si>
  <si>
    <t>Long-term prepayments</t>
  </si>
  <si>
    <t>Trả trước dài hạn</t>
  </si>
  <si>
    <t>Deferred income tax assets</t>
  </si>
  <si>
    <t>Thuế thu nhập hoãn lại</t>
  </si>
  <si>
    <t>Các tài sản dài hạn khác</t>
  </si>
  <si>
    <t>liabilities</t>
  </si>
  <si>
    <t>NỢ PHẢI TRẢ</t>
  </si>
  <si>
    <t>Nợ ngắn hạn</t>
  </si>
  <si>
    <t>short_term_borrowings</t>
  </si>
  <si>
    <t>Short-term borrowings</t>
  </si>
  <si>
    <t>Vay ngắn hạn</t>
  </si>
  <si>
    <t>trade_accounts_payable</t>
  </si>
  <si>
    <t>Trade accounts payable</t>
  </si>
  <si>
    <t>Phải trả người bán</t>
  </si>
  <si>
    <t>advances_from_customers</t>
  </si>
  <si>
    <t>Advances from customers</t>
  </si>
  <si>
    <t>Người mua trả tiền trước</t>
  </si>
  <si>
    <t>taxes_and_other_payable_to_state_budget</t>
  </si>
  <si>
    <t>Taxes and other payable to State Budget</t>
  </si>
  <si>
    <t>Thuế và các khoản phải trả Nhà nước</t>
  </si>
  <si>
    <t>Payable to employees</t>
  </si>
  <si>
    <t>Phải trả người lao động</t>
  </si>
  <si>
    <t>accrued_expenses</t>
  </si>
  <si>
    <t>Accrued expenses</t>
  </si>
  <si>
    <t>Chi phí phải trả</t>
  </si>
  <si>
    <t>intercompany_payables</t>
  </si>
  <si>
    <t>Intercompany payables</t>
  </si>
  <si>
    <t>Phải trả nội bộ</t>
  </si>
  <si>
    <t>construction_contract_in_progress_payables</t>
  </si>
  <si>
    <t>Construction contract in progress payables</t>
  </si>
  <si>
    <t>Phải trả về xây dựng cơ bản</t>
  </si>
  <si>
    <t>other_payables</t>
  </si>
  <si>
    <t>Other payables</t>
  </si>
  <si>
    <t>Phải trả khác</t>
  </si>
  <si>
    <t>provision_for_st_liabilities</t>
  </si>
  <si>
    <t>Provision for ST liabilities</t>
  </si>
  <si>
    <t>Dự phòng các khoản phải trả ngắn hạn</t>
  </si>
  <si>
    <t>bonus_and_welfare_funds</t>
  </si>
  <si>
    <t>Bonus and welfare funds</t>
  </si>
  <si>
    <t>Quỹ khen thưởng, phúc lợi</t>
  </si>
  <si>
    <t>Nợ dài hạn</t>
  </si>
  <si>
    <t>Long-term trade payables</t>
  </si>
  <si>
    <t>Phải trả nhà cung cấp dài hạn</t>
  </si>
  <si>
    <t>long_term_intercompany_payables</t>
  </si>
  <si>
    <t>Long-term intercompany payables</t>
  </si>
  <si>
    <t>Phải trả nội bộ dài hạn</t>
  </si>
  <si>
    <t>other_long_term_payables</t>
  </si>
  <si>
    <t>Other long-term payables</t>
  </si>
  <si>
    <t>Phải trả dài hạn khác</t>
  </si>
  <si>
    <t>long_term_borrowings</t>
  </si>
  <si>
    <t>Long-term borrowings</t>
  </si>
  <si>
    <t>Vay dài hạn</t>
  </si>
  <si>
    <t>Deferred income tax liabilities</t>
  </si>
  <si>
    <t>Provision for severance allowances</t>
  </si>
  <si>
    <t>Dự phòng trợ cấp thôi việc</t>
  </si>
  <si>
    <t>Provision for long-term liabilities</t>
  </si>
  <si>
    <t>Dự phòng các khoản nợ dài hạn</t>
  </si>
  <si>
    <t>deferred_revenue</t>
  </si>
  <si>
    <t>Deferred revenue</t>
  </si>
  <si>
    <t>Doanh thu chưa thực hiện</t>
  </si>
  <si>
    <t>technology_science_development_fund</t>
  </si>
  <si>
    <t>Technology-science development fund</t>
  </si>
  <si>
    <t>Quỹ phát triển khoa học công nghệ</t>
  </si>
  <si>
    <t>owners_equity</t>
  </si>
  <si>
    <t>Owner's Equity</t>
  </si>
  <si>
    <t>Vốn chủ sở hữu</t>
  </si>
  <si>
    <t>capital_and_reserves</t>
  </si>
  <si>
    <t>Capital and reserves</t>
  </si>
  <si>
    <t>Vốn và các quỹ</t>
  </si>
  <si>
    <t>paid_in_capital</t>
  </si>
  <si>
    <t>Paid-in capital</t>
  </si>
  <si>
    <t>Vốn góp</t>
  </si>
  <si>
    <t>Share premium</t>
  </si>
  <si>
    <t>Thặng dư vốn cổ phần</t>
  </si>
  <si>
    <t>owners_other_capital</t>
  </si>
  <si>
    <t>Owner's other capital</t>
  </si>
  <si>
    <t>Vốn khác</t>
  </si>
  <si>
    <t>Treasury shares</t>
  </si>
  <si>
    <t>Cổ phiếu quỹ</t>
  </si>
  <si>
    <t>differences_upon_asset_revaluation</t>
  </si>
  <si>
    <t>Differences upon asset revaluation</t>
  </si>
  <si>
    <t>Chênh lệch đánh giá lại tài sản</t>
  </si>
  <si>
    <t>Foreign exchange differences</t>
  </si>
  <si>
    <t>Chênh lệch tỷ giá</t>
  </si>
  <si>
    <t>investment_and_development_funds</t>
  </si>
  <si>
    <t>Investment and development funds</t>
  </si>
  <si>
    <t>Quỹ đầu tư và phát triển</t>
  </si>
  <si>
    <t>financial_reserve_funds</t>
  </si>
  <si>
    <t>Financial reserve funds</t>
  </si>
  <si>
    <t>Quỹ dự phòng tài chính</t>
  </si>
  <si>
    <t>other_funds</t>
  </si>
  <si>
    <t>Other funds</t>
  </si>
  <si>
    <t>Quỹ khác</t>
  </si>
  <si>
    <t>undistributed_earnings</t>
  </si>
  <si>
    <t>Undistributed earnings</t>
  </si>
  <si>
    <t>Lãi chưa phân phối</t>
  </si>
  <si>
    <t>enterprise_arrangement_fund</t>
  </si>
  <si>
    <t>Enterprise arrangement fund</t>
  </si>
  <si>
    <t>Quỹ hỗ trợ sắp xếp doanh nghiệp</t>
  </si>
  <si>
    <t>budget_sources_and_other_funds</t>
  </si>
  <si>
    <t>Budget sources and other funds</t>
  </si>
  <si>
    <t>Vốn Ngân sách nhà nước và quỹ khác</t>
  </si>
  <si>
    <t>bonus_and_welfare_funds_before_2010</t>
  </si>
  <si>
    <t>Bonus and welfare funds (Before 2010)</t>
  </si>
  <si>
    <t>Quỹ khen thưởng, phúc lợi (trước 2010)</t>
  </si>
  <si>
    <t>Vốn ngân sách nhà nước và quỹ khác</t>
  </si>
  <si>
    <t>minority_interests_before_2015</t>
  </si>
  <si>
    <t>Minority interests (Before 2015)</t>
  </si>
  <si>
    <t>total_resource</t>
  </si>
  <si>
    <t>Total resource</t>
  </si>
  <si>
    <t>Tổng cộng nguồn vốn</t>
  </si>
  <si>
    <t>preferred_shares</t>
  </si>
  <si>
    <t>Preferred shares</t>
  </si>
  <si>
    <t>Cổ phiếu ưu đãi</t>
  </si>
  <si>
    <t>held_to_maturity_investment</t>
  </si>
  <si>
    <t>Held-to-maturity investment</t>
  </si>
  <si>
    <t>Đầu tư nắm giữ đến ngày đáo hạn</t>
  </si>
  <si>
    <t>paid_in_capital_in_wholly_owned_subsidiaries</t>
  </si>
  <si>
    <t>Paid-in capital in wholly-owned subsidiaries</t>
  </si>
  <si>
    <t>Vốn kinh doanh ở các đơn vị trực thuộc</t>
  </si>
  <si>
    <t>shortage_of_current_assets_waiting_for_solution</t>
  </si>
  <si>
    <t>Shortage of current assets waiting for solution</t>
  </si>
  <si>
    <t>Tài sản thiếu cần xử lý</t>
  </si>
  <si>
    <t>short_term_loans_receivables</t>
  </si>
  <si>
    <t>Short-term loans receivables</t>
  </si>
  <si>
    <t>Phải thu cho vay ngắn hạn</t>
  </si>
  <si>
    <t>government_bonds_purchased_for_resale</t>
  </si>
  <si>
    <t>Government bonds purchased for resale</t>
  </si>
  <si>
    <t>Giao dịch mua bán lại trái phiếu Chính phủ</t>
  </si>
  <si>
    <t>Long-term prepayments to suppliers</t>
  </si>
  <si>
    <t>Trả trước người bán dài hạn</t>
  </si>
  <si>
    <t>long_term_loans_receivables</t>
  </si>
  <si>
    <t>Long-term loans receivables</t>
  </si>
  <si>
    <t>Phải thu cho vay dài hạn</t>
  </si>
  <si>
    <t>long_term_incomplete_assets</t>
  </si>
  <si>
    <t>Long-term incomplete assets</t>
  </si>
  <si>
    <t>Tài sản dở dang dài hạn</t>
  </si>
  <si>
    <t>long_term_cost_of_work_in_progress</t>
  </si>
  <si>
    <t>Long-term cost of work in progress</t>
  </si>
  <si>
    <t>Chi phí sản xuất, kinh doanh dở dang dài hạn</t>
  </si>
  <si>
    <t>long_term_equipment_material_and_spare_parts</t>
  </si>
  <si>
    <t>Long-term equipment, material and spare parts</t>
  </si>
  <si>
    <t>Thiết bị, vật tư, phụ tùng thay thế dài hạn</t>
  </si>
  <si>
    <t>short_term_unrealized_revenue</t>
  </si>
  <si>
    <t>Short-term unrealized revenue</t>
  </si>
  <si>
    <t>Doanh thu chưa thực hiện ngắn hạn</t>
  </si>
  <si>
    <t>Price stabilization fund</t>
  </si>
  <si>
    <t>Quỹ bình ổn giá</t>
  </si>
  <si>
    <t>Giao dịch mua bán lại trái phiếu chính phủ</t>
  </si>
  <si>
    <t>Long-term advances from customers</t>
  </si>
  <si>
    <t>Người mua trả tiền trước dài hạn</t>
  </si>
  <si>
    <t>Long-term accrued expenses</t>
  </si>
  <si>
    <t>Chi phí phải trả dài hạn</t>
  </si>
  <si>
    <t>intra_company_payables_for_operating_capital_received</t>
  </si>
  <si>
    <t>Intra-company payables for operating capital received</t>
  </si>
  <si>
    <t>Phải trả nội bộ về vốn kinh doanh</t>
  </si>
  <si>
    <t>Convertible bonds</t>
  </si>
  <si>
    <t>Trái phiếu chuyển đổi</t>
  </si>
  <si>
    <t>common_shares</t>
  </si>
  <si>
    <t>Common shares</t>
  </si>
  <si>
    <t>Cổ phiếu phổ thông</t>
  </si>
  <si>
    <t>conversion_options_on_convertible_bonds</t>
  </si>
  <si>
    <t>Conversion options on convertible bonds</t>
  </si>
  <si>
    <t>Quyền chọn chuyển đổi trái phiếu</t>
  </si>
  <si>
    <t>beginning_accumulated_undistributed_earnings</t>
  </si>
  <si>
    <t>Beginning accumulated undistributed earnings</t>
  </si>
  <si>
    <t>LNST chưa phân phối lũy kế đến cuối kỳ trước</t>
  </si>
  <si>
    <t>current_period_undistributed_earnings</t>
  </si>
  <si>
    <t>Current period undistributed earnings</t>
  </si>
  <si>
    <t>LNST chưa phân phối kỳ này</t>
  </si>
  <si>
    <t>Construction in progress</t>
  </si>
  <si>
    <t>Xây dựng cơ bản đang dở dang</t>
  </si>
  <si>
    <t>Goodwill</t>
  </si>
  <si>
    <t>Lợi thế thương mại</t>
  </si>
  <si>
    <t>Lợi ích cổ đông không kiểm soát</t>
  </si>
  <si>
    <t>funds_used_for_fixed_asset_acquisitions</t>
  </si>
  <si>
    <t>Funds used for fixed asset acquisitions</t>
  </si>
  <si>
    <t>Nguồn kinh phí đã hình thành TSCĐ</t>
  </si>
  <si>
    <t>MWG  - Raw Peer Cash Flow Data</t>
  </si>
  <si>
    <t>net_profit_loss_before_tax</t>
  </si>
  <si>
    <t>Net profit/(loss) before tax</t>
  </si>
  <si>
    <t>Lợi nhuận/(lỗ) trước thuế</t>
  </si>
  <si>
    <t>depreciation_and_amortization</t>
  </si>
  <si>
    <t>Depreciation and amortization</t>
  </si>
  <si>
    <t>Chi phí dự phòng</t>
  </si>
  <si>
    <t>unrealized_foreign_exchange_gain_loss</t>
  </si>
  <si>
    <t>Unrealized foreign exchange gain/(loss)</t>
  </si>
  <si>
    <t>Lãi/lỗ chênh lệch tỷ giá hối đoái do đánh giá lại các khoản mục tiền tệ có gốc ngoại tệ</t>
  </si>
  <si>
    <t>profit_loss_from_liquidating_fixed_assets</t>
  </si>
  <si>
    <t>Profit/loss from liquidating fixed assets</t>
  </si>
  <si>
    <t>Lãi/(lỗ) từ thanh lý tài sản cố định</t>
  </si>
  <si>
    <t>profit_loss_from_investing_activities</t>
  </si>
  <si>
    <t>Profit/loss from investing activities</t>
  </si>
  <si>
    <t>(Lãi)/lỗ từ hoạt động đầu tư</t>
  </si>
  <si>
    <t>Interest expense</t>
  </si>
  <si>
    <t>interest_income_and_dividend</t>
  </si>
  <si>
    <t>Interest income and dividend</t>
  </si>
  <si>
    <t>Thu lãi và cổ tức</t>
  </si>
  <si>
    <t>operating_profit_loss_before_changes_in_working_capital</t>
  </si>
  <si>
    <t>Operating profit/(loss) before changes in Working Capital</t>
  </si>
  <si>
    <t>Lợi nhuận/(lỗ) từ hoạt động kinh doanh trước những thay đổi vốn lưu động</t>
  </si>
  <si>
    <t>(Increase)/decrease in receivables</t>
  </si>
  <si>
    <t>(Tăng)/giảm các khoản phải thu</t>
  </si>
  <si>
    <t>(Increase)/decrease in inventories</t>
  </si>
  <si>
    <t>(Tăng)/giảm hàng tồn kho</t>
  </si>
  <si>
    <t>increase_decrease_in_payables</t>
  </si>
  <si>
    <t>Increase/(decrease) in payables</t>
  </si>
  <si>
    <t>Tăng/(giảm) các khoản phải trả</t>
  </si>
  <si>
    <t>increase_decrease_in_prepaid_expenses</t>
  </si>
  <si>
    <t>(Increase)/decrease in prepaid expenses</t>
  </si>
  <si>
    <t>(Tăng)/giảm chi phí trả trước</t>
  </si>
  <si>
    <t>Tiền lãi vay đã trả</t>
  </si>
  <si>
    <t>Corporate Income Tax paid</t>
  </si>
  <si>
    <t>Other receipts from operating activities</t>
  </si>
  <si>
    <t>other_payments_on_operating_activities</t>
  </si>
  <si>
    <t>Other payments on operating activities</t>
  </si>
  <si>
    <t>net_cash_inflows_outflows_from_operating_activities</t>
  </si>
  <si>
    <t>Net cash inflows/(outflows) from operating activities</t>
  </si>
  <si>
    <t>Lưu chuyển tiền tệ ròng từ các hoạt động sản xuất kinh doanh</t>
  </si>
  <si>
    <t>purchases_of_fixed_assets_and_other_long_term_assets</t>
  </si>
  <si>
    <t>Purchases of fixed assets and other long term assets</t>
  </si>
  <si>
    <t>Tiền chi để mua sắm, xây dựng TSCĐ và các tài sản dài hạn khác</t>
  </si>
  <si>
    <t>proceeds_from_disposal_of_fixed_assets</t>
  </si>
  <si>
    <t>Proceeds from disposal of fixed assets</t>
  </si>
  <si>
    <t>Tiền thu từ thanh lý, nhượng bán TSCĐ và các tài sản dài hạn khác</t>
  </si>
  <si>
    <t>loans_granted_purchases_of_debt_instruments</t>
  </si>
  <si>
    <t>Loans granted, purchases of debt instruments</t>
  </si>
  <si>
    <t>Tiền chi cho vay, mua các công cụ nợ của đơn vị khác</t>
  </si>
  <si>
    <t>collection_of_loans_proceeds_from_sales_of_debts_instruments</t>
  </si>
  <si>
    <t>Collection of loans, proceeds from sales of debts instruments</t>
  </si>
  <si>
    <t>Tiền thu hồi cho vay, bán lại các công cụ nợ của đơn vị khác</t>
  </si>
  <si>
    <t>Investments in other entities</t>
  </si>
  <si>
    <t>Tiền chi đầu tư góp vốn vào đơn vị khác</t>
  </si>
  <si>
    <t>proceeds_from_divestment_in_other_entities</t>
  </si>
  <si>
    <t>Proceeds from divestment in other entities</t>
  </si>
  <si>
    <t>Tiền thu hồi đầu tư góp vốn vào đơn vị khác</t>
  </si>
  <si>
    <t>dividends_and_interest_received</t>
  </si>
  <si>
    <t>Dividends and interest received</t>
  </si>
  <si>
    <t>Tiền thu lãi cho vay, cổ tức và lợi nhuận được chia</t>
  </si>
  <si>
    <t>net_cash_inflows_outflows_from_investing_activities</t>
  </si>
  <si>
    <t>Net cash inflows/(outflows) from investing activities</t>
  </si>
  <si>
    <t>proceeds_from_issue_of_shares</t>
  </si>
  <si>
    <t>Proceeds from issue of shares</t>
  </si>
  <si>
    <t>Tiền thu từ phát hành cổ phiếu, nhận vốn góp của chủ sở hữu</t>
  </si>
  <si>
    <t>payments_for_share_returns_and_repurchases</t>
  </si>
  <si>
    <t>Payments for share returns and repurchases</t>
  </si>
  <si>
    <t>Tiền chi trả vốn góp cho các chủ sở hữu, mua lại cổ phiếu của doanh nghiệp đã phát hành</t>
  </si>
  <si>
    <t>proceeds_from_loans</t>
  </si>
  <si>
    <t>Proceeds from loans</t>
  </si>
  <si>
    <t>Tiền thu được các khoản đi vay</t>
  </si>
  <si>
    <t>repayment_of_loans</t>
  </si>
  <si>
    <t>Repayment of loans</t>
  </si>
  <si>
    <t>Tiền trả nợ gốc vay</t>
  </si>
  <si>
    <t>finance_lease_principal_payments</t>
  </si>
  <si>
    <t>Finance lease principal payments</t>
  </si>
  <si>
    <t>Tiền trả nợ gốc thuê tài chính</t>
  </si>
  <si>
    <t>Cổ tức, lợi nhuận đã trả cho chủ sở hữu</t>
  </si>
  <si>
    <t>interests_dividends_profits_received</t>
  </si>
  <si>
    <t>Interests, dividends, profits received</t>
  </si>
  <si>
    <t>Tiền lãi đã nhận</t>
  </si>
  <si>
    <t>net_cash_inflows_outflows_from_financing_activities</t>
  </si>
  <si>
    <t>Net cash inflows/(outflows) from financing activities</t>
  </si>
  <si>
    <t>net_increase_in_cash_and_cash_equivalents</t>
  </si>
  <si>
    <t>Net increase in cash and cash equivalents</t>
  </si>
  <si>
    <t>cash_and_cash_equivalents_at_the_beginning_of_period</t>
  </si>
  <si>
    <t>Cash and cash equivalents at the beginning of period</t>
  </si>
  <si>
    <t>effect_of_foreign_exchange_differences</t>
  </si>
  <si>
    <t>Effect of foreign exchange differences</t>
  </si>
  <si>
    <t>cash_and_cash_equivalents_at_the_end_of_period</t>
  </si>
  <si>
    <t>Cash and cash equivalents at the end of period</t>
  </si>
  <si>
    <t>amortization_of_goodwill</t>
  </si>
  <si>
    <t>Amortization of goodwill</t>
  </si>
  <si>
    <t>Other adjustments</t>
  </si>
  <si>
    <t>increase_decrease_in_trading_securities</t>
  </si>
  <si>
    <t>(Increase)/decrease in trading securities</t>
  </si>
  <si>
    <t>(Tăng)/giảm chứng khoán kinh doanh</t>
  </si>
  <si>
    <t>MWG  - Normalized Peer Metrics from vnstock</t>
  </si>
  <si>
    <t>This sheet is formula-driven. Market/company fields link to 101_Raw_Peer_Market; financial metrics use SUMIFS from 97_Raw_Peer_IS/BS/CF. EBITDA proxy = Gross Profit + Selling Expenses + G&amp;A Expenses + D&amp;A.</t>
  </si>
  <si>
    <t>04_Q1_Historical_FS'!A1</t>
  </si>
  <si>
    <t>Peer Quality</t>
  </si>
  <si>
    <t>Sector</t>
  </si>
  <si>
    <t>Overview Market Cap VND bn</t>
  </si>
  <si>
    <t>Market Cap Calc VND bn</t>
  </si>
  <si>
    <t>Cash + STI Q1/2026 VND bn</t>
  </si>
  <si>
    <t>Debt Q1/2026 VND bn</t>
  </si>
  <si>
    <t>Net Debt Q1 VND bn</t>
  </si>
  <si>
    <t>Revenue FY2025 VND bn</t>
  </si>
  <si>
    <t>EBITDA FY2025 VND bn</t>
  </si>
  <si>
    <t>NPATMI FY2025 VND bn</t>
  </si>
  <si>
    <t>Revenue Q1/2025 VND bn</t>
  </si>
  <si>
    <t>EBITDA Q1/2025 VND bn</t>
  </si>
  <si>
    <t>NPATMI Q1/2025 VND bn</t>
  </si>
  <si>
    <t>Revenue Q1/2026 VND bn</t>
  </si>
  <si>
    <t>EBITDA Q1/2026 VND bn</t>
  </si>
  <si>
    <t>NPATMI Q1/2026 VND bn</t>
  </si>
  <si>
    <t>Revenue LTM VND bn</t>
  </si>
  <si>
    <t>EBITDA LTM VND bn</t>
  </si>
  <si>
    <t>NPATMI LTM VND bn</t>
  </si>
  <si>
    <t>Equity Q1/2026 VND bn</t>
  </si>
  <si>
    <t>Price Source</t>
  </si>
  <si>
    <t>Financial Source</t>
  </si>
  <si>
    <t>Fetch Status</t>
  </si>
  <si>
    <t>Market Cap vs Overview Diff %</t>
  </si>
  <si>
    <t>LTM Formula Check</t>
  </si>
  <si>
    <t>MWG  - Raw Peer Market and Company Data</t>
  </si>
  <si>
    <t>Fetched 2026-06-26 19:48:56 +07. Source: vnstock Quote.history source=VCI for current price; vnstock Company.overview source=VCI for shares/company data.</t>
  </si>
  <si>
    <t>Overview Source</t>
  </si>
  <si>
    <t>Target company</t>
  </si>
  <si>
    <t>Target</t>
  </si>
  <si>
    <t>Thế giới di động</t>
  </si>
  <si>
    <t>Retail</t>
  </si>
  <si>
    <t>vnstock Company.overview source=VCI</t>
  </si>
  <si>
    <t>Core Vietnam retail peer</t>
  </si>
  <si>
    <t>High</t>
  </si>
  <si>
    <t>Bán lẻ FPT</t>
  </si>
  <si>
    <t>ICT distribution proxy</t>
  </si>
  <si>
    <t>Medium</t>
  </si>
  <si>
    <t>Thế Giới Số</t>
  </si>
  <si>
    <t>Dịch vụ Tổng hợp Dầu khí</t>
  </si>
  <si>
    <t>Modern grocery / consumer proxy</t>
  </si>
  <si>
    <t>Low / partial</t>
  </si>
  <si>
    <t>Tập đoàn Masan</t>
  </si>
  <si>
    <t>Food &amp; Beverage</t>
  </si>
  <si>
    <t>TGDĐ/TopZone</t>
  </si>
  <si>
    <t>ĐMX</t>
  </si>
  <si>
    <t>Other/Rounding</t>
  </si>
  <si>
    <t>TGDĐ/TopZone Stores</t>
  </si>
  <si>
    <t>Cost of equity should exceed the risk-free rate.</t>
  </si>
  <si>
    <t>Weights must sum to 100%.</t>
  </si>
  <si>
    <t>A negative WACC is not valid.</t>
  </si>
  <si>
    <t>If WACC is below after-tax debt cost, review the inputs.</t>
  </si>
  <si>
    <t>Less than one year of data gives a weak beta.</t>
  </si>
  <si>
    <t>Use WACC as a sensitivity input in the DCF.</t>
  </si>
  <si>
    <t>DCF target price (VND/share) by WACC and terminal growth.</t>
  </si>
  <si>
    <t>Calculated FCFF must equal the linked FCFF from 14_Cash_Flow.</t>
  </si>
  <si>
    <t>WACC must exceed terminal growth.</t>
  </si>
  <si>
    <t>Negative equity value indicates a model or assumption issue.</t>
  </si>
  <si>
    <t>Bull, Base and Bear only change WACC and terminal growth. The operating forecast is unchanged.</t>
  </si>
  <si>
    <t>Each segment starts from one benchmark, with a separate analyst adjustment where needed. Green = source-backed or linked data. Blue = analyst input. Black = formula.</t>
  </si>
  <si>
    <t>SOTP TARGET MULTIPLE BRIDGE</t>
  </si>
  <si>
    <t>DMX dùng mức định giá post-money tại IPO, không dùng peer multiple.</t>
  </si>
  <si>
    <t>Bull cao hơn benchmark IPO. Bear gần mức 100.000 tỷ đồng.</t>
  </si>
  <si>
    <t>Base giữ mức IPO. Bull và Bear là các mức điều chỉnh quanh benchmark.</t>
  </si>
  <si>
    <t>Dùng để tính tỷ lệ sở hữu MWG sau IPO.</t>
  </si>
  <si>
    <t>Tỷ lệ giá trị thuộc về MWG sau IPO.</t>
  </si>
  <si>
    <t>Mốc tham chiếu là P/S forward 2026 của Shinhan (0.9x).</t>
  </si>
  <si>
    <t>Base chiết khấu 0.10x vì BHX chưa ổn định như peer. Bear chiết khấu thêm cho rủi ro biên lợi nhuận và triển khai.</t>
  </si>
  <si>
    <t>Giá trị BHX = benchmark P/S sau khi điều chỉnh.</t>
  </si>
  <si>
    <t>FRT/Long Châu là tham chiếu phù hợp nhất trong nước, dù không phải doanh nghiệp thuần dược.</t>
  </si>
  <si>
    <t>Chiết khấu do An Khang nhỏ hơn và lợi nhuận chưa ổn định như Long Châu.</t>
  </si>
  <si>
    <t>Base 0.3x, giữ mức thận trọng so với proxy.</t>
  </si>
  <si>
    <t>Dùng median bán lẻ nội địa do không có peer thuần ngành hàng trẻ em.</t>
  </si>
  <si>
    <t>Bull phản ánh premium online/ngách. Bear chiết khấu do quy mô nhỏ.</t>
  </si>
  <si>
    <t>Giá trị AVAKids = proxy sau điều chỉnh.</t>
  </si>
  <si>
    <t>Chiết khấu cho cấu trúc holding và mức độ công bố theo từng mảng.</t>
  </si>
  <si>
    <t>Base chỉ tính 50% tiền mặt ròng để tránh trùng với giá trị DMX.</t>
  </si>
  <si>
    <t>Unit: VND bn unless stated. Green = linked workbook or source-backed data. Blue = analyst assumption. Black = formulas. SOTP is the main valuation. DCF and trading comps are cross-checks.</t>
  </si>
  <si>
    <t>MWG ownership after IPO = pre-IPO capital / post-IPO capital.</t>
  </si>
  <si>
    <t>Gross segment value = sum of included segments.</t>
  </si>
  <si>
    <t>Target price must be positive.</t>
  </si>
  <si>
    <t>Unit: VND bn unless stated. Green = linked workbook data. Blue = sensitivity input. Black = formulas. Tables recalculate DCF and SOTP from linked model inputs.</t>
  </si>
  <si>
    <t>SOTP target price (VND/share) by BHX EV/Sales and holding discount.</t>
  </si>
  <si>
    <t>SOTP target price (VND/share) by DMX value and holding discount.</t>
  </si>
  <si>
    <t>External FP&amp;A view built from public actuals, management guidance and model inputs. Green = linked workbook or public data. Blue = planning input. Black = formulas.</t>
  </si>
  <si>
    <t>Budget period. The variance block compares it with actuals.</t>
  </si>
  <si>
    <t>Uses the monthly phasing assumptions.</t>
  </si>
  <si>
    <t>Inventory follows cumulative revenue phasing between prior-year and current-year ending balances.</t>
  </si>
  <si>
    <t>Payables follow cumulative revenue phasing between prior-year and current-year ending balances.</t>
  </si>
  <si>
    <t>Budget EBIT starting point.</t>
  </si>
  <si>
    <t>Revenue variance at the budget gross margin.</t>
  </si>
  <si>
    <t>Gross margin variance, excluding revenue volume.</t>
  </si>
  <si>
    <t>Higher opex than budget reduces EBIT.</t>
  </si>
  <si>
    <t>Other operating items, associates/JV and rounding.</t>
  </si>
  <si>
    <t>Reported EBIT.</t>
  </si>
  <si>
    <t>Must be close to zero.</t>
  </si>
  <si>
    <t>Monthly revenue phasing must total 100%.</t>
  </si>
  <si>
    <t>Monthly 2026 revenue must tie to the annual budget.</t>
  </si>
  <si>
    <t>Monthly 2027 revenue must tie to the annual forecast.</t>
  </si>
  <si>
    <t>Monthly 2026 NPAT must tie to the annual budget.</t>
  </si>
  <si>
    <t>Monthly 2027 NPAT must tie to the annual forecast.</t>
  </si>
  <si>
    <t>EBIT bridge difference must be close to zero.</t>
  </si>
  <si>
    <t>This is an external FP&amp;A view, not the internal budget.</t>
  </si>
  <si>
    <t>PASS confirms the model ties. It does not confirm public data is complete.</t>
  </si>
  <si>
    <t>Monthly revenue phasing from public YTD KQKD reports. Jan-Feb remains an assumption because a January report is unavailable.</t>
  </si>
  <si>
    <t>Latest-year priority.</t>
  </si>
  <si>
    <t>BHX STORE ROLLOUT PHASING</t>
  </si>
  <si>
    <t>BHX monthly openings from public updates and the 2026 target. Jan-Feb splits the two-month actual evenly. Mar-May uses actual changes. Jun-Dec uses the 2025 rollout pattern.</t>
  </si>
  <si>
    <t>2M=199, 3M=280, 4M=403.</t>
  </si>
  <si>
    <t>2025 mix allocates Jun-Dec.</t>
  </si>
  <si>
    <t>Jun mix = Jun change / Jun-Dec total.</t>
  </si>
  <si>
    <t>Split 2M actual evenly.</t>
  </si>
  <si>
    <t>~1,000 new stores (management).</t>
  </si>
  <si>
    <t>Target left after May.</t>
  </si>
  <si>
    <t>Monthly opening forecast.</t>
  </si>
  <si>
    <t>Must equal zero.</t>
  </si>
  <si>
    <t>Feeds monthly phasing.</t>
  </si>
  <si>
    <t>Định Hướng Kinh Doanh 2026.pdf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</si>
</sst>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0;[Red]\(#,##0\);\-"/>
    <numFmt numFmtId="165" formatCode="0.0%;[Red]\(0.0%\);\-"/>
    <numFmt numFmtId="166" formatCode="#,##0.000;[Red]\(#,##0.000\);\-"/>
    <numFmt numFmtId="167" formatCode="#,##0.0000;[Red]\(#,##0.0000\);\-"/>
    <numFmt numFmtId="168" formatCode="#,##0.0;[Red]\(#,##0.0\);\-"/>
    <numFmt numFmtId="169" formatCode="0.00;[Red]\(0.00\);\-"/>
    <numFmt numFmtId="170" formatCode="#,##0.0"/>
    <numFmt numFmtId="171" formatCode="0.0%"/>
    <numFmt numFmtId="172" formatCode="0.0\x"/>
    <numFmt numFmtId="173" formatCode="0.0"/>
    <numFmt numFmtId="174" formatCode="yyyy\-mm\-dd"/>
    <numFmt numFmtId="175" formatCode="0.0\x;[Red]\(0.0\x\);\-"/>
    <numFmt numFmtId="176" formatCode="0.000\x"/>
    <numFmt numFmtId="177" formatCode="0.00%;[Red]\(0.00%\);\-"/>
    <numFmt numFmtId="178" formatCode="0.00\x"/>
    <numFmt numFmtId="179" formatCode="0.00\x;[Red]\(0.00\x\);\-"/>
    <numFmt numFmtId="180" formatCode="0.0&quot;ppt&quot;;[Red]\(0.0&quot;ppt&quot;\);\-"/>
    <numFmt numFmtId="181" formatCode="0.000"/>
  </numFmts>
  <fonts count="58">
    <font>
      <sz val="11"/>
      <name val="Carlito"/>
    </font>
    <font>
      <i/>
      <sz val="11"/>
      <color rgb="FF1F4E78"/>
      <name val="Carlito"/>
    </font>
    <font>
      <b/>
      <sz val="11"/>
      <color rgb="FFFFFFFF"/>
      <name val="Carlito"/>
    </font>
    <font>
      <sz val="11"/>
      <color rgb="FF008000"/>
      <name val="Carlito"/>
    </font>
    <font>
      <sz val="11"/>
      <color rgb="FF000000"/>
      <name val="Carlito"/>
    </font>
    <font>
      <sz val="9"/>
      <color rgb="FF666666"/>
      <name val="Carlito"/>
    </font>
    <font>
      <b/>
      <sz val="11"/>
      <color rgb="FF000000"/>
      <name val="Carlito"/>
    </font>
    <font>
      <b/>
      <sz val="10"/>
      <color rgb="FFFFFFFF"/>
      <name val="Calibri"/>
    </font>
    <font>
      <sz val="10"/>
      <name val="Calibri"/>
    </font>
    <font>
      <b/>
      <sz val="14"/>
      <color rgb="FFFFFFFF"/>
      <name val="Calibri"/>
    </font>
    <font>
      <b/>
      <sz val="14"/>
      <color rgb="FFFFFFFF"/>
      <name val="Carlito"/>
    </font>
    <font>
      <sz val="11"/>
      <color rgb="FF0000FF"/>
      <name val="Carlito"/>
    </font>
    <font>
      <i/>
      <sz val="11"/>
      <color rgb="FF44546A"/>
      <name val="Carlito"/>
    </font>
    <font>
      <b/>
      <sz val="11"/>
      <name val="Carlito"/>
    </font>
    <font>
      <b/>
      <i/>
      <sz val="9"/>
      <color rgb="FF666666"/>
      <name val="Carlito"/>
    </font>
    <font>
      <b/>
      <sz val="11"/>
      <color rgb="FF008000"/>
      <name val="Carlito"/>
    </font>
    <font>
      <b/>
      <sz val="11"/>
      <color rgb="FF1F4E78"/>
      <name val="Carlito"/>
    </font>
    <font>
      <b/>
      <sz val="11"/>
      <color rgb="FF0000FF"/>
      <name val="Carlito"/>
    </font>
    <font>
      <sz val="11"/>
      <color rgb="FFFFFFFF"/>
      <name val="Carlito"/>
    </font>
    <font>
      <sz val="11"/>
      <color rgb="FFC00000"/>
      <name val="Carlito"/>
    </font>
    <font>
      <sz val="11"/>
      <color theme="10"/>
      <name val="Carlito"/>
    </font>
    <font>
      <i/>
      <sz val="11"/>
      <color rgb="FF23445F"/>
      <name val="Carlito"/>
    </font>
    <font>
      <i/>
      <sz val="11"/>
      <color rgb="FF7F6000"/>
      <name val="Carlito"/>
    </font>
    <font>
      <i/>
      <sz val="10"/>
      <color rgb="FF1F4E79"/>
      <name val="Carlito"/>
    </font>
    <font>
      <sz val="11"/>
      <color rgb="FF666666"/>
      <name val="Carlito"/>
    </font>
    <font>
      <b/>
      <sz val="11"/>
      <color rgb="FF1F4E79"/>
      <name val="Carlito"/>
    </font>
    <font>
      <sz val="11"/>
      <color rgb="FF0563C1"/>
      <name val="Carlito"/>
    </font>
    <font>
      <sz val="11"/>
      <color rgb="FF00B050"/>
      <name val="Carlito"/>
    </font>
    <font>
      <i/>
      <sz val="11"/>
      <color rgb="FF1F4E79"/>
      <name val="Carlito"/>
    </font>
    <font>
      <i/>
      <sz val="10"/>
      <color rgb="FF1F4E79"/>
      <name val="Calibri"/>
    </font>
    <font>
      <sz val="10"/>
      <color rgb="FF008000"/>
      <name val="Calibri"/>
    </font>
    <font>
      <sz val="10"/>
      <color rgb="FF000000"/>
      <name val="Calibri"/>
    </font>
    <font>
      <sz val="10"/>
      <color rgb="FF0000FF"/>
      <name val="Calibri"/>
    </font>
    <font>
      <b/>
      <sz val="10"/>
      <name val="Calibri"/>
    </font>
    <font>
      <b/>
      <sz val="10"/>
      <color rgb="FF000000"/>
      <name val="Calibri"/>
    </font>
    <font>
      <b/>
      <sz val="10"/>
      <color rgb="FFFFFFFF"/>
      <name val="Arial"/>
    </font>
    <font>
      <i/>
      <sz val="10"/>
      <color rgb="FF1F4E79"/>
      <name val="Arial"/>
    </font>
    <font>
      <sz val="10"/>
      <name val="Arial"/>
    </font>
    <font>
      <sz val="10"/>
      <color rgb="FF008000"/>
      <name val="Arial"/>
    </font>
    <font>
      <sz val="10"/>
      <color rgb="FF000000"/>
      <name val="Arial"/>
    </font>
    <font>
      <sz val="10"/>
      <color rgb="FF0000FF"/>
      <name val="Arial"/>
    </font>
    <font>
      <b/>
      <sz val="10"/>
      <name val="Arial"/>
    </font>
    <font>
      <b/>
      <sz val="10"/>
      <color rgb="FF000000"/>
      <name val="Arial"/>
    </font>
    <font>
      <b/>
      <sz val="14"/>
      <color rgb="FFFFFFFF"/>
      <name val="Arial"/>
    </font>
    <font>
      <b/>
      <sz val="11"/>
      <color rgb="FFFFFFFF"/>
      <name val="Arial"/>
    </font>
    <font>
      <sz val="11"/>
      <color rgb="FF1F4E79"/>
      <name val="Arial"/>
    </font>
    <font>
      <b/>
      <sz val="10"/>
      <color rgb="FF0000FF"/>
      <name val="Arial"/>
    </font>
    <font>
      <b/>
      <sz val="10"/>
      <color rgb="FF008000"/>
      <name val="Arial"/>
    </font>
    <font>
      <b/>
      <i/>
      <sz val="11"/>
      <color theme="9"/>
      <name val="Carlito"/>
    </font>
    <font>
      <b/>
      <i/>
      <sz val="11"/>
      <color rgb="FF1F4E78"/>
      <name val="Carlito"/>
    </font>
    <font>
      <b/>
      <i/>
      <sz val="11"/>
      <name val="Carlito"/>
    </font>
    <font>
      <b/>
      <i/>
      <sz val="11"/>
      <color theme="1"/>
      <name val="Carlito"/>
    </font>
    <font>
      <b/>
      <i/>
      <sz val="11"/>
      <color rgb="FF44546A"/>
      <name val="Carlito"/>
    </font>
    <font>
      <b/>
      <i/>
      <sz val="11"/>
      <color rgb="FF0070C0"/>
      <name val="Carlito"/>
    </font>
    <font>
      <b/>
      <sz val="11"/>
      <color rgb="FFC00000"/>
      <name val="Carlito"/>
    </font>
    <font>
      <sz val="10"/>
      <color rgb="FF1F4E79"/>
      <name val="Arial"/>
    </font>
    <font>
      <b/>
      <sz val="10"/>
      <color theme="0"/>
      <name val="Arial"/>
    </font>
    <font>
      <i/>
      <sz val="10"/>
      <color rgb="FF1F4E78"/>
      <name val="Calibri"/>
    </font>
  </fonts>
  <fills count="25">
    <fill>
      <patternFill patternType="none"/>
    </fill>
    <fill>
      <patternFill patternType="gray125"/>
    </fill>
    <fill>
      <patternFill patternType="solid">
        <fgColor rgb="FFFCE4D6"/>
      </patternFill>
    </fill>
    <fill>
      <patternFill patternType="solid">
        <fgColor rgb="FF081F33"/>
      </patternFill>
    </fill>
    <fill>
      <patternFill patternType="solid">
        <fgColor rgb="FFF2F2F2"/>
      </patternFill>
    </fill>
    <fill>
      <patternFill patternType="solid">
        <fgColor rgb="FFF7FBFF"/>
      </patternFill>
    </fill>
    <fill>
      <patternFill patternType="solid">
        <fgColor rgb="FF08243A"/>
      </patternFill>
    </fill>
    <fill>
      <patternFill patternType="solid">
        <fgColor rgb="FFF3F6F8"/>
      </patternFill>
    </fill>
    <fill>
      <patternFill patternType="solid">
        <fgColor rgb="FFEAF3F8"/>
      </patternFill>
    </fill>
    <fill>
      <patternFill patternType="solid">
        <fgColor rgb="FFF3F6FA"/>
      </patternFill>
    </fill>
    <fill>
      <patternFill patternType="solid">
        <fgColor rgb="FFE2F0D9"/>
      </patternFill>
    </fill>
    <fill>
      <patternFill patternType="solid">
        <fgColor rgb="FF082033"/>
      </patternFill>
    </fill>
    <fill>
      <patternFill patternType="solid">
        <fgColor rgb="FF1F4E79"/>
      </patternFill>
    </fill>
    <fill>
      <patternFill patternType="solid">
        <fgColor rgb="FF0B1F33"/>
      </patternFill>
    </fill>
    <fill>
      <patternFill patternType="solid">
        <fgColor rgb="FFFFFFFF"/>
      </patternFill>
    </fill>
    <fill>
      <patternFill patternType="solid">
        <fgColor rgb="FFD9EAF7"/>
      </patternFill>
    </fill>
    <fill>
      <patternFill patternType="solid">
        <fgColor theme="1"/>
      </patternFill>
    </fill>
    <fill>
      <patternFill patternType="solid">
        <fgColor theme="0"/>
      </patternFill>
    </fill>
    <fill>
      <patternFill patternType="solid">
        <fgColor rgb="FF0B2239"/>
      </patternFill>
    </fill>
    <fill>
      <patternFill patternType="solid">
        <fgColor rgb="FFEEF3F8"/>
      </patternFill>
    </fill>
    <fill>
      <patternFill patternType="solid">
        <fgColor rgb="FF1F4E78"/>
      </patternFill>
    </fill>
    <fill>
      <patternFill patternType="solid">
        <fgColor rgb="FFFFF2CC"/>
      </patternFill>
    </fill>
    <fill>
      <patternFill patternType="solid">
        <fgColor rgb="FFDDEBF7"/>
      </patternFill>
    </fill>
    <fill>
      <patternFill patternType="solid">
        <fgColor rgb="FFEAF2F8"/>
      </patternFill>
    </fill>
    <fill>
      <patternFill patternType="solid">
        <fgColor theme="0"/>
        <bgColor indexed="64"/>
      </patternFill>
    </fill>
  </fills>
  <borders count="42">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rgb="FFD9E2EC"/>
      </left>
      <right style="thin">
        <color rgb="FFD9E2EC"/>
      </right>
      <top style="thin">
        <color rgb="FFD9E2EC"/>
      </top>
      <bottom style="thin">
        <color rgb="FFD9E2EC"/>
      </bottom>
      <diagonal/>
    </border>
    <border>
      <left/>
      <right style="thin">
        <color rgb="FFD9E2EC"/>
      </right>
      <top/>
      <bottom style="thin">
        <color rgb="FFD9E2EC"/>
      </bottom>
      <diagonal/>
    </border>
    <border>
      <left style="thin">
        <color rgb="FFD9E2EC"/>
      </left>
      <right style="thin">
        <color rgb="FFD9E2EC"/>
      </right>
      <top/>
      <bottom style="thin">
        <color rgb="FFD9E2EC"/>
      </bottom>
      <diagonal/>
    </border>
    <border>
      <left style="thin">
        <color rgb="FFD9E2EC"/>
      </left>
      <right/>
      <top/>
      <bottom style="thin">
        <color rgb="FFD9E2EC"/>
      </bottom>
      <diagonal/>
    </border>
    <border>
      <left/>
      <right style="thin">
        <color rgb="FFD9E2EC"/>
      </right>
      <top style="thin">
        <color rgb="FFD9E2EC"/>
      </top>
      <bottom style="thin">
        <color rgb="FFD9E2EC"/>
      </bottom>
      <diagonal/>
    </border>
    <border>
      <left style="thin">
        <color rgb="FFD9E2EC"/>
      </left>
      <right/>
      <top style="thin">
        <color rgb="FFD9E2EC"/>
      </top>
      <bottom style="thin">
        <color rgb="FFD9E2EC"/>
      </bottom>
      <diagonal/>
    </border>
    <border>
      <left/>
      <right style="thin">
        <color rgb="FFD9E2EC"/>
      </right>
      <top style="thin">
        <color rgb="FFD9E2EC"/>
      </top>
      <bottom/>
      <diagonal/>
    </border>
    <border>
      <left style="thin">
        <color rgb="FFD9E2EC"/>
      </left>
      <right style="thin">
        <color rgb="FFD9E2EC"/>
      </right>
      <top style="thin">
        <color rgb="FFD9E2EC"/>
      </top>
      <bottom/>
      <diagonal/>
    </border>
    <border>
      <left style="thin">
        <color rgb="FFD9E2EC"/>
      </left>
      <right/>
      <top style="thin">
        <color rgb="FFD9E2EC"/>
      </top>
      <bottom/>
      <diagonal/>
    </border>
    <border>
      <left/>
      <right style="thin">
        <color rgb="FFD9E2EC"/>
      </right>
      <top/>
      <bottom/>
      <diagonal/>
    </border>
    <border>
      <left style="thin">
        <color rgb="FFD9E2EC"/>
      </left>
      <right style="thin">
        <color rgb="FFD9E2EC"/>
      </right>
      <top/>
      <bottom/>
      <diagonal/>
    </border>
    <border>
      <left style="thin">
        <color rgb="FFD9E2EC"/>
      </left>
      <right/>
      <top/>
      <bottom/>
      <diagonal/>
    </border>
    <border>
      <left/>
      <right style="thin">
        <color rgb="FFD9E2EC"/>
      </right>
      <top style="thin">
        <color rgb="FFD9E2EC"/>
      </top>
      <bottom style="double">
        <color rgb="FF9FBAD0"/>
      </bottom>
      <diagonal/>
    </border>
    <border>
      <left style="thin">
        <color rgb="FFD9E2EC"/>
      </left>
      <right style="thin">
        <color rgb="FFD9E2EC"/>
      </right>
      <top style="thin">
        <color rgb="FFD9E2EC"/>
      </top>
      <bottom style="double">
        <color rgb="FF9FBAD0"/>
      </bottom>
      <diagonal/>
    </border>
    <border>
      <left/>
      <right/>
      <top style="thin">
        <color rgb="FF082033"/>
      </top>
      <bottom style="thin">
        <color rgb="FF082033"/>
      </bottom>
      <diagonal/>
    </border>
    <border>
      <left/>
      <right style="thin">
        <color rgb="FF082033"/>
      </right>
      <top style="thin">
        <color rgb="FF082033"/>
      </top>
      <bottom style="thin">
        <color rgb="FF082033"/>
      </bottom>
      <diagonal/>
    </border>
    <border>
      <left style="thin">
        <color rgb="FF5B9BD5"/>
      </left>
      <right style="thin">
        <color rgb="FF5B9BD5"/>
      </right>
      <top style="thin">
        <color rgb="FF5B9BD5"/>
      </top>
      <bottom style="thin">
        <color rgb="FF5B9BD5"/>
      </bottom>
      <diagonal/>
    </border>
    <border>
      <left style="thin">
        <color rgb="FFD9E2F3"/>
      </left>
      <right style="thin">
        <color rgb="FFD9E2F3"/>
      </right>
      <top style="thin">
        <color rgb="FFD9E2F3"/>
      </top>
      <bottom style="thin">
        <color rgb="FFD9E2F3"/>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right/>
      <top style="thin">
        <color rgb="FFD9E2EC"/>
      </top>
      <bottom style="thin">
        <color rgb="FFD9E2EC"/>
      </bottom>
      <diagonal/>
    </border>
    <border>
      <left/>
      <right/>
      <top/>
      <bottom style="thin">
        <color rgb="FFD9D9D9"/>
      </bottom>
      <diagonal/>
    </border>
    <border>
      <left/>
      <right/>
      <top style="thin">
        <color rgb="FFD9D9D9"/>
      </top>
      <bottom style="thin">
        <color rgb="FFD9D9D9"/>
      </bottom>
      <diagonal/>
    </border>
    <border>
      <left/>
      <right/>
      <top/>
      <bottom style="thin">
        <color rgb="FFD9E2EC"/>
      </bottom>
      <diagonal/>
    </border>
    <border>
      <left style="thin">
        <color rgb="FF082033"/>
      </left>
      <right style="thin">
        <color rgb="FF082033"/>
      </right>
      <top style="thin">
        <color rgb="FF082033"/>
      </top>
      <bottom style="thin">
        <color rgb="FF082033"/>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0" fillId="0" borderId="0"/>
  </cellStyleXfs>
  <cellXfs count="511">
    <xf numFmtId="0" fontId="0" fillId="0" borderId="0" xfId="0"/>
    <xf numFmtId="0" fontId="0" fillId="0" borderId="0" xfId="0" applyAlignment="1">
      <alignment wrapText="1"/>
    </xf>
    <xf numFmtId="0" fontId="4" fillId="0" borderId="0" xfId="0" applyFont="1" applyAlignment="1">
      <alignment wrapText="1"/>
    </xf>
    <xf numFmtId="0" fontId="4" fillId="0" borderId="0" xfId="0" applyFont="1" applyAlignment="1">
      <alignment horizontal="left" wrapText="1"/>
    </xf>
    <xf numFmtId="0" fontId="4" fillId="0" borderId="0" xfId="0" applyFont="1" applyAlignment="1">
      <alignment horizontal="center" wrapText="1"/>
    </xf>
    <xf numFmtId="0" fontId="5" fillId="0" borderId="0" xfId="0" applyFont="1" applyAlignment="1">
      <alignment wrapText="1"/>
    </xf>
    <xf numFmtId="164" fontId="3" fillId="0" borderId="0" xfId="0" applyNumberFormat="1" applyFont="1" applyAlignment="1">
      <alignment horizontal="right" wrapText="1"/>
    </xf>
    <xf numFmtId="165" fontId="4" fillId="0" borderId="0" xfId="0" applyNumberFormat="1" applyFont="1" applyAlignment="1">
      <alignment horizontal="right" wrapText="1"/>
    </xf>
    <xf numFmtId="164" fontId="4" fillId="0" borderId="0" xfId="0" applyNumberFormat="1" applyFont="1" applyAlignment="1">
      <alignment horizontal="right" wrapText="1"/>
    </xf>
    <xf numFmtId="164" fontId="0" fillId="0" borderId="0" xfId="0" applyNumberFormat="1"/>
    <xf numFmtId="165" fontId="0" fillId="0" borderId="0" xfId="0" applyNumberFormat="1"/>
    <xf numFmtId="0" fontId="8" fillId="0" borderId="0" xfId="0" applyFont="1"/>
    <xf numFmtId="166" fontId="3" fillId="0" borderId="0" xfId="0" applyNumberFormat="1" applyFont="1" applyAlignment="1">
      <alignment horizontal="right" wrapText="1"/>
    </xf>
    <xf numFmtId="167" fontId="3" fillId="0" borderId="0" xfId="0" applyNumberFormat="1" applyFont="1" applyAlignment="1">
      <alignment horizontal="right" wrapText="1"/>
    </xf>
    <xf numFmtId="164" fontId="11" fillId="0" borderId="0" xfId="0" applyNumberFormat="1" applyFont="1"/>
    <xf numFmtId="0" fontId="14" fillId="0" borderId="0" xfId="0" applyFont="1" applyAlignment="1">
      <alignment wrapText="1"/>
    </xf>
    <xf numFmtId="168" fontId="3" fillId="0" borderId="0" xfId="0" applyNumberFormat="1" applyFont="1" applyAlignment="1">
      <alignment horizontal="right" wrapText="1"/>
    </xf>
    <xf numFmtId="164" fontId="3" fillId="0" borderId="0" xfId="0" applyNumberFormat="1" applyFont="1" applyAlignment="1">
      <alignment horizontal="right" vertical="center"/>
    </xf>
    <xf numFmtId="165" fontId="4" fillId="0" borderId="0" xfId="0" applyNumberFormat="1" applyFont="1" applyAlignment="1">
      <alignment horizontal="right" vertical="center"/>
    </xf>
    <xf numFmtId="164" fontId="4" fillId="0" borderId="0" xfId="0" applyNumberFormat="1" applyFont="1" applyAlignment="1">
      <alignment horizontal="right" vertical="center"/>
    </xf>
    <xf numFmtId="167" fontId="3" fillId="0" borderId="0" xfId="0" applyNumberFormat="1" applyFont="1" applyAlignment="1">
      <alignment horizontal="right" vertical="center"/>
    </xf>
    <xf numFmtId="0" fontId="0" fillId="0" borderId="2" xfId="0" applyBorder="1" applyAlignment="1">
      <alignment wrapText="1"/>
    </xf>
    <xf numFmtId="0" fontId="0" fillId="0" borderId="3" xfId="0" applyBorder="1" applyAlignment="1">
      <alignment wrapText="1"/>
    </xf>
    <xf numFmtId="3" fontId="11" fillId="0" borderId="3" xfId="0" applyNumberFormat="1" applyFont="1"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1" xfId="0" applyBorder="1" applyAlignment="1">
      <alignment wrapText="1"/>
    </xf>
    <xf numFmtId="3" fontId="11" fillId="0" borderId="1" xfId="0" applyNumberFormat="1" applyFont="1"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3" fontId="11" fillId="0" borderId="8" xfId="0" applyNumberFormat="1" applyFont="1" applyBorder="1" applyAlignment="1">
      <alignment wrapText="1"/>
    </xf>
    <xf numFmtId="0" fontId="0" fillId="0" borderId="9" xfId="0" applyBorder="1" applyAlignment="1">
      <alignment wrapText="1"/>
    </xf>
    <xf numFmtId="170" fontId="3" fillId="0" borderId="1" xfId="0" applyNumberFormat="1" applyFont="1" applyBorder="1" applyAlignment="1">
      <alignment horizontal="right" wrapText="1"/>
    </xf>
    <xf numFmtId="171" fontId="0" fillId="0" borderId="1" xfId="0" applyNumberFormat="1" applyBorder="1" applyAlignment="1">
      <alignment horizontal="right" wrapText="1"/>
    </xf>
    <xf numFmtId="170" fontId="4" fillId="0" borderId="1" xfId="0" applyNumberFormat="1" applyFont="1" applyBorder="1" applyAlignment="1">
      <alignment horizontal="right" wrapText="1"/>
    </xf>
    <xf numFmtId="171" fontId="3" fillId="0" borderId="1" xfId="0" applyNumberFormat="1" applyFont="1" applyBorder="1" applyAlignment="1">
      <alignment horizontal="right" wrapText="1"/>
    </xf>
    <xf numFmtId="171" fontId="4" fillId="0" borderId="1" xfId="0" applyNumberFormat="1" applyFont="1" applyBorder="1" applyAlignment="1">
      <alignment horizontal="right" wrapText="1"/>
    </xf>
    <xf numFmtId="170" fontId="0" fillId="0" borderId="1" xfId="0" applyNumberFormat="1" applyBorder="1" applyAlignment="1">
      <alignment horizontal="right" wrapText="1"/>
    </xf>
    <xf numFmtId="172" fontId="4" fillId="0" borderId="1" xfId="0" applyNumberFormat="1" applyFont="1" applyBorder="1" applyAlignment="1">
      <alignment horizontal="right" wrapText="1"/>
    </xf>
    <xf numFmtId="170" fontId="11" fillId="0" borderId="1" xfId="0" applyNumberFormat="1" applyFont="1" applyBorder="1" applyAlignment="1">
      <alignment wrapText="1"/>
    </xf>
    <xf numFmtId="170" fontId="0" fillId="0" borderId="0" xfId="0" applyNumberFormat="1"/>
    <xf numFmtId="171" fontId="11" fillId="0" borderId="1" xfId="0" applyNumberFormat="1" applyFont="1" applyBorder="1" applyAlignment="1">
      <alignment wrapText="1"/>
    </xf>
    <xf numFmtId="3" fontId="3" fillId="0" borderId="1" xfId="0" applyNumberFormat="1" applyFont="1" applyBorder="1" applyAlignment="1">
      <alignment horizontal="right" wrapText="1"/>
    </xf>
    <xf numFmtId="4" fontId="3" fillId="0" borderId="1" xfId="0" applyNumberFormat="1" applyFont="1" applyBorder="1" applyAlignment="1">
      <alignment horizontal="right" wrapText="1"/>
    </xf>
    <xf numFmtId="3" fontId="4" fillId="0" borderId="1" xfId="0" applyNumberFormat="1" applyFont="1" applyBorder="1" applyAlignment="1">
      <alignment horizontal="right" wrapText="1"/>
    </xf>
    <xf numFmtId="4" fontId="4" fillId="0" borderId="1" xfId="0" applyNumberFormat="1" applyFont="1" applyBorder="1" applyAlignment="1">
      <alignment horizontal="right" wrapText="1"/>
    </xf>
    <xf numFmtId="0" fontId="11" fillId="0" borderId="1" xfId="0" applyFont="1" applyBorder="1" applyAlignment="1">
      <alignment wrapText="1"/>
    </xf>
    <xf numFmtId="3" fontId="0" fillId="0" borderId="1" xfId="0" applyNumberFormat="1" applyBorder="1" applyAlignment="1">
      <alignment horizontal="right" wrapText="1"/>
    </xf>
    <xf numFmtId="0" fontId="4" fillId="0" borderId="1" xfId="0" applyFont="1" applyBorder="1" applyAlignment="1">
      <alignment wrapText="1"/>
    </xf>
    <xf numFmtId="171" fontId="11" fillId="0" borderId="1" xfId="0" applyNumberFormat="1" applyFont="1" applyBorder="1" applyAlignment="1">
      <alignment horizontal="right" wrapText="1"/>
    </xf>
    <xf numFmtId="3" fontId="11" fillId="0" borderId="1" xfId="0" applyNumberFormat="1" applyFont="1" applyBorder="1" applyAlignment="1">
      <alignment horizontal="right" wrapText="1"/>
    </xf>
    <xf numFmtId="0" fontId="13" fillId="0" borderId="1" xfId="0" applyFont="1" applyBorder="1" applyAlignment="1">
      <alignment horizontal="center" wrapText="1"/>
    </xf>
    <xf numFmtId="0" fontId="0" fillId="0" borderId="1" xfId="0" applyBorder="1" applyAlignment="1">
      <alignment horizontal="right" wrapText="1"/>
    </xf>
    <xf numFmtId="0" fontId="0" fillId="0" borderId="8" xfId="0" applyBorder="1" applyAlignment="1">
      <alignment horizontal="right" wrapText="1"/>
    </xf>
    <xf numFmtId="0" fontId="3" fillId="0" borderId="1" xfId="0" applyFont="1" applyBorder="1" applyAlignment="1">
      <alignment horizontal="right" wrapText="1"/>
    </xf>
    <xf numFmtId="0" fontId="3" fillId="0" borderId="8" xfId="0" applyFont="1" applyBorder="1" applyAlignment="1">
      <alignment horizontal="right" wrapText="1"/>
    </xf>
    <xf numFmtId="170" fontId="11" fillId="0" borderId="1" xfId="0" applyNumberFormat="1" applyFont="1" applyBorder="1" applyAlignment="1">
      <alignment horizontal="right" wrapText="1"/>
    </xf>
    <xf numFmtId="0" fontId="16" fillId="0" borderId="1" xfId="0" applyFont="1" applyBorder="1" applyAlignment="1">
      <alignment wrapText="1"/>
    </xf>
    <xf numFmtId="0" fontId="19" fillId="0" borderId="1" xfId="0" applyFont="1" applyBorder="1" applyAlignment="1">
      <alignment wrapText="1"/>
    </xf>
    <xf numFmtId="0" fontId="3" fillId="0" borderId="1" xfId="0" applyFont="1" applyBorder="1" applyAlignment="1">
      <alignment wrapText="1"/>
    </xf>
    <xf numFmtId="0" fontId="20" fillId="0" borderId="0" xfId="1"/>
    <xf numFmtId="0" fontId="6" fillId="2" borderId="0" xfId="0" applyFont="1" applyFill="1" applyAlignment="1">
      <alignment wrapText="1"/>
    </xf>
    <xf numFmtId="0" fontId="2" fillId="3" borderId="0" xfId="0" applyFont="1" applyFill="1"/>
    <xf numFmtId="0" fontId="3" fillId="0" borderId="0" xfId="0" applyFont="1"/>
    <xf numFmtId="165" fontId="3" fillId="0" borderId="0" xfId="0" applyNumberFormat="1" applyFont="1"/>
    <xf numFmtId="0" fontId="2" fillId="3" borderId="0" xfId="0" applyFont="1" applyFill="1" applyAlignment="1">
      <alignment wrapText="1"/>
    </xf>
    <xf numFmtId="0" fontId="4" fillId="0" borderId="5" xfId="0" applyFont="1" applyBorder="1" applyAlignment="1">
      <alignment wrapText="1"/>
    </xf>
    <xf numFmtId="164" fontId="4" fillId="0" borderId="1" xfId="0" applyNumberFormat="1" applyFont="1" applyBorder="1" applyAlignment="1">
      <alignment wrapText="1"/>
    </xf>
    <xf numFmtId="0" fontId="4" fillId="0" borderId="6" xfId="0" applyFont="1" applyBorder="1" applyAlignment="1">
      <alignment wrapText="1"/>
    </xf>
    <xf numFmtId="0" fontId="4" fillId="0" borderId="7" xfId="0" applyFont="1" applyBorder="1" applyAlignment="1">
      <alignment wrapText="1"/>
    </xf>
    <xf numFmtId="0" fontId="4" fillId="0" borderId="8" xfId="0" applyFont="1" applyBorder="1" applyAlignment="1">
      <alignment wrapText="1"/>
    </xf>
    <xf numFmtId="0" fontId="4" fillId="0" borderId="9" xfId="0" applyFont="1" applyBorder="1" applyAlignment="1">
      <alignment wrapText="1"/>
    </xf>
    <xf numFmtId="164" fontId="4" fillId="0" borderId="8" xfId="0" applyNumberFormat="1" applyFont="1" applyBorder="1" applyAlignment="1">
      <alignment wrapText="1"/>
    </xf>
    <xf numFmtId="0" fontId="11" fillId="0" borderId="0" xfId="0" applyFont="1"/>
    <xf numFmtId="165" fontId="4" fillId="0" borderId="1" xfId="0" applyNumberFormat="1" applyFont="1" applyBorder="1" applyAlignment="1">
      <alignment horizontal="right" wrapText="1"/>
    </xf>
    <xf numFmtId="168" fontId="4" fillId="0" borderId="1" xfId="0" applyNumberFormat="1" applyFont="1" applyBorder="1" applyAlignment="1">
      <alignment horizontal="right" wrapText="1"/>
    </xf>
    <xf numFmtId="0" fontId="20" fillId="0" borderId="1" xfId="1" applyBorder="1" applyAlignment="1">
      <alignment wrapText="1"/>
    </xf>
    <xf numFmtId="0" fontId="0" fillId="0" borderId="11" xfId="0" applyBorder="1" applyAlignment="1">
      <alignment vertical="top"/>
    </xf>
    <xf numFmtId="0" fontId="0" fillId="0" borderId="12" xfId="0" applyBorder="1" applyAlignment="1">
      <alignment vertical="top"/>
    </xf>
    <xf numFmtId="0" fontId="0" fillId="0" borderId="13" xfId="0" applyBorder="1" applyAlignment="1">
      <alignment vertical="top"/>
    </xf>
    <xf numFmtId="0" fontId="0" fillId="0" borderId="14" xfId="0" applyBorder="1" applyAlignment="1">
      <alignment vertical="top"/>
    </xf>
    <xf numFmtId="0" fontId="0" fillId="0" borderId="10" xfId="0" applyBorder="1" applyAlignment="1">
      <alignment vertical="top"/>
    </xf>
    <xf numFmtId="0" fontId="0" fillId="0" borderId="15" xfId="0" applyBorder="1" applyAlignment="1">
      <alignment vertical="top"/>
    </xf>
    <xf numFmtId="0" fontId="0" fillId="0" borderId="16" xfId="0" applyBorder="1" applyAlignment="1">
      <alignment vertical="top"/>
    </xf>
    <xf numFmtId="0" fontId="0" fillId="0" borderId="17" xfId="0" applyBorder="1" applyAlignment="1">
      <alignment vertical="top"/>
    </xf>
    <xf numFmtId="0" fontId="0" fillId="0" borderId="18" xfId="0" applyBorder="1" applyAlignment="1">
      <alignment vertical="top"/>
    </xf>
    <xf numFmtId="164" fontId="0" fillId="0" borderId="12" xfId="0" applyNumberFormat="1" applyBorder="1" applyAlignment="1">
      <alignment vertical="top"/>
    </xf>
    <xf numFmtId="164" fontId="0" fillId="0" borderId="10" xfId="0" applyNumberFormat="1" applyBorder="1" applyAlignment="1">
      <alignment vertical="top"/>
    </xf>
    <xf numFmtId="164" fontId="0" fillId="0" borderId="17" xfId="0" applyNumberFormat="1" applyBorder="1" applyAlignment="1">
      <alignment vertical="top"/>
    </xf>
    <xf numFmtId="168" fontId="0" fillId="0" borderId="12" xfId="0" applyNumberFormat="1" applyBorder="1" applyAlignment="1">
      <alignment vertical="top"/>
    </xf>
    <xf numFmtId="168" fontId="0" fillId="0" borderId="10" xfId="0" applyNumberFormat="1" applyBorder="1" applyAlignment="1">
      <alignment vertical="top"/>
    </xf>
    <xf numFmtId="168" fontId="0" fillId="0" borderId="17" xfId="0" applyNumberFormat="1" applyBorder="1" applyAlignment="1">
      <alignment vertical="top"/>
    </xf>
    <xf numFmtId="0" fontId="4" fillId="0" borderId="11" xfId="0" applyFont="1" applyBorder="1" applyAlignment="1">
      <alignment vertical="top"/>
    </xf>
    <xf numFmtId="0" fontId="4" fillId="0" borderId="12" xfId="0" applyFont="1" applyBorder="1" applyAlignment="1">
      <alignment vertical="top"/>
    </xf>
    <xf numFmtId="0" fontId="4" fillId="0" borderId="14" xfId="0" applyFont="1" applyBorder="1" applyAlignment="1">
      <alignment vertical="top"/>
    </xf>
    <xf numFmtId="0" fontId="4" fillId="0" borderId="10" xfId="0" applyFont="1" applyBorder="1" applyAlignment="1">
      <alignment vertical="top"/>
    </xf>
    <xf numFmtId="0" fontId="4" fillId="0" borderId="16" xfId="0" applyFont="1" applyBorder="1" applyAlignment="1">
      <alignment vertical="top"/>
    </xf>
    <xf numFmtId="0" fontId="4" fillId="0" borderId="17" xfId="0" applyFont="1" applyBorder="1" applyAlignment="1">
      <alignment vertical="top"/>
    </xf>
    <xf numFmtId="0" fontId="24" fillId="0" borderId="13" xfId="0" applyFont="1" applyBorder="1" applyAlignment="1">
      <alignment vertical="top"/>
    </xf>
    <xf numFmtId="0" fontId="24" fillId="0" borderId="15" xfId="0" applyFont="1" applyBorder="1" applyAlignment="1">
      <alignment vertical="top"/>
    </xf>
    <xf numFmtId="0" fontId="24" fillId="0" borderId="18" xfId="0" applyFont="1" applyBorder="1" applyAlignment="1">
      <alignment vertical="top"/>
    </xf>
    <xf numFmtId="0" fontId="4" fillId="0" borderId="13" xfId="0" applyFont="1" applyBorder="1" applyAlignment="1">
      <alignment vertical="top"/>
    </xf>
    <xf numFmtId="0" fontId="4" fillId="0" borderId="15" xfId="0" applyFont="1" applyBorder="1" applyAlignment="1">
      <alignment vertical="top"/>
    </xf>
    <xf numFmtId="0" fontId="4" fillId="0" borderId="18" xfId="0" applyFont="1" applyBorder="1" applyAlignment="1">
      <alignment vertical="top"/>
    </xf>
    <xf numFmtId="168" fontId="4" fillId="0" borderId="12" xfId="0" applyNumberFormat="1" applyFont="1" applyBorder="1" applyAlignment="1">
      <alignment vertical="top"/>
    </xf>
    <xf numFmtId="168" fontId="4" fillId="0" borderId="10" xfId="0" applyNumberFormat="1" applyFont="1" applyBorder="1" applyAlignment="1">
      <alignment vertical="top"/>
    </xf>
    <xf numFmtId="168" fontId="4" fillId="0" borderId="17" xfId="0" applyNumberFormat="1" applyFont="1" applyBorder="1" applyAlignment="1">
      <alignment vertical="top"/>
    </xf>
    <xf numFmtId="165" fontId="4" fillId="0" borderId="12" xfId="0" applyNumberFormat="1" applyFont="1" applyBorder="1" applyAlignment="1">
      <alignment vertical="top"/>
    </xf>
    <xf numFmtId="165" fontId="4" fillId="0" borderId="10" xfId="0" applyNumberFormat="1" applyFont="1" applyBorder="1" applyAlignment="1">
      <alignment vertical="top"/>
    </xf>
    <xf numFmtId="165" fontId="4" fillId="0" borderId="17" xfId="0" applyNumberFormat="1" applyFont="1" applyBorder="1" applyAlignment="1">
      <alignment vertical="top"/>
    </xf>
    <xf numFmtId="174" fontId="0" fillId="0" borderId="12" xfId="0" applyNumberFormat="1" applyBorder="1" applyAlignment="1">
      <alignment vertical="top"/>
    </xf>
    <xf numFmtId="174" fontId="0" fillId="0" borderId="10" xfId="0" applyNumberFormat="1" applyBorder="1" applyAlignment="1">
      <alignment vertical="top"/>
    </xf>
    <xf numFmtId="174" fontId="0" fillId="0" borderId="17" xfId="0" applyNumberFormat="1" applyBorder="1" applyAlignment="1">
      <alignment vertical="top"/>
    </xf>
    <xf numFmtId="0" fontId="3" fillId="0" borderId="11" xfId="0" applyFont="1" applyBorder="1" applyAlignment="1">
      <alignment vertical="top"/>
    </xf>
    <xf numFmtId="0" fontId="3" fillId="0" borderId="12" xfId="0" applyFont="1" applyBorder="1" applyAlignment="1">
      <alignment vertical="top"/>
    </xf>
    <xf numFmtId="0" fontId="3" fillId="0" borderId="13" xfId="0" applyFont="1" applyBorder="1" applyAlignment="1">
      <alignment vertical="top"/>
    </xf>
    <xf numFmtId="0" fontId="3" fillId="0" borderId="14" xfId="0" applyFont="1" applyBorder="1" applyAlignment="1">
      <alignment vertical="top"/>
    </xf>
    <xf numFmtId="0" fontId="3" fillId="0" borderId="10" xfId="0" applyFont="1" applyBorder="1" applyAlignment="1">
      <alignment vertical="top"/>
    </xf>
    <xf numFmtId="0" fontId="3" fillId="0" borderId="15" xfId="0" applyFont="1" applyBorder="1" applyAlignment="1">
      <alignment vertical="top"/>
    </xf>
    <xf numFmtId="0" fontId="3" fillId="0" borderId="16" xfId="0" applyFont="1" applyBorder="1" applyAlignment="1">
      <alignment vertical="top"/>
    </xf>
    <xf numFmtId="0" fontId="3" fillId="0" borderId="17" xfId="0" applyFont="1" applyBorder="1" applyAlignment="1">
      <alignment vertical="top"/>
    </xf>
    <xf numFmtId="0" fontId="3" fillId="0" borderId="18" xfId="0" applyFont="1" applyBorder="1" applyAlignment="1">
      <alignment vertical="top"/>
    </xf>
    <xf numFmtId="168" fontId="3" fillId="0" borderId="12" xfId="0" applyNumberFormat="1" applyFont="1" applyBorder="1" applyAlignment="1">
      <alignment vertical="top"/>
    </xf>
    <xf numFmtId="168" fontId="3" fillId="0" borderId="10" xfId="0" applyNumberFormat="1" applyFont="1" applyBorder="1" applyAlignment="1">
      <alignment vertical="top"/>
    </xf>
    <xf numFmtId="168" fontId="3" fillId="0" borderId="17" xfId="0" applyNumberFormat="1" applyFont="1" applyBorder="1" applyAlignment="1">
      <alignment vertical="top"/>
    </xf>
    <xf numFmtId="164" fontId="3" fillId="0" borderId="12" xfId="0" applyNumberFormat="1" applyFont="1" applyBorder="1" applyAlignment="1">
      <alignment vertical="top"/>
    </xf>
    <xf numFmtId="164" fontId="3" fillId="0" borderId="10" xfId="0" applyNumberFormat="1" applyFont="1" applyBorder="1" applyAlignment="1">
      <alignment vertical="top"/>
    </xf>
    <xf numFmtId="164" fontId="3" fillId="0" borderId="17" xfId="0" applyNumberFormat="1" applyFont="1" applyBorder="1" applyAlignment="1">
      <alignment vertical="top"/>
    </xf>
    <xf numFmtId="175" fontId="4" fillId="0" borderId="12" xfId="0" applyNumberFormat="1" applyFont="1" applyBorder="1" applyAlignment="1">
      <alignment vertical="top"/>
    </xf>
    <xf numFmtId="175" fontId="4" fillId="0" borderId="10" xfId="0" applyNumberFormat="1" applyFont="1" applyBorder="1" applyAlignment="1">
      <alignment vertical="top"/>
    </xf>
    <xf numFmtId="175" fontId="4" fillId="0" borderId="17" xfId="0" applyNumberFormat="1" applyFont="1" applyBorder="1" applyAlignment="1">
      <alignment vertical="top"/>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0" fillId="0" borderId="10" xfId="0"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165" fontId="0" fillId="0" borderId="10" xfId="0" applyNumberFormat="1" applyBorder="1" applyAlignment="1">
      <alignment vertical="top" wrapText="1"/>
    </xf>
    <xf numFmtId="174" fontId="3" fillId="0" borderId="12" xfId="0" applyNumberFormat="1" applyFont="1" applyBorder="1" applyAlignment="1">
      <alignment vertical="top"/>
    </xf>
    <xf numFmtId="174" fontId="3" fillId="0" borderId="10" xfId="0" applyNumberFormat="1" applyFont="1" applyBorder="1" applyAlignment="1">
      <alignment vertical="top"/>
    </xf>
    <xf numFmtId="174" fontId="3" fillId="0" borderId="17" xfId="0" applyNumberFormat="1" applyFont="1" applyBorder="1" applyAlignment="1">
      <alignment vertical="top"/>
    </xf>
    <xf numFmtId="0" fontId="13" fillId="4" borderId="11" xfId="0" applyFont="1" applyFill="1" applyBorder="1"/>
    <xf numFmtId="0" fontId="13" fillId="4" borderId="12" xfId="0" applyFont="1" applyFill="1" applyBorder="1"/>
    <xf numFmtId="0" fontId="13" fillId="4" borderId="13" xfId="0" applyFont="1" applyFill="1" applyBorder="1"/>
    <xf numFmtId="0" fontId="13" fillId="4" borderId="16" xfId="0" applyFont="1" applyFill="1" applyBorder="1"/>
    <xf numFmtId="0" fontId="13" fillId="4" borderId="17" xfId="0" applyFont="1" applyFill="1" applyBorder="1"/>
    <xf numFmtId="0" fontId="13" fillId="4" borderId="18" xfId="0" applyFont="1" applyFill="1" applyBorder="1"/>
    <xf numFmtId="175" fontId="13" fillId="4" borderId="12" xfId="0" applyNumberFormat="1" applyFont="1" applyFill="1" applyBorder="1"/>
    <xf numFmtId="175" fontId="13" fillId="4" borderId="17" xfId="0" applyNumberFormat="1" applyFont="1" applyFill="1" applyBorder="1"/>
    <xf numFmtId="165" fontId="0" fillId="0" borderId="12" xfId="0" applyNumberFormat="1" applyBorder="1" applyAlignment="1">
      <alignment vertical="top" wrapText="1"/>
    </xf>
    <xf numFmtId="165" fontId="0" fillId="0" borderId="17" xfId="0" applyNumberFormat="1" applyBorder="1" applyAlignment="1">
      <alignment vertical="top" wrapText="1"/>
    </xf>
    <xf numFmtId="2" fontId="0" fillId="0" borderId="12" xfId="0" applyNumberFormat="1" applyBorder="1" applyAlignment="1">
      <alignment vertical="top" wrapText="1"/>
    </xf>
    <xf numFmtId="2" fontId="0" fillId="0" borderId="10" xfId="0" applyNumberFormat="1" applyBorder="1" applyAlignment="1">
      <alignment vertical="top" wrapText="1"/>
    </xf>
    <xf numFmtId="165" fontId="11" fillId="0" borderId="12" xfId="0" applyNumberFormat="1" applyFont="1" applyBorder="1" applyAlignment="1">
      <alignment vertical="top" wrapText="1"/>
    </xf>
    <xf numFmtId="165" fontId="11" fillId="0" borderId="10" xfId="0" applyNumberFormat="1" applyFont="1" applyBorder="1" applyAlignment="1">
      <alignment vertical="top" wrapText="1"/>
    </xf>
    <xf numFmtId="165" fontId="3" fillId="0" borderId="12" xfId="0" applyNumberFormat="1" applyFont="1" applyBorder="1" applyAlignment="1">
      <alignment vertical="top" wrapText="1"/>
    </xf>
    <xf numFmtId="165" fontId="3" fillId="0" borderId="10" xfId="0" applyNumberFormat="1" applyFont="1" applyBorder="1" applyAlignment="1">
      <alignment vertical="top" wrapText="1"/>
    </xf>
    <xf numFmtId="165" fontId="4" fillId="0" borderId="10" xfId="0" applyNumberFormat="1" applyFont="1" applyBorder="1" applyAlignment="1">
      <alignment vertical="top" wrapText="1"/>
    </xf>
    <xf numFmtId="165" fontId="4" fillId="0" borderId="17" xfId="0" applyNumberFormat="1" applyFont="1" applyBorder="1" applyAlignment="1">
      <alignment vertical="top" wrapText="1"/>
    </xf>
    <xf numFmtId="164" fontId="4" fillId="0" borderId="10" xfId="0" applyNumberFormat="1" applyFont="1"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26" fillId="0" borderId="10" xfId="0" applyFont="1" applyBorder="1" applyAlignment="1">
      <alignment vertical="top" wrapText="1"/>
    </xf>
    <xf numFmtId="0" fontId="26" fillId="0" borderId="17" xfId="0" applyFont="1" applyBorder="1" applyAlignment="1">
      <alignment vertical="top" wrapText="1"/>
    </xf>
    <xf numFmtId="164" fontId="27" fillId="0" borderId="10" xfId="0" applyNumberFormat="1" applyFont="1" applyBorder="1" applyAlignment="1">
      <alignment vertical="top" wrapText="1"/>
    </xf>
    <xf numFmtId="0" fontId="20" fillId="0" borderId="12" xfId="1" applyBorder="1" applyAlignment="1">
      <alignment vertical="top" wrapText="1"/>
    </xf>
    <xf numFmtId="0" fontId="20" fillId="0" borderId="10" xfId="1" applyBorder="1" applyAlignment="1">
      <alignment vertical="top" wrapText="1"/>
    </xf>
    <xf numFmtId="174" fontId="3" fillId="0" borderId="10" xfId="0" applyNumberFormat="1" applyFont="1" applyBorder="1"/>
    <xf numFmtId="0" fontId="0" fillId="0" borderId="10" xfId="0" applyBorder="1" applyAlignment="1">
      <alignment wrapText="1"/>
    </xf>
    <xf numFmtId="0" fontId="3" fillId="0" borderId="10" xfId="0" applyFont="1" applyBorder="1" applyAlignment="1">
      <alignment wrapText="1"/>
    </xf>
    <xf numFmtId="3" fontId="4" fillId="0" borderId="10" xfId="0" applyNumberFormat="1" applyFont="1" applyBorder="1" applyAlignment="1">
      <alignment wrapText="1"/>
    </xf>
    <xf numFmtId="174" fontId="4" fillId="0" borderId="10" xfId="0" applyNumberFormat="1" applyFont="1" applyBorder="1" applyAlignment="1">
      <alignment wrapText="1"/>
    </xf>
    <xf numFmtId="176" fontId="4" fillId="0" borderId="10" xfId="0" applyNumberFormat="1" applyFont="1" applyBorder="1" applyAlignment="1">
      <alignment wrapText="1"/>
    </xf>
    <xf numFmtId="171" fontId="4" fillId="0" borderId="10" xfId="0" applyNumberFormat="1" applyFont="1" applyBorder="1" applyAlignment="1">
      <alignment wrapText="1"/>
    </xf>
    <xf numFmtId="0" fontId="4" fillId="0" borderId="10" xfId="0" applyFont="1" applyBorder="1" applyAlignment="1">
      <alignment wrapText="1"/>
    </xf>
    <xf numFmtId="4" fontId="3" fillId="0" borderId="10" xfId="0" applyNumberFormat="1" applyFont="1" applyBorder="1" applyAlignment="1">
      <alignment horizontal="right"/>
    </xf>
    <xf numFmtId="177" fontId="0" fillId="0" borderId="10" xfId="0" applyNumberFormat="1" applyBorder="1" applyAlignment="1">
      <alignment horizontal="right"/>
    </xf>
    <xf numFmtId="177" fontId="4" fillId="0" borderId="10" xfId="0" applyNumberFormat="1" applyFont="1" applyBorder="1" applyAlignment="1">
      <alignment horizontal="right"/>
    </xf>
    <xf numFmtId="178" fontId="3" fillId="0" borderId="10" xfId="0" applyNumberFormat="1" applyFont="1" applyBorder="1" applyAlignment="1">
      <alignment vertical="top" wrapText="1"/>
    </xf>
    <xf numFmtId="178" fontId="4" fillId="0" borderId="10" xfId="0" applyNumberFormat="1" applyFont="1" applyBorder="1" applyAlignment="1">
      <alignment vertical="top" wrapText="1"/>
    </xf>
    <xf numFmtId="2" fontId="3" fillId="0" borderId="12" xfId="0" applyNumberFormat="1" applyFont="1" applyBorder="1" applyAlignment="1">
      <alignment vertical="top" wrapText="1"/>
    </xf>
    <xf numFmtId="2" fontId="3" fillId="0" borderId="10" xfId="0" applyNumberFormat="1" applyFont="1" applyBorder="1" applyAlignment="1">
      <alignment vertical="top" wrapText="1"/>
    </xf>
    <xf numFmtId="174" fontId="3" fillId="0" borderId="10" xfId="0" applyNumberFormat="1" applyFont="1" applyBorder="1" applyAlignment="1">
      <alignment vertical="top" wrapText="1"/>
    </xf>
    <xf numFmtId="3" fontId="3" fillId="0" borderId="10" xfId="0" applyNumberFormat="1" applyFont="1" applyBorder="1" applyAlignment="1">
      <alignment vertical="top" wrapText="1"/>
    </xf>
    <xf numFmtId="176" fontId="3" fillId="0" borderId="10" xfId="0" applyNumberFormat="1" applyFont="1" applyBorder="1" applyAlignment="1">
      <alignment vertical="top" wrapText="1"/>
    </xf>
    <xf numFmtId="171" fontId="3" fillId="0" borderId="17" xfId="0" applyNumberFormat="1" applyFont="1" applyBorder="1" applyAlignment="1">
      <alignment vertical="top" wrapText="1"/>
    </xf>
    <xf numFmtId="174" fontId="3" fillId="0" borderId="10" xfId="0" applyNumberFormat="1" applyFont="1" applyBorder="1" applyAlignment="1">
      <alignment wrapText="1"/>
    </xf>
    <xf numFmtId="3" fontId="3" fillId="0" borderId="10" xfId="0" applyNumberFormat="1" applyFont="1" applyBorder="1" applyAlignment="1">
      <alignment wrapText="1"/>
    </xf>
    <xf numFmtId="168" fontId="3" fillId="0" borderId="10" xfId="0" applyNumberFormat="1" applyFont="1" applyBorder="1" applyAlignment="1">
      <alignment wrapText="1"/>
    </xf>
    <xf numFmtId="171" fontId="3" fillId="0" borderId="10" xfId="0" applyNumberFormat="1" applyFont="1" applyBorder="1" applyAlignment="1">
      <alignment wrapText="1"/>
    </xf>
    <xf numFmtId="171" fontId="11" fillId="0" borderId="10" xfId="0" applyNumberFormat="1" applyFont="1" applyBorder="1" applyAlignment="1">
      <alignment wrapText="1"/>
    </xf>
    <xf numFmtId="168" fontId="4" fillId="0" borderId="10" xfId="0" applyNumberFormat="1" applyFont="1" applyBorder="1" applyAlignment="1">
      <alignment wrapText="1"/>
    </xf>
    <xf numFmtId="0" fontId="28" fillId="0" borderId="10" xfId="0" applyFont="1" applyBorder="1" applyAlignment="1">
      <alignment wrapText="1"/>
    </xf>
    <xf numFmtId="0" fontId="20" fillId="0" borderId="0" xfId="1" applyAlignment="1">
      <alignment wrapText="1"/>
    </xf>
    <xf numFmtId="0" fontId="8" fillId="0" borderId="28" xfId="0" applyFont="1" applyBorder="1" applyAlignment="1">
      <alignment horizontal="left" vertical="center" wrapText="1"/>
    </xf>
    <xf numFmtId="0" fontId="8" fillId="0" borderId="29" xfId="0" applyFont="1" applyBorder="1" applyAlignment="1">
      <alignment horizontal="left" vertical="center" wrapText="1"/>
    </xf>
    <xf numFmtId="0" fontId="30" fillId="0" borderId="29" xfId="0" applyFont="1" applyBorder="1" applyAlignment="1">
      <alignment horizontal="right" vertical="center" wrapText="1"/>
    </xf>
    <xf numFmtId="0" fontId="8" fillId="0" borderId="30" xfId="0" applyFont="1" applyBorder="1" applyAlignment="1">
      <alignment horizontal="left" vertical="center" wrapText="1"/>
    </xf>
    <xf numFmtId="0" fontId="8" fillId="0" borderId="31" xfId="0" applyFont="1" applyBorder="1" applyAlignment="1">
      <alignment horizontal="left" vertical="center" wrapText="1"/>
    </xf>
    <xf numFmtId="0" fontId="8" fillId="0" borderId="27" xfId="0" applyFont="1" applyBorder="1" applyAlignment="1">
      <alignment horizontal="left" vertical="center" wrapText="1"/>
    </xf>
    <xf numFmtId="164" fontId="30" fillId="0" borderId="27" xfId="0" applyNumberFormat="1" applyFont="1" applyBorder="1" applyAlignment="1">
      <alignment horizontal="right" vertical="center" wrapText="1"/>
    </xf>
    <xf numFmtId="0" fontId="8" fillId="0" borderId="32" xfId="0" applyFont="1" applyBorder="1" applyAlignment="1">
      <alignment horizontal="left" vertical="center" wrapText="1"/>
    </xf>
    <xf numFmtId="168" fontId="30" fillId="0" borderId="27" xfId="0" applyNumberFormat="1" applyFont="1" applyBorder="1" applyAlignment="1">
      <alignment horizontal="right" vertical="center" wrapText="1"/>
    </xf>
    <xf numFmtId="164" fontId="31" fillId="0" borderId="27" xfId="0" applyNumberFormat="1" applyFont="1" applyBorder="1" applyAlignment="1">
      <alignment horizontal="right" vertical="center" wrapText="1"/>
    </xf>
    <xf numFmtId="0" fontId="8" fillId="0" borderId="33" xfId="0" applyFont="1" applyBorder="1" applyAlignment="1">
      <alignment horizontal="left" vertical="center" wrapText="1"/>
    </xf>
    <xf numFmtId="0" fontId="8" fillId="0" borderId="34" xfId="0" applyFont="1" applyBorder="1" applyAlignment="1">
      <alignment horizontal="left" vertical="center" wrapText="1"/>
    </xf>
    <xf numFmtId="165" fontId="31" fillId="0" borderId="34" xfId="0" applyNumberFormat="1" applyFont="1" applyBorder="1" applyAlignment="1">
      <alignment horizontal="right" vertical="center" wrapText="1"/>
    </xf>
    <xf numFmtId="0" fontId="8" fillId="0" borderId="35" xfId="0" applyFont="1" applyBorder="1" applyAlignment="1">
      <alignment horizontal="left" vertical="center" wrapText="1"/>
    </xf>
    <xf numFmtId="168" fontId="31" fillId="0" borderId="29" xfId="0" applyNumberFormat="1" applyFont="1" applyBorder="1" applyAlignment="1">
      <alignment horizontal="right" vertical="center" wrapText="1"/>
    </xf>
    <xf numFmtId="168" fontId="31" fillId="0" borderId="27" xfId="0" applyNumberFormat="1" applyFont="1" applyBorder="1" applyAlignment="1">
      <alignment horizontal="right" vertical="center" wrapText="1"/>
    </xf>
    <xf numFmtId="0" fontId="33" fillId="0" borderId="31" xfId="0" applyFont="1" applyBorder="1" applyAlignment="1">
      <alignment horizontal="left" vertical="center" wrapText="1"/>
    </xf>
    <xf numFmtId="0" fontId="33" fillId="0" borderId="27" xfId="0" applyFont="1" applyBorder="1" applyAlignment="1">
      <alignment horizontal="left" vertical="center" wrapText="1"/>
    </xf>
    <xf numFmtId="168" fontId="34" fillId="0" borderId="27" xfId="0" applyNumberFormat="1" applyFont="1" applyBorder="1" applyAlignment="1">
      <alignment horizontal="right" vertical="center" wrapText="1"/>
    </xf>
    <xf numFmtId="0" fontId="33" fillId="0" borderId="32" xfId="0" applyFont="1" applyBorder="1" applyAlignment="1">
      <alignment horizontal="left" vertical="center" wrapText="1"/>
    </xf>
    <xf numFmtId="164" fontId="8" fillId="0" borderId="29" xfId="0" applyNumberFormat="1" applyFont="1" applyBorder="1" applyAlignment="1">
      <alignment horizontal="right" vertical="center" wrapText="1"/>
    </xf>
    <xf numFmtId="164" fontId="8" fillId="0" borderId="27" xfId="0" applyNumberFormat="1" applyFont="1" applyBorder="1" applyAlignment="1">
      <alignment horizontal="right" vertical="center" wrapText="1"/>
    </xf>
    <xf numFmtId="165" fontId="8" fillId="0" borderId="27" xfId="0" applyNumberFormat="1" applyFont="1" applyBorder="1" applyAlignment="1">
      <alignment horizontal="right" vertical="center" wrapText="1"/>
    </xf>
    <xf numFmtId="165" fontId="8" fillId="0" borderId="34" xfId="0" applyNumberFormat="1" applyFont="1" applyBorder="1" applyAlignment="1">
      <alignment horizontal="right" vertical="center" wrapText="1"/>
    </xf>
    <xf numFmtId="0" fontId="37" fillId="0" borderId="28" xfId="0" applyFont="1" applyBorder="1" applyAlignment="1">
      <alignment horizontal="left" vertical="center" wrapText="1"/>
    </xf>
    <xf numFmtId="0" fontId="37" fillId="0" borderId="29" xfId="0" applyFont="1" applyBorder="1" applyAlignment="1">
      <alignment horizontal="left" vertical="center" wrapText="1"/>
    </xf>
    <xf numFmtId="0" fontId="37" fillId="0" borderId="30" xfId="0" applyFont="1" applyBorder="1" applyAlignment="1">
      <alignment horizontal="left" vertical="center" wrapText="1"/>
    </xf>
    <xf numFmtId="0" fontId="37" fillId="0" borderId="31" xfId="0" applyFont="1" applyBorder="1" applyAlignment="1">
      <alignment horizontal="left" vertical="center" wrapText="1"/>
    </xf>
    <xf numFmtId="0" fontId="37" fillId="0" borderId="27" xfId="0" applyFont="1" applyBorder="1" applyAlignment="1">
      <alignment horizontal="left" vertical="center" wrapText="1"/>
    </xf>
    <xf numFmtId="179" fontId="38" fillId="0" borderId="27" xfId="0" applyNumberFormat="1" applyFont="1" applyBorder="1" applyAlignment="1">
      <alignment horizontal="right" vertical="center" wrapText="1"/>
    </xf>
    <xf numFmtId="0" fontId="37" fillId="0" borderId="32" xfId="0" applyFont="1" applyBorder="1" applyAlignment="1">
      <alignment horizontal="left" vertical="center" wrapText="1"/>
    </xf>
    <xf numFmtId="0" fontId="37" fillId="0" borderId="33" xfId="0" applyFont="1" applyBorder="1" applyAlignment="1">
      <alignment horizontal="left" vertical="center" wrapText="1"/>
    </xf>
    <xf numFmtId="0" fontId="37" fillId="0" borderId="34" xfId="0" applyFont="1" applyBorder="1" applyAlignment="1">
      <alignment horizontal="left" vertical="center" wrapText="1"/>
    </xf>
    <xf numFmtId="0" fontId="37" fillId="0" borderId="35" xfId="0" applyFont="1" applyBorder="1" applyAlignment="1">
      <alignment horizontal="left" vertical="center" wrapText="1"/>
    </xf>
    <xf numFmtId="0" fontId="37" fillId="0" borderId="29" xfId="0" applyFont="1" applyBorder="1" applyAlignment="1">
      <alignment vertical="center" wrapText="1"/>
    </xf>
    <xf numFmtId="0" fontId="37" fillId="0" borderId="30" xfId="0" applyFont="1" applyBorder="1" applyAlignment="1">
      <alignment vertical="center" wrapText="1"/>
    </xf>
    <xf numFmtId="0" fontId="37" fillId="0" borderId="27" xfId="0" applyFont="1" applyBorder="1" applyAlignment="1">
      <alignment vertical="center" wrapText="1"/>
    </xf>
    <xf numFmtId="0" fontId="37" fillId="0" borderId="32" xfId="0" applyFont="1" applyBorder="1" applyAlignment="1">
      <alignment vertical="center" wrapText="1"/>
    </xf>
    <xf numFmtId="0" fontId="37" fillId="0" borderId="34" xfId="0" applyFont="1" applyBorder="1" applyAlignment="1">
      <alignment vertical="center" wrapText="1"/>
    </xf>
    <xf numFmtId="0" fontId="37" fillId="0" borderId="35" xfId="0" applyFont="1" applyBorder="1" applyAlignment="1">
      <alignment vertical="center" wrapText="1"/>
    </xf>
    <xf numFmtId="0" fontId="37" fillId="0" borderId="29" xfId="0" applyFont="1" applyBorder="1" applyAlignment="1">
      <alignment horizontal="right" vertical="center" wrapText="1"/>
    </xf>
    <xf numFmtId="179" fontId="37" fillId="0" borderId="27" xfId="0" applyNumberFormat="1" applyFont="1" applyBorder="1" applyAlignment="1">
      <alignment horizontal="left" vertical="center" wrapText="1"/>
    </xf>
    <xf numFmtId="0" fontId="37" fillId="0" borderId="27" xfId="0" applyFont="1" applyBorder="1" applyAlignment="1">
      <alignment horizontal="right" vertical="center" wrapText="1"/>
    </xf>
    <xf numFmtId="0" fontId="37" fillId="0" borderId="34" xfId="0" applyFont="1" applyBorder="1" applyAlignment="1">
      <alignment horizontal="right" vertical="center" wrapText="1"/>
    </xf>
    <xf numFmtId="0" fontId="38" fillId="0" borderId="29" xfId="0" applyFont="1" applyBorder="1" applyAlignment="1">
      <alignment horizontal="right" vertical="center" wrapText="1"/>
    </xf>
    <xf numFmtId="168" fontId="38" fillId="0" borderId="27" xfId="0" applyNumberFormat="1" applyFont="1" applyBorder="1" applyAlignment="1">
      <alignment horizontal="right" vertical="center" wrapText="1"/>
    </xf>
    <xf numFmtId="165" fontId="39" fillId="0" borderId="27" xfId="0" applyNumberFormat="1" applyFont="1" applyBorder="1" applyAlignment="1">
      <alignment horizontal="right" vertical="center" wrapText="1"/>
    </xf>
    <xf numFmtId="175" fontId="38" fillId="0" borderId="27" xfId="0" applyNumberFormat="1" applyFont="1" applyBorder="1" applyAlignment="1">
      <alignment horizontal="right" vertical="center" wrapText="1"/>
    </xf>
    <xf numFmtId="0" fontId="39" fillId="0" borderId="27" xfId="0" applyFont="1" applyBorder="1" applyAlignment="1">
      <alignment horizontal="right" vertical="center" wrapText="1"/>
    </xf>
    <xf numFmtId="0" fontId="37" fillId="0" borderId="28" xfId="0" applyFont="1" applyBorder="1" applyAlignment="1">
      <alignment vertical="center" wrapText="1"/>
    </xf>
    <xf numFmtId="0" fontId="37" fillId="0" borderId="31" xfId="0" applyFont="1" applyBorder="1" applyAlignment="1">
      <alignment vertical="center" wrapText="1"/>
    </xf>
    <xf numFmtId="0" fontId="37" fillId="0" borderId="33" xfId="0" applyFont="1" applyBorder="1" applyAlignment="1">
      <alignment vertical="center" wrapText="1"/>
    </xf>
    <xf numFmtId="179" fontId="38" fillId="0" borderId="27" xfId="0" applyNumberFormat="1" applyFont="1" applyBorder="1" applyAlignment="1">
      <alignment horizontal="left" vertical="center" wrapText="1"/>
    </xf>
    <xf numFmtId="164" fontId="38" fillId="0" borderId="27" xfId="0" applyNumberFormat="1" applyFont="1" applyBorder="1" applyAlignment="1">
      <alignment horizontal="left" vertical="center" wrapText="1"/>
    </xf>
    <xf numFmtId="0" fontId="8" fillId="0" borderId="0" xfId="0" applyFont="1" applyAlignment="1">
      <alignment vertical="center" wrapText="1"/>
    </xf>
    <xf numFmtId="0" fontId="8" fillId="0" borderId="0" xfId="0" applyFont="1" applyAlignment="1">
      <alignment horizontal="right" vertical="center" wrapText="1"/>
    </xf>
    <xf numFmtId="172" fontId="8" fillId="0" borderId="27" xfId="0" applyNumberFormat="1" applyFont="1" applyBorder="1" applyAlignment="1">
      <alignment vertical="center" wrapText="1"/>
    </xf>
    <xf numFmtId="0" fontId="8" fillId="0" borderId="27" xfId="0" applyFont="1" applyBorder="1" applyAlignment="1">
      <alignment vertical="center" wrapText="1"/>
    </xf>
    <xf numFmtId="164" fontId="8" fillId="0" borderId="27" xfId="0" applyNumberFormat="1" applyFont="1" applyBorder="1" applyAlignment="1">
      <alignment vertical="center" wrapText="1"/>
    </xf>
    <xf numFmtId="171" fontId="8" fillId="0" borderId="27" xfId="0" applyNumberFormat="1" applyFont="1" applyBorder="1" applyAlignment="1">
      <alignment vertical="center" wrapText="1"/>
    </xf>
    <xf numFmtId="0" fontId="33" fillId="0" borderId="27" xfId="0" applyFont="1" applyBorder="1" applyAlignment="1">
      <alignment vertical="center" wrapText="1"/>
    </xf>
    <xf numFmtId="168" fontId="8" fillId="0" borderId="27" xfId="0" applyNumberFormat="1" applyFont="1" applyBorder="1" applyAlignment="1">
      <alignment vertical="center" wrapText="1"/>
    </xf>
    <xf numFmtId="0" fontId="20" fillId="0" borderId="0" xfId="1" applyAlignment="1">
      <alignment vertical="center" wrapText="1"/>
    </xf>
    <xf numFmtId="0" fontId="37" fillId="0" borderId="10" xfId="0" applyFont="1" applyBorder="1" applyAlignment="1">
      <alignment vertical="center" wrapText="1"/>
    </xf>
    <xf numFmtId="164" fontId="38" fillId="0" borderId="10" xfId="0" applyNumberFormat="1" applyFont="1" applyBorder="1" applyAlignment="1">
      <alignment horizontal="right" vertical="center" wrapText="1"/>
    </xf>
    <xf numFmtId="165" fontId="38" fillId="0" borderId="10" xfId="0" applyNumberFormat="1" applyFont="1" applyBorder="1" applyAlignment="1">
      <alignment horizontal="right" vertical="center" wrapText="1"/>
    </xf>
    <xf numFmtId="0" fontId="37" fillId="0" borderId="10" xfId="0" applyFont="1" applyBorder="1" applyAlignment="1">
      <alignment horizontal="right" vertical="center" wrapText="1"/>
    </xf>
    <xf numFmtId="168" fontId="38" fillId="0" borderId="10" xfId="0" applyNumberFormat="1" applyFont="1" applyBorder="1" applyAlignment="1">
      <alignment horizontal="right" vertical="center" wrapText="1"/>
    </xf>
    <xf numFmtId="164" fontId="39" fillId="0" borderId="10" xfId="0" applyNumberFormat="1" applyFont="1" applyBorder="1" applyAlignment="1">
      <alignment vertical="center" wrapText="1"/>
    </xf>
    <xf numFmtId="164" fontId="39" fillId="0" borderId="10" xfId="0" applyNumberFormat="1" applyFont="1" applyBorder="1" applyAlignment="1">
      <alignment horizontal="right" vertical="center" wrapText="1"/>
    </xf>
    <xf numFmtId="164" fontId="42" fillId="10" borderId="10" xfId="0" applyNumberFormat="1" applyFont="1" applyFill="1" applyBorder="1" applyAlignment="1">
      <alignment horizontal="right" vertical="center" wrapText="1"/>
    </xf>
    <xf numFmtId="168" fontId="39" fillId="0" borderId="10" xfId="0" applyNumberFormat="1" applyFont="1" applyBorder="1" applyAlignment="1">
      <alignment horizontal="right" vertical="center" wrapText="1"/>
    </xf>
    <xf numFmtId="0" fontId="47" fillId="0" borderId="10" xfId="0" applyFont="1" applyBorder="1" applyAlignment="1">
      <alignment horizontal="right" vertical="center" wrapText="1"/>
    </xf>
    <xf numFmtId="0" fontId="37" fillId="0" borderId="0" xfId="0" applyFont="1" applyAlignment="1">
      <alignment horizontal="right" vertical="center" wrapText="1"/>
    </xf>
    <xf numFmtId="0" fontId="20" fillId="0" borderId="32" xfId="1" applyBorder="1" applyAlignment="1">
      <alignment horizontal="left" vertical="center" wrapText="1"/>
    </xf>
    <xf numFmtId="0" fontId="0" fillId="0" borderId="27" xfId="0" applyBorder="1" applyAlignment="1">
      <alignment horizontal="left" vertical="top" wrapText="1"/>
    </xf>
    <xf numFmtId="170" fontId="3" fillId="0" borderId="27" xfId="0" applyNumberFormat="1" applyFont="1" applyBorder="1" applyAlignment="1">
      <alignment horizontal="right" vertical="top" wrapText="1"/>
    </xf>
    <xf numFmtId="171" fontId="0" fillId="0" borderId="27" xfId="0" applyNumberFormat="1" applyBorder="1" applyAlignment="1">
      <alignment horizontal="right" vertical="top" wrapText="1"/>
    </xf>
    <xf numFmtId="171" fontId="3" fillId="0" borderId="27" xfId="0" applyNumberFormat="1" applyFont="1" applyBorder="1" applyAlignment="1">
      <alignment horizontal="right" vertical="top" wrapText="1"/>
    </xf>
    <xf numFmtId="0" fontId="0" fillId="0" borderId="27" xfId="0" applyBorder="1" applyAlignment="1">
      <alignment horizontal="right" vertical="top" wrapText="1"/>
    </xf>
    <xf numFmtId="3" fontId="3" fillId="0" borderId="27" xfId="0" applyNumberFormat="1" applyFont="1" applyBorder="1" applyAlignment="1">
      <alignment horizontal="right" vertical="top" wrapText="1"/>
    </xf>
    <xf numFmtId="170" fontId="0" fillId="0" borderId="27" xfId="0" applyNumberFormat="1" applyBorder="1" applyAlignment="1">
      <alignment horizontal="right" vertical="top" wrapText="1"/>
    </xf>
    <xf numFmtId="14" fontId="0" fillId="0" borderId="27" xfId="0" applyNumberFormat="1" applyBorder="1" applyAlignment="1">
      <alignment horizontal="left" vertical="top" wrapText="1"/>
    </xf>
    <xf numFmtId="11" fontId="0" fillId="0" borderId="27" xfId="0" applyNumberFormat="1" applyBorder="1" applyAlignment="1">
      <alignment horizontal="left" vertical="top" wrapText="1"/>
    </xf>
    <xf numFmtId="0" fontId="3" fillId="0" borderId="27" xfId="0" applyFont="1" applyBorder="1" applyAlignment="1">
      <alignment horizontal="right" vertical="top" wrapText="1"/>
    </xf>
    <xf numFmtId="0" fontId="0" fillId="16" borderId="0" xfId="0" applyFill="1"/>
    <xf numFmtId="168" fontId="11" fillId="17" borderId="41" xfId="0" applyNumberFormat="1" applyFont="1" applyFill="1" applyBorder="1"/>
    <xf numFmtId="2" fontId="11" fillId="17" borderId="41" xfId="0" applyNumberFormat="1" applyFont="1" applyFill="1" applyBorder="1"/>
    <xf numFmtId="168" fontId="3" fillId="17" borderId="41" xfId="0" applyNumberFormat="1" applyFont="1" applyFill="1" applyBorder="1"/>
    <xf numFmtId="165" fontId="3" fillId="17" borderId="41" xfId="0" applyNumberFormat="1" applyFont="1" applyFill="1" applyBorder="1"/>
    <xf numFmtId="1" fontId="11" fillId="17" borderId="41" xfId="0" applyNumberFormat="1" applyFont="1" applyFill="1" applyBorder="1"/>
    <xf numFmtId="168" fontId="4" fillId="17" borderId="41" xfId="0" applyNumberFormat="1" applyFont="1" applyFill="1" applyBorder="1"/>
    <xf numFmtId="168" fontId="11" fillId="0" borderId="41" xfId="0" applyNumberFormat="1" applyFont="1" applyBorder="1"/>
    <xf numFmtId="173" fontId="3" fillId="0" borderId="41" xfId="0" applyNumberFormat="1" applyFont="1" applyBorder="1"/>
    <xf numFmtId="168" fontId="3" fillId="0" borderId="41" xfId="0" applyNumberFormat="1" applyFont="1" applyBorder="1"/>
    <xf numFmtId="165" fontId="3" fillId="0" borderId="41" xfId="0" applyNumberFormat="1" applyFont="1" applyBorder="1"/>
    <xf numFmtId="165" fontId="4" fillId="0" borderId="41" xfId="0" applyNumberFormat="1" applyFont="1" applyBorder="1"/>
    <xf numFmtId="4" fontId="0" fillId="0" borderId="41" xfId="0" applyNumberFormat="1" applyBorder="1"/>
    <xf numFmtId="168" fontId="2" fillId="3" borderId="41" xfId="0" applyNumberFormat="1" applyFont="1" applyFill="1" applyBorder="1"/>
    <xf numFmtId="165" fontId="2" fillId="3" borderId="41" xfId="0" applyNumberFormat="1" applyFont="1" applyFill="1" applyBorder="1"/>
    <xf numFmtId="168" fontId="4" fillId="0" borderId="41" xfId="0" applyNumberFormat="1" applyFont="1" applyBorder="1"/>
    <xf numFmtId="164" fontId="11" fillId="0" borderId="41" xfId="0" applyNumberFormat="1" applyFont="1" applyBorder="1"/>
    <xf numFmtId="164" fontId="3" fillId="0" borderId="41" xfId="0" applyNumberFormat="1" applyFont="1" applyBorder="1"/>
    <xf numFmtId="164" fontId="4" fillId="0" borderId="41" xfId="0" applyNumberFormat="1" applyFont="1" applyBorder="1"/>
    <xf numFmtId="169" fontId="4" fillId="0" borderId="41" xfId="0" applyNumberFormat="1" applyFont="1" applyBorder="1"/>
    <xf numFmtId="169" fontId="3" fillId="0" borderId="41" xfId="0" applyNumberFormat="1" applyFont="1" applyBorder="1"/>
    <xf numFmtId="1" fontId="11" fillId="0" borderId="41" xfId="0" applyNumberFormat="1" applyFont="1" applyBorder="1"/>
    <xf numFmtId="165" fontId="11" fillId="0" borderId="41" xfId="0" applyNumberFormat="1" applyFont="1" applyBorder="1"/>
    <xf numFmtId="0" fontId="4" fillId="0" borderId="41" xfId="0" applyFont="1" applyBorder="1"/>
    <xf numFmtId="0" fontId="3" fillId="0" borderId="41" xfId="0" applyFont="1" applyBorder="1"/>
    <xf numFmtId="3" fontId="37" fillId="0" borderId="10" xfId="0" applyNumberFormat="1" applyFont="1" applyBorder="1" applyAlignment="1">
      <alignment horizontal="right" vertical="center" wrapText="1"/>
    </xf>
    <xf numFmtId="181" fontId="4" fillId="0" borderId="10" xfId="0" applyNumberFormat="1" applyFont="1" applyBorder="1" applyAlignment="1">
      <alignment wrapText="1"/>
    </xf>
    <xf numFmtId="171" fontId="11" fillId="21" borderId="27" xfId="0" applyNumberFormat="1" applyFont="1" applyFill="1" applyBorder="1" applyAlignment="1">
      <alignment horizontal="right" vertical="top" wrapText="1"/>
    </xf>
    <xf numFmtId="170" fontId="54" fillId="0" borderId="27" xfId="0" applyNumberFormat="1" applyFont="1" applyBorder="1" applyAlignment="1">
      <alignment horizontal="right" vertical="top" wrapText="1"/>
    </xf>
    <xf numFmtId="17" fontId="56" fillId="12" borderId="10" xfId="0" applyNumberFormat="1" applyFont="1" applyFill="1" applyBorder="1" applyAlignment="1">
      <alignment horizontal="right" vertical="center" wrapText="1"/>
    </xf>
    <xf numFmtId="0" fontId="2" fillId="3" borderId="41" xfId="0" applyFont="1" applyFill="1" applyBorder="1"/>
    <xf numFmtId="0" fontId="0" fillId="0" borderId="41" xfId="0" applyBorder="1"/>
    <xf numFmtId="0" fontId="37" fillId="0" borderId="0" xfId="0" applyFont="1" applyAlignment="1">
      <alignment vertical="center" wrapText="1"/>
    </xf>
    <xf numFmtId="0" fontId="2" fillId="20" borderId="0" xfId="0" applyFont="1" applyFill="1" applyAlignment="1">
      <alignment horizontal="center" wrapText="1"/>
    </xf>
    <xf numFmtId="0" fontId="2" fillId="20" borderId="0" xfId="0" applyFont="1" applyFill="1" applyAlignment="1">
      <alignment horizontal="right" wrapText="1"/>
    </xf>
    <xf numFmtId="0" fontId="2" fillId="13" borderId="0" xfId="0" applyFont="1" applyFill="1" applyAlignment="1">
      <alignment horizontal="center" wrapText="1"/>
    </xf>
    <xf numFmtId="0" fontId="2" fillId="13" borderId="0" xfId="0" applyFont="1" applyFill="1" applyAlignment="1">
      <alignment horizontal="left" wrapText="1"/>
    </xf>
    <xf numFmtId="0" fontId="6" fillId="2" borderId="0" xfId="0" applyFont="1" applyFill="1" applyAlignment="1">
      <alignment horizontal="left" wrapText="1"/>
    </xf>
    <xf numFmtId="0" fontId="6" fillId="2" borderId="0" xfId="0" applyFont="1" applyFill="1" applyAlignment="1">
      <alignment horizontal="center" wrapText="1"/>
    </xf>
    <xf numFmtId="164" fontId="6" fillId="2" borderId="0" xfId="0" applyNumberFormat="1" applyFont="1" applyFill="1" applyAlignment="1">
      <alignment horizontal="right" vertical="center"/>
    </xf>
    <xf numFmtId="168" fontId="6" fillId="2" borderId="0" xfId="0" applyNumberFormat="1" applyFont="1" applyFill="1" applyAlignment="1">
      <alignment horizontal="right" wrapText="1"/>
    </xf>
    <xf numFmtId="0" fontId="5" fillId="2" borderId="0" xfId="0" applyFont="1" applyFill="1" applyAlignment="1">
      <alignment wrapText="1"/>
    </xf>
    <xf numFmtId="164" fontId="6" fillId="2" borderId="0" xfId="0" applyNumberFormat="1" applyFont="1" applyFill="1" applyAlignment="1">
      <alignment horizontal="right" wrapText="1"/>
    </xf>
    <xf numFmtId="0" fontId="2" fillId="20" borderId="1" xfId="0" applyFont="1" applyFill="1" applyBorder="1" applyAlignment="1">
      <alignment horizontal="center" wrapText="1"/>
    </xf>
    <xf numFmtId="0" fontId="2" fillId="13" borderId="1" xfId="0" applyFont="1" applyFill="1" applyBorder="1" applyAlignment="1">
      <alignment wrapText="1"/>
    </xf>
    <xf numFmtId="170" fontId="15" fillId="13" borderId="1" xfId="0" applyNumberFormat="1" applyFont="1" applyFill="1" applyBorder="1" applyAlignment="1">
      <alignment horizontal="right" wrapText="1"/>
    </xf>
    <xf numFmtId="171" fontId="2" fillId="13" borderId="1" xfId="0" applyNumberFormat="1" applyFont="1" applyFill="1" applyBorder="1" applyAlignment="1">
      <alignment horizontal="right" wrapText="1"/>
    </xf>
    <xf numFmtId="170" fontId="6" fillId="13" borderId="1" xfId="0" applyNumberFormat="1" applyFont="1" applyFill="1" applyBorder="1" applyAlignment="1">
      <alignment horizontal="right" wrapText="1"/>
    </xf>
    <xf numFmtId="170" fontId="2" fillId="13" borderId="1" xfId="0" applyNumberFormat="1" applyFont="1" applyFill="1" applyBorder="1" applyAlignment="1">
      <alignment horizontal="right" wrapText="1"/>
    </xf>
    <xf numFmtId="0" fontId="0" fillId="21" borderId="1" xfId="0" applyFill="1" applyBorder="1" applyAlignment="1">
      <alignment wrapText="1"/>
    </xf>
    <xf numFmtId="171" fontId="0" fillId="21" borderId="1" xfId="0" applyNumberFormat="1" applyFill="1" applyBorder="1" applyAlignment="1">
      <alignment wrapText="1"/>
    </xf>
    <xf numFmtId="170" fontId="0" fillId="21" borderId="1" xfId="0" applyNumberFormat="1" applyFill="1" applyBorder="1" applyAlignment="1">
      <alignment wrapText="1"/>
    </xf>
    <xf numFmtId="0" fontId="21" fillId="15" borderId="0" xfId="0" applyFont="1" applyFill="1"/>
    <xf numFmtId="0" fontId="2" fillId="20" borderId="0" xfId="0" applyFont="1" applyFill="1" applyAlignment="1">
      <alignment horizontal="center"/>
    </xf>
    <xf numFmtId="0" fontId="2" fillId="12" borderId="0" xfId="0" applyFont="1" applyFill="1" applyAlignment="1">
      <alignment wrapText="1"/>
    </xf>
    <xf numFmtId="0" fontId="15" fillId="2" borderId="0" xfId="0" applyFont="1" applyFill="1" applyAlignment="1">
      <alignment wrapText="1"/>
    </xf>
    <xf numFmtId="165" fontId="15" fillId="2" borderId="0" xfId="0" applyNumberFormat="1" applyFont="1" applyFill="1" applyAlignment="1">
      <alignment wrapText="1"/>
    </xf>
    <xf numFmtId="0" fontId="17" fillId="21" borderId="1" xfId="0" applyFont="1" applyFill="1" applyBorder="1" applyAlignment="1">
      <alignment horizontal="center"/>
    </xf>
    <xf numFmtId="170" fontId="6" fillId="10" borderId="1" xfId="0" applyNumberFormat="1" applyFont="1" applyFill="1" applyBorder="1" applyAlignment="1">
      <alignment horizontal="right" wrapText="1"/>
    </xf>
    <xf numFmtId="0" fontId="2" fillId="13" borderId="0" xfId="0" applyFont="1" applyFill="1" applyAlignment="1">
      <alignment wrapText="1"/>
    </xf>
    <xf numFmtId="0" fontId="6" fillId="13" borderId="1" xfId="0" applyFont="1" applyFill="1" applyBorder="1" applyAlignment="1">
      <alignment wrapText="1"/>
    </xf>
    <xf numFmtId="0" fontId="17" fillId="13" borderId="1" xfId="0" applyFont="1" applyFill="1" applyBorder="1" applyAlignment="1">
      <alignment wrapText="1"/>
    </xf>
    <xf numFmtId="0" fontId="2" fillId="13" borderId="1" xfId="0" applyFont="1" applyFill="1" applyBorder="1" applyAlignment="1">
      <alignment horizontal="center" wrapText="1"/>
    </xf>
    <xf numFmtId="0" fontId="13" fillId="15" borderId="1" xfId="0" applyFont="1" applyFill="1" applyBorder="1" applyAlignment="1">
      <alignment wrapText="1"/>
    </xf>
    <xf numFmtId="3" fontId="6" fillId="15" borderId="1" xfId="0" applyNumberFormat="1" applyFont="1" applyFill="1" applyBorder="1" applyAlignment="1">
      <alignment horizontal="right" wrapText="1"/>
    </xf>
    <xf numFmtId="0" fontId="6" fillId="15" borderId="1" xfId="0" applyFont="1" applyFill="1" applyBorder="1" applyAlignment="1">
      <alignment wrapText="1"/>
    </xf>
    <xf numFmtId="0" fontId="13" fillId="15" borderId="1" xfId="0" applyFont="1" applyFill="1" applyBorder="1" applyAlignment="1">
      <alignment horizontal="center" wrapText="1"/>
    </xf>
    <xf numFmtId="0" fontId="2" fillId="13" borderId="2" xfId="0" applyFont="1" applyFill="1" applyBorder="1" applyAlignment="1">
      <alignment horizontal="center" wrapText="1"/>
    </xf>
    <xf numFmtId="0" fontId="1" fillId="15" borderId="5" xfId="0" applyFont="1" applyFill="1" applyBorder="1" applyAlignment="1">
      <alignment wrapText="1"/>
    </xf>
    <xf numFmtId="0" fontId="2" fillId="13" borderId="5" xfId="0" applyFont="1" applyFill="1" applyBorder="1" applyAlignment="1">
      <alignment wrapText="1"/>
    </xf>
    <xf numFmtId="0" fontId="2" fillId="13" borderId="1" xfId="0" applyFont="1" applyFill="1" applyBorder="1" applyAlignment="1">
      <alignment horizontal="right" wrapText="1"/>
    </xf>
    <xf numFmtId="0" fontId="18" fillId="13" borderId="3" xfId="0" applyFont="1" applyFill="1" applyBorder="1" applyAlignment="1">
      <alignment horizontal="center" wrapText="1"/>
    </xf>
    <xf numFmtId="0" fontId="1" fillId="15" borderId="1" xfId="0" applyFont="1" applyFill="1" applyBorder="1" applyAlignment="1">
      <alignment wrapText="1"/>
    </xf>
    <xf numFmtId="0" fontId="2" fillId="13" borderId="6" xfId="0" applyFont="1" applyFill="1" applyBorder="1" applyAlignment="1">
      <alignment wrapText="1"/>
    </xf>
    <xf numFmtId="0" fontId="25" fillId="8" borderId="19" xfId="0" applyFont="1" applyFill="1" applyBorder="1"/>
    <xf numFmtId="0" fontId="25" fillId="8" borderId="20" xfId="0" applyFont="1" applyFill="1" applyBorder="1"/>
    <xf numFmtId="0" fontId="25" fillId="8" borderId="21" xfId="0" applyFont="1" applyFill="1" applyBorder="1"/>
    <xf numFmtId="0" fontId="2" fillId="12" borderId="10" xfId="0" applyFont="1" applyFill="1" applyBorder="1" applyAlignment="1">
      <alignment horizontal="center" vertical="center" wrapText="1"/>
    </xf>
    <xf numFmtId="0" fontId="2" fillId="20" borderId="26" xfId="0" applyFont="1" applyFill="1" applyBorder="1" applyAlignment="1">
      <alignment wrapText="1"/>
    </xf>
    <xf numFmtId="165" fontId="6" fillId="10" borderId="10" xfId="0" applyNumberFormat="1" applyFont="1" applyFill="1" applyBorder="1" applyAlignment="1">
      <alignment vertical="top" wrapText="1"/>
    </xf>
    <xf numFmtId="165" fontId="6" fillId="10" borderId="23" xfId="0" applyNumberFormat="1" applyFont="1" applyFill="1" applyBorder="1" applyAlignment="1">
      <alignment vertical="top" wrapText="1"/>
    </xf>
    <xf numFmtId="0" fontId="0" fillId="21" borderId="11" xfId="0" applyFill="1" applyBorder="1" applyAlignment="1">
      <alignment vertical="top" wrapText="1"/>
    </xf>
    <xf numFmtId="0" fontId="0" fillId="21" borderId="12" xfId="0" applyFill="1" applyBorder="1" applyAlignment="1">
      <alignment vertical="top" wrapText="1"/>
    </xf>
    <xf numFmtId="165" fontId="0" fillId="21" borderId="12" xfId="0" applyNumberFormat="1" applyFill="1" applyBorder="1" applyAlignment="1">
      <alignment vertical="top" wrapText="1"/>
    </xf>
    <xf numFmtId="0" fontId="0" fillId="21" borderId="13" xfId="0" applyFill="1" applyBorder="1" applyAlignment="1">
      <alignment vertical="top" wrapText="1"/>
    </xf>
    <xf numFmtId="0" fontId="0" fillId="21" borderId="14" xfId="0" applyFill="1" applyBorder="1" applyAlignment="1">
      <alignment vertical="top" wrapText="1"/>
    </xf>
    <xf numFmtId="0" fontId="0" fillId="21" borderId="10" xfId="0" applyFill="1" applyBorder="1" applyAlignment="1">
      <alignment vertical="top" wrapText="1"/>
    </xf>
    <xf numFmtId="0" fontId="0" fillId="21" borderId="15" xfId="0" applyFill="1" applyBorder="1" applyAlignment="1">
      <alignment vertical="top" wrapText="1"/>
    </xf>
    <xf numFmtId="0" fontId="0" fillId="21" borderId="16" xfId="0" applyFill="1" applyBorder="1" applyAlignment="1">
      <alignment vertical="top" wrapText="1"/>
    </xf>
    <xf numFmtId="0" fontId="0" fillId="21" borderId="17" xfId="0" applyFill="1" applyBorder="1" applyAlignment="1">
      <alignment vertical="top" wrapText="1"/>
    </xf>
    <xf numFmtId="0" fontId="6" fillId="10" borderId="17" xfId="0" applyFont="1" applyFill="1" applyBorder="1" applyAlignment="1">
      <alignment vertical="top" wrapText="1"/>
    </xf>
    <xf numFmtId="0" fontId="0" fillId="21" borderId="18" xfId="0" applyFill="1" applyBorder="1" applyAlignment="1">
      <alignment vertical="top" wrapText="1"/>
    </xf>
    <xf numFmtId="0" fontId="2" fillId="12" borderId="10" xfId="0" applyFont="1" applyFill="1" applyBorder="1" applyAlignment="1">
      <alignment wrapText="1"/>
    </xf>
    <xf numFmtId="168" fontId="6" fillId="21" borderId="10" xfId="0" applyNumberFormat="1" applyFont="1" applyFill="1" applyBorder="1" applyAlignment="1">
      <alignment wrapText="1"/>
    </xf>
    <xf numFmtId="3" fontId="6" fillId="21" borderId="10" xfId="0" applyNumberFormat="1" applyFont="1" applyFill="1" applyBorder="1" applyAlignment="1">
      <alignment wrapText="1"/>
    </xf>
    <xf numFmtId="165" fontId="6" fillId="21" borderId="10" xfId="0" applyNumberFormat="1" applyFont="1" applyFill="1" applyBorder="1" applyAlignment="1">
      <alignment wrapText="1"/>
    </xf>
    <xf numFmtId="171" fontId="17" fillId="15" borderId="10" xfId="0" applyNumberFormat="1" applyFont="1" applyFill="1" applyBorder="1" applyAlignment="1">
      <alignment wrapText="1"/>
    </xf>
    <xf numFmtId="3" fontId="4" fillId="14" borderId="10" xfId="0" applyNumberFormat="1" applyFont="1" applyFill="1" applyBorder="1" applyAlignment="1">
      <alignment wrapText="1"/>
    </xf>
    <xf numFmtId="0" fontId="6" fillId="10" borderId="10" xfId="0" applyFont="1" applyFill="1" applyBorder="1" applyAlignment="1">
      <alignment wrapText="1"/>
    </xf>
    <xf numFmtId="0" fontId="35" fillId="12" borderId="27" xfId="0" applyFont="1" applyFill="1" applyBorder="1" applyAlignment="1">
      <alignment horizontal="center" vertical="center" wrapText="1"/>
    </xf>
    <xf numFmtId="165" fontId="40" fillId="21" borderId="27" xfId="0" applyNumberFormat="1" applyFont="1" applyFill="1" applyBorder="1" applyAlignment="1">
      <alignment horizontal="right" vertical="center" wrapText="1"/>
    </xf>
    <xf numFmtId="0" fontId="41" fillId="15" borderId="31" xfId="0" applyFont="1" applyFill="1" applyBorder="1" applyAlignment="1">
      <alignment horizontal="left" vertical="center" wrapText="1"/>
    </xf>
    <xf numFmtId="0" fontId="41" fillId="15" borderId="27" xfId="0" applyFont="1" applyFill="1" applyBorder="1" applyAlignment="1">
      <alignment horizontal="left" vertical="center" wrapText="1"/>
    </xf>
    <xf numFmtId="168" fontId="42" fillId="15" borderId="27" xfId="0" applyNumberFormat="1" applyFont="1" applyFill="1" applyBorder="1" applyAlignment="1">
      <alignment horizontal="right" vertical="center" wrapText="1"/>
    </xf>
    <xf numFmtId="175" fontId="40" fillId="21" borderId="27" xfId="0" applyNumberFormat="1" applyFont="1" applyFill="1" applyBorder="1" applyAlignment="1">
      <alignment horizontal="right" vertical="center" wrapText="1"/>
    </xf>
    <xf numFmtId="175" fontId="42" fillId="15" borderId="27" xfId="0" applyNumberFormat="1" applyFont="1" applyFill="1" applyBorder="1" applyAlignment="1">
      <alignment horizontal="right" vertical="center" wrapText="1"/>
    </xf>
    <xf numFmtId="171" fontId="40" fillId="21" borderId="27" xfId="0" applyNumberFormat="1" applyFont="1" applyFill="1" applyBorder="1" applyAlignment="1">
      <alignment horizontal="right" vertical="center" wrapText="1"/>
    </xf>
    <xf numFmtId="0" fontId="7" fillId="12" borderId="27" xfId="0" applyFont="1" applyFill="1" applyBorder="1" applyAlignment="1">
      <alignment horizontal="center" vertical="center" wrapText="1"/>
    </xf>
    <xf numFmtId="0" fontId="7" fillId="12" borderId="27" xfId="0" applyFont="1" applyFill="1" applyBorder="1" applyAlignment="1">
      <alignment horizontal="right" vertical="center" wrapText="1"/>
    </xf>
    <xf numFmtId="168" fontId="30" fillId="10" borderId="29" xfId="0" applyNumberFormat="1" applyFont="1" applyFill="1" applyBorder="1" applyAlignment="1">
      <alignment horizontal="right" vertical="center" wrapText="1"/>
    </xf>
    <xf numFmtId="168" fontId="30" fillId="10" borderId="27" xfId="0" applyNumberFormat="1" applyFont="1" applyFill="1" applyBorder="1" applyAlignment="1">
      <alignment horizontal="right" vertical="center" wrapText="1"/>
    </xf>
    <xf numFmtId="165" fontId="30" fillId="10" borderId="27" xfId="0" applyNumberFormat="1" applyFont="1" applyFill="1" applyBorder="1" applyAlignment="1">
      <alignment horizontal="right" vertical="center" wrapText="1"/>
    </xf>
    <xf numFmtId="175" fontId="30" fillId="21" borderId="27" xfId="0" applyNumberFormat="1" applyFont="1" applyFill="1" applyBorder="1" applyAlignment="1">
      <alignment horizontal="right" vertical="center" wrapText="1"/>
    </xf>
    <xf numFmtId="165" fontId="30" fillId="21" borderId="27" xfId="0" applyNumberFormat="1" applyFont="1" applyFill="1" applyBorder="1" applyAlignment="1">
      <alignment horizontal="right" vertical="center" wrapText="1"/>
    </xf>
    <xf numFmtId="168" fontId="32" fillId="21" borderId="27" xfId="0" applyNumberFormat="1" applyFont="1" applyFill="1" applyBorder="1" applyAlignment="1">
      <alignment horizontal="right" vertical="center" wrapText="1"/>
    </xf>
    <xf numFmtId="0" fontId="33" fillId="15" borderId="31" xfId="0" applyFont="1" applyFill="1" applyBorder="1" applyAlignment="1">
      <alignment horizontal="left" vertical="center" wrapText="1"/>
    </xf>
    <xf numFmtId="0" fontId="33" fillId="15" borderId="27" xfId="0" applyFont="1" applyFill="1" applyBorder="1" applyAlignment="1">
      <alignment horizontal="left" vertical="center" wrapText="1"/>
    </xf>
    <xf numFmtId="168" fontId="34" fillId="15" borderId="27" xfId="0" applyNumberFormat="1" applyFont="1" applyFill="1" applyBorder="1" applyAlignment="1">
      <alignment horizontal="right" vertical="center" wrapText="1"/>
    </xf>
    <xf numFmtId="164" fontId="34" fillId="15" borderId="27" xfId="0" applyNumberFormat="1" applyFont="1" applyFill="1" applyBorder="1" applyAlignment="1">
      <alignment horizontal="right" vertical="center" wrapText="1"/>
    </xf>
    <xf numFmtId="171" fontId="7" fillId="12" borderId="27" xfId="0" applyNumberFormat="1" applyFont="1" applyFill="1" applyBorder="1" applyAlignment="1">
      <alignment horizontal="center" vertical="center" wrapText="1"/>
    </xf>
    <xf numFmtId="0" fontId="35" fillId="12" borderId="10" xfId="0" applyFont="1" applyFill="1" applyBorder="1" applyAlignment="1">
      <alignment vertical="center" wrapText="1"/>
    </xf>
    <xf numFmtId="0" fontId="42" fillId="15" borderId="10" xfId="0" applyFont="1" applyFill="1" applyBorder="1" applyAlignment="1">
      <alignment vertical="center" wrapText="1"/>
    </xf>
    <xf numFmtId="164" fontId="42" fillId="15" borderId="10" xfId="0" applyNumberFormat="1" applyFont="1" applyFill="1" applyBorder="1" applyAlignment="1">
      <alignment horizontal="right" vertical="center" wrapText="1"/>
    </xf>
    <xf numFmtId="165" fontId="42" fillId="15" borderId="10" xfId="0" applyNumberFormat="1" applyFont="1" applyFill="1" applyBorder="1" applyAlignment="1">
      <alignment horizontal="right" vertical="center" wrapText="1"/>
    </xf>
    <xf numFmtId="0" fontId="42" fillId="15" borderId="10" xfId="0" applyFont="1" applyFill="1" applyBorder="1" applyAlignment="1">
      <alignment horizontal="right" vertical="center" wrapText="1"/>
    </xf>
    <xf numFmtId="0" fontId="35" fillId="12" borderId="10" xfId="0" applyFont="1" applyFill="1" applyBorder="1" applyAlignment="1">
      <alignment horizontal="right" vertical="center" wrapText="1"/>
    </xf>
    <xf numFmtId="171" fontId="46" fillId="21" borderId="10" xfId="0" applyNumberFormat="1" applyFont="1" applyFill="1" applyBorder="1" applyAlignment="1">
      <alignment vertical="center" wrapText="1"/>
    </xf>
    <xf numFmtId="171" fontId="46" fillId="21" borderId="10" xfId="0" applyNumberFormat="1" applyFont="1" applyFill="1" applyBorder="1" applyAlignment="1">
      <alignment horizontal="right" vertical="center" wrapText="1"/>
    </xf>
    <xf numFmtId="171" fontId="40" fillId="21" borderId="10" xfId="0" applyNumberFormat="1" applyFont="1" applyFill="1" applyBorder="1" applyAlignment="1">
      <alignment vertical="center" wrapText="1"/>
    </xf>
    <xf numFmtId="172" fontId="40" fillId="21" borderId="10" xfId="0" applyNumberFormat="1" applyFont="1" applyFill="1" applyBorder="1" applyAlignment="1">
      <alignment vertical="center" wrapText="1"/>
    </xf>
    <xf numFmtId="164" fontId="40" fillId="21" borderId="10" xfId="0" applyNumberFormat="1" applyFont="1" applyFill="1" applyBorder="1" applyAlignment="1">
      <alignment vertical="center" wrapText="1"/>
    </xf>
    <xf numFmtId="168" fontId="42" fillId="15" borderId="10" xfId="0" applyNumberFormat="1" applyFont="1" applyFill="1" applyBorder="1" applyAlignment="1">
      <alignment horizontal="right" vertical="center" wrapText="1"/>
    </xf>
    <xf numFmtId="168" fontId="42" fillId="0" borderId="10" xfId="0" applyNumberFormat="1" applyFont="1" applyBorder="1" applyAlignment="1">
      <alignment horizontal="right" vertical="center" wrapText="1"/>
    </xf>
    <xf numFmtId="165" fontId="42" fillId="0" borderId="10" xfId="0" applyNumberFormat="1" applyFont="1" applyBorder="1" applyAlignment="1">
      <alignment horizontal="right" vertical="center" wrapText="1"/>
    </xf>
    <xf numFmtId="0" fontId="42" fillId="0" borderId="10" xfId="0" applyFont="1" applyBorder="1" applyAlignment="1">
      <alignment vertical="center" wrapText="1"/>
    </xf>
    <xf numFmtId="180" fontId="42" fillId="0" borderId="10" xfId="0" applyNumberFormat="1" applyFont="1" applyBorder="1" applyAlignment="1">
      <alignment horizontal="right" vertical="center" wrapText="1"/>
    </xf>
    <xf numFmtId="0" fontId="40" fillId="0" borderId="10" xfId="0" applyFont="1" applyBorder="1" applyAlignment="1">
      <alignment horizontal="right" vertical="center" wrapText="1"/>
    </xf>
    <xf numFmtId="0" fontId="39" fillId="0" borderId="10" xfId="0" applyFont="1" applyBorder="1" applyAlignment="1">
      <alignment horizontal="right" vertical="center" wrapText="1"/>
    </xf>
    <xf numFmtId="0" fontId="39" fillId="0" borderId="10" xfId="0" applyFont="1" applyBorder="1" applyAlignment="1">
      <alignment vertical="center" wrapText="1"/>
    </xf>
    <xf numFmtId="171" fontId="40" fillId="21" borderId="10" xfId="0" applyNumberFormat="1" applyFont="1" applyFill="1" applyBorder="1" applyAlignment="1">
      <alignment horizontal="right" vertical="center" wrapText="1"/>
    </xf>
    <xf numFmtId="165" fontId="37" fillId="0" borderId="10" xfId="0" applyNumberFormat="1" applyFont="1" applyBorder="1" applyAlignment="1">
      <alignment horizontal="right" vertical="center" wrapText="1"/>
    </xf>
    <xf numFmtId="165" fontId="37" fillId="0" borderId="10" xfId="0" applyNumberFormat="1" applyFont="1" applyBorder="1" applyAlignment="1">
      <alignment vertical="center" wrapText="1"/>
    </xf>
    <xf numFmtId="165" fontId="40" fillId="21" borderId="10" xfId="0" applyNumberFormat="1" applyFont="1" applyFill="1" applyBorder="1" applyAlignment="1">
      <alignment horizontal="right" vertical="center" wrapText="1"/>
    </xf>
    <xf numFmtId="165" fontId="39" fillId="0" borderId="10" xfId="0" applyNumberFormat="1" applyFont="1" applyBorder="1" applyAlignment="1">
      <alignment horizontal="right" vertical="center" wrapText="1"/>
    </xf>
    <xf numFmtId="169" fontId="39" fillId="0" borderId="10" xfId="0" applyNumberFormat="1" applyFont="1" applyBorder="1" applyAlignment="1">
      <alignment horizontal="right" vertical="center" wrapText="1"/>
    </xf>
    <xf numFmtId="168" fontId="37" fillId="0" borderId="10" xfId="0" applyNumberFormat="1" applyFont="1" applyBorder="1" applyAlignment="1">
      <alignment vertical="center" wrapText="1"/>
    </xf>
    <xf numFmtId="168" fontId="37" fillId="0" borderId="10" xfId="0" applyNumberFormat="1" applyFont="1" applyBorder="1" applyAlignment="1">
      <alignment horizontal="right" vertical="center" wrapText="1"/>
    </xf>
    <xf numFmtId="0" fontId="7" fillId="20" borderId="27" xfId="0" applyFont="1" applyFill="1" applyBorder="1" applyAlignment="1">
      <alignment wrapText="1"/>
    </xf>
    <xf numFmtId="0" fontId="30" fillId="14" borderId="27" xfId="0" applyFont="1" applyFill="1" applyBorder="1" applyAlignment="1">
      <alignment wrapText="1"/>
    </xf>
    <xf numFmtId="170" fontId="30" fillId="14" borderId="27" xfId="0" applyNumberFormat="1" applyFont="1" applyFill="1" applyBorder="1" applyAlignment="1">
      <alignment wrapText="1"/>
    </xf>
    <xf numFmtId="0" fontId="32" fillId="21" borderId="27" xfId="0" applyFont="1" applyFill="1" applyBorder="1" applyAlignment="1">
      <alignment wrapText="1"/>
    </xf>
    <xf numFmtId="171" fontId="32" fillId="21" borderId="27" xfId="0" applyNumberFormat="1" applyFont="1" applyFill="1" applyBorder="1" applyAlignment="1">
      <alignment wrapText="1"/>
    </xf>
    <xf numFmtId="0" fontId="8" fillId="0" borderId="27" xfId="0" applyFont="1" applyBorder="1" applyAlignment="1">
      <alignment wrapText="1"/>
    </xf>
    <xf numFmtId="170" fontId="8" fillId="0" borderId="27" xfId="0" applyNumberFormat="1" applyFont="1" applyBorder="1" applyAlignment="1">
      <alignment wrapText="1"/>
    </xf>
    <xf numFmtId="171" fontId="8" fillId="0" borderId="27" xfId="0" applyNumberFormat="1" applyFont="1" applyBorder="1" applyAlignment="1">
      <alignment wrapText="1"/>
    </xf>
    <xf numFmtId="0" fontId="34" fillId="15" borderId="27" xfId="0" applyFont="1" applyFill="1" applyBorder="1" applyAlignment="1">
      <alignment wrapText="1"/>
    </xf>
    <xf numFmtId="171" fontId="34" fillId="15" borderId="27" xfId="0" applyNumberFormat="1" applyFont="1" applyFill="1" applyBorder="1" applyAlignment="1">
      <alignment wrapText="1"/>
    </xf>
    <xf numFmtId="0" fontId="2" fillId="20" borderId="0" xfId="0" applyFont="1" applyFill="1" applyAlignment="1">
      <alignment wrapText="1"/>
    </xf>
    <xf numFmtId="0" fontId="13" fillId="22" borderId="27" xfId="0" applyFont="1" applyFill="1" applyBorder="1" applyAlignment="1">
      <alignment horizontal="left" vertical="top" wrapText="1"/>
    </xf>
    <xf numFmtId="171" fontId="13" fillId="22" borderId="27" xfId="0" applyNumberFormat="1" applyFont="1" applyFill="1" applyBorder="1" applyAlignment="1">
      <alignment horizontal="right" vertical="top" wrapText="1"/>
    </xf>
    <xf numFmtId="0" fontId="16" fillId="21" borderId="1" xfId="0" applyFont="1" applyFill="1" applyBorder="1" applyAlignment="1">
      <alignment horizontal="center" wrapText="1"/>
    </xf>
    <xf numFmtId="0" fontId="6" fillId="21" borderId="1" xfId="0" applyFont="1" applyFill="1" applyBorder="1" applyAlignment="1">
      <alignment wrapText="1"/>
    </xf>
    <xf numFmtId="0" fontId="2" fillId="20" borderId="27" xfId="0" applyFont="1" applyFill="1" applyBorder="1" applyAlignment="1">
      <alignment horizontal="left" vertical="top"/>
    </xf>
    <xf numFmtId="0" fontId="17" fillId="0" borderId="27" xfId="0" applyFont="1" applyBorder="1" applyAlignment="1">
      <alignment horizontal="left" vertical="top" wrapText="1"/>
    </xf>
    <xf numFmtId="0" fontId="7" fillId="20" borderId="0" xfId="0" applyFont="1" applyFill="1" applyAlignment="1">
      <alignment horizontal="center"/>
    </xf>
    <xf numFmtId="164" fontId="2" fillId="20" borderId="0" xfId="0" applyNumberFormat="1" applyFont="1" applyFill="1" applyAlignment="1">
      <alignment horizontal="center"/>
    </xf>
    <xf numFmtId="0" fontId="2" fillId="20" borderId="0" xfId="0" applyFont="1" applyFill="1"/>
    <xf numFmtId="0" fontId="16" fillId="24" borderId="0" xfId="0" applyFont="1" applyFill="1" applyAlignment="1">
      <alignment wrapText="1"/>
    </xf>
    <xf numFmtId="0" fontId="9" fillId="13" borderId="0" xfId="0" applyFont="1" applyFill="1" applyAlignment="1">
      <alignment horizontal="center" vertical="center"/>
    </xf>
    <xf numFmtId="0" fontId="0" fillId="0" borderId="0" xfId="0"/>
    <xf numFmtId="0" fontId="2" fillId="13" borderId="0" xfId="0" applyFont="1" applyFill="1" applyAlignment="1">
      <alignment horizontal="center" wrapText="1"/>
    </xf>
    <xf numFmtId="0" fontId="1" fillId="15" borderId="0" xfId="0" applyFont="1" applyFill="1" applyAlignment="1">
      <alignment horizontal="left"/>
    </xf>
    <xf numFmtId="0" fontId="2" fillId="13" borderId="0" xfId="0" applyFont="1" applyFill="1" applyAlignment="1">
      <alignment horizontal="center"/>
    </xf>
    <xf numFmtId="0" fontId="1" fillId="15" borderId="0" xfId="0" applyFont="1" applyFill="1" applyAlignment="1">
      <alignment wrapText="1"/>
    </xf>
    <xf numFmtId="0" fontId="10" fillId="13" borderId="0" xfId="0" applyFont="1" applyFill="1" applyAlignment="1">
      <alignment horizontal="center" wrapText="1"/>
    </xf>
    <xf numFmtId="0" fontId="2" fillId="3" borderId="41" xfId="0" applyFont="1" applyFill="1" applyBorder="1"/>
    <xf numFmtId="0" fontId="0" fillId="0" borderId="41" xfId="0" applyBorder="1"/>
    <xf numFmtId="0" fontId="12" fillId="15" borderId="0" xfId="0" applyFont="1" applyFill="1"/>
    <xf numFmtId="0" fontId="22" fillId="17" borderId="0" xfId="0" applyFont="1" applyFill="1" applyAlignment="1">
      <alignment wrapText="1"/>
    </xf>
    <xf numFmtId="0" fontId="0" fillId="17" borderId="0" xfId="0" applyFill="1"/>
    <xf numFmtId="0" fontId="2" fillId="13" borderId="0" xfId="0" applyFont="1" applyFill="1"/>
    <xf numFmtId="0" fontId="17" fillId="21" borderId="1" xfId="0" applyFont="1" applyFill="1" applyBorder="1"/>
    <xf numFmtId="0" fontId="0" fillId="0" borderId="5" xfId="0" applyBorder="1"/>
    <xf numFmtId="0" fontId="2" fillId="13" borderId="2" xfId="0" applyFont="1" applyFill="1" applyBorder="1" applyAlignment="1">
      <alignment horizontal="center" wrapText="1"/>
    </xf>
    <xf numFmtId="0" fontId="0" fillId="0" borderId="37" xfId="0" applyBorder="1"/>
    <xf numFmtId="0" fontId="0" fillId="0" borderId="2" xfId="0" applyBorder="1"/>
    <xf numFmtId="0" fontId="1" fillId="15" borderId="5" xfId="0" applyFont="1" applyFill="1" applyBorder="1" applyAlignment="1">
      <alignment wrapText="1"/>
    </xf>
    <xf numFmtId="0" fontId="0" fillId="0" borderId="38" xfId="0" applyBorder="1"/>
    <xf numFmtId="0" fontId="2" fillId="13" borderId="4" xfId="0" applyFont="1" applyFill="1" applyBorder="1" applyAlignment="1">
      <alignment horizontal="center" wrapText="1"/>
    </xf>
    <xf numFmtId="0" fontId="1" fillId="15" borderId="6" xfId="0" applyFont="1" applyFill="1" applyBorder="1" applyAlignment="1">
      <alignment horizontal="center" wrapText="1"/>
    </xf>
    <xf numFmtId="0" fontId="10" fillId="13" borderId="0" xfId="0" applyFont="1" applyFill="1" applyAlignment="1">
      <alignment horizontal="center" vertical="center"/>
    </xf>
    <xf numFmtId="0" fontId="2" fillId="13" borderId="39" xfId="0" applyFont="1" applyFill="1" applyBorder="1" applyAlignment="1">
      <alignment horizontal="center" vertical="center"/>
    </xf>
    <xf numFmtId="0" fontId="0" fillId="0" borderId="39" xfId="0" applyBorder="1"/>
    <xf numFmtId="0" fontId="23" fillId="14" borderId="0" xfId="0" applyFont="1" applyFill="1" applyAlignment="1">
      <alignment vertical="center" wrapText="1"/>
    </xf>
    <xf numFmtId="0" fontId="2" fillId="13" borderId="0" xfId="0" applyFont="1" applyFill="1" applyAlignment="1">
      <alignment horizontal="left" vertical="center"/>
    </xf>
    <xf numFmtId="0" fontId="2" fillId="11" borderId="40" xfId="0" applyFont="1" applyFill="1" applyBorder="1"/>
    <xf numFmtId="0" fontId="0" fillId="0" borderId="24" xfId="0" applyBorder="1"/>
    <xf numFmtId="0" fontId="0" fillId="0" borderId="25" xfId="0" applyBorder="1"/>
    <xf numFmtId="0" fontId="1" fillId="5" borderId="0" xfId="0" applyFont="1" applyFill="1"/>
    <xf numFmtId="0" fontId="10" fillId="11" borderId="40" xfId="0" applyFont="1" applyFill="1" applyBorder="1" applyAlignment="1">
      <alignment horizontal="left"/>
    </xf>
    <xf numFmtId="0" fontId="10" fillId="6" borderId="0" xfId="0" applyFont="1" applyFill="1" applyAlignment="1">
      <alignment wrapText="1"/>
    </xf>
    <xf numFmtId="0" fontId="2" fillId="6" borderId="10" xfId="0" applyFont="1" applyFill="1" applyBorder="1" applyAlignment="1">
      <alignment wrapText="1"/>
    </xf>
    <xf numFmtId="0" fontId="0" fillId="0" borderId="36" xfId="0" applyBorder="1"/>
    <xf numFmtId="0" fontId="0" fillId="0" borderId="14" xfId="0" applyBorder="1"/>
    <xf numFmtId="0" fontId="28" fillId="8" borderId="10" xfId="0" applyFont="1" applyFill="1" applyBorder="1" applyAlignment="1">
      <alignment wrapText="1"/>
    </xf>
    <xf numFmtId="0" fontId="2" fillId="6" borderId="0" xfId="0" applyFont="1" applyFill="1" applyAlignment="1">
      <alignment wrapText="1"/>
    </xf>
    <xf numFmtId="0" fontId="28" fillId="7" borderId="0" xfId="0" applyFont="1" applyFill="1" applyAlignment="1">
      <alignment wrapText="1"/>
    </xf>
    <xf numFmtId="0" fontId="35" fillId="13" borderId="0" xfId="0" applyFont="1" applyFill="1" applyAlignment="1">
      <alignment vertical="center" wrapText="1"/>
    </xf>
    <xf numFmtId="0" fontId="43" fillId="13" borderId="0" xfId="0" applyFont="1" applyFill="1" applyAlignment="1">
      <alignment vertical="center" wrapText="1"/>
    </xf>
    <xf numFmtId="0" fontId="37" fillId="0" borderId="0" xfId="0" applyFont="1" applyAlignment="1">
      <alignment vertical="center" wrapText="1"/>
    </xf>
    <xf numFmtId="0" fontId="36" fillId="0" borderId="0" xfId="0" applyFont="1" applyAlignment="1">
      <alignment vertical="center" wrapText="1"/>
    </xf>
    <xf numFmtId="0" fontId="7" fillId="13" borderId="0" xfId="0" applyFont="1" applyFill="1" applyAlignment="1">
      <alignment vertical="center" wrapText="1"/>
    </xf>
    <xf numFmtId="0" fontId="29" fillId="0" borderId="0" xfId="0" applyFont="1" applyAlignment="1">
      <alignment vertical="center" wrapText="1"/>
    </xf>
    <xf numFmtId="0" fontId="44" fillId="11" borderId="10" xfId="0" applyFont="1" applyFill="1" applyBorder="1" applyAlignment="1">
      <alignment vertical="center" wrapText="1"/>
    </xf>
    <xf numFmtId="0" fontId="35" fillId="11" borderId="10" xfId="0" applyFont="1" applyFill="1" applyBorder="1" applyAlignment="1">
      <alignment vertical="center" wrapText="1"/>
    </xf>
    <xf numFmtId="0" fontId="36" fillId="9" borderId="0" xfId="0" applyFont="1" applyFill="1" applyAlignment="1">
      <alignment vertical="center" wrapText="1"/>
    </xf>
    <xf numFmtId="0" fontId="45" fillId="14" borderId="10" xfId="0" applyFont="1" applyFill="1" applyBorder="1" applyAlignment="1">
      <alignment vertical="center" wrapText="1"/>
    </xf>
    <xf numFmtId="0" fontId="1" fillId="19" borderId="0" xfId="0" applyFont="1" applyFill="1" applyAlignment="1">
      <alignment wrapText="1"/>
    </xf>
    <xf numFmtId="0" fontId="1" fillId="23" borderId="0" xfId="0" applyFont="1" applyFill="1" applyAlignment="1">
      <alignment wrapText="1"/>
    </xf>
    <xf numFmtId="0" fontId="2" fillId="18" borderId="0" xfId="0" applyFont="1" applyFill="1" applyAlignment="1">
      <alignment wrapText="1"/>
    </xf>
    <xf numFmtId="0" fontId="7" fillId="13" borderId="0" xfId="0" applyFont="1" applyFill="1"/>
    <xf numFmtId="0" fontId="57" fillId="23" borderId="0" xfId="0" applyFont="1" applyFill="1"/>
    <xf numFmtId="0" fontId="55" fillId="14" borderId="10" xfId="0" applyFont="1" applyFill="1" applyBorder="1" applyAlignment="1">
      <alignment vertical="center" wrapText="1"/>
    </xf>
    <xf numFmtId="0" fontId="16" fillId="15" borderId="1" xfId="0" applyFont="1" applyFill="1" applyBorder="1"/>
    <xf numFmtId="0" fontId="0" fillId="24" borderId="0" xfId="0" applyFill="1" applyAlignment="1">
      <alignment wrapText="1"/>
    </xf>
    <xf numFmtId="0" fontId="0" fillId="24" borderId="0" xfId="0" applyFill="1"/>
    <xf numFmtId="0" fontId="1" fillId="19" borderId="0" xfId="0" applyFont="1" applyFill="1"/>
    <xf numFmtId="0" fontId="10" fillId="18" borderId="0" xfId="0" applyFont="1" applyFill="1"/>
  </cellXfs>
  <cellStyles count="2">
    <cellStyle name="Hyperlink" xfId="1" xr:uid="{00000000-0005-0000-0000-000000000000}"/>
    <cellStyle name="Normal" xfId="0" builtinId="0"/>
  </cellStyles>
  <dxfs count="2">
    <dxf>
      <fill>
        <patternFill>
          <bgColor rgb="FFFFF2CC"/>
        </patternFill>
      </fill>
    </dxf>
    <dxf>
      <font>
        <b/>
        <color rgb="FF990000"/>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vi-VN"/>
              <a:t>Revenue by Chain (VND bn)</a:t>
            </a:r>
          </a:p>
        </c:rich>
      </c:tx>
      <c:overlay val="1"/>
    </c:title>
    <c:autoTitleDeleted val="0"/>
    <c:plotArea>
      <c:layout/>
      <c:barChart>
        <c:barDir val="col"/>
        <c:grouping val="stacked"/>
        <c:varyColors val="0"/>
        <c:ser>
          <c:idx val="0"/>
          <c:order val="0"/>
          <c:tx>
            <c:v>TGDĐ/TopZone</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'103_Raw_Segment_Inputs'!$B$4:$B$8</c:f>
              <c:numCache>
                <c:formatCode>#,##0;[Red]\(#,##0\);\-</c:formatCode>
                <c:ptCount val="5"/>
                <c:pt idx="0">
                  <c:v>31600.205999999998</c:v>
                </c:pt>
                <c:pt idx="1">
                  <c:v>35000</c:v>
                </c:pt>
                <c:pt idx="2">
                  <c:v>28000</c:v>
                </c:pt>
                <c:pt idx="3">
                  <c:v>30000</c:v>
                </c:pt>
                <c:pt idx="4">
                  <c:v>37300</c:v>
                </c:pt>
              </c:numCache>
            </c:numRef>
          </c:val>
          <c:extLst>
            <c:ext xmlns:c16="http://schemas.microsoft.com/office/drawing/2014/chart" uri="{C3380CC4-5D6E-409C-BE32-E72D297353CC}">
              <c16:uniqueId val="{00000000-2C20-48EF-B092-8E7C13556D9E}"/>
            </c:ext>
          </c:extLst>
        </c:ser>
        <c:ser>
          <c:idx val="1"/>
          <c:order val="1"/>
          <c:tx>
            <c:v>ĐMX</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'103_Raw_Segment_Inputs'!$C$4:$C$8</c:f>
              <c:numCache>
                <c:formatCode>#,##0;[Red]\(#,##0\);\-</c:formatCode>
                <c:ptCount val="5"/>
                <c:pt idx="0">
                  <c:v>62708.58</c:v>
                </c:pt>
                <c:pt idx="1">
                  <c:v>69000</c:v>
                </c:pt>
                <c:pt idx="2">
                  <c:v>55000</c:v>
                </c:pt>
                <c:pt idx="3">
                  <c:v>59500</c:v>
                </c:pt>
                <c:pt idx="4">
                  <c:v>68400</c:v>
                </c:pt>
              </c:numCache>
            </c:numRef>
          </c:val>
          <c:extLst>
            <c:ext xmlns:c16="http://schemas.microsoft.com/office/drawing/2014/chart" uri="{C3380CC4-5D6E-409C-BE32-E72D297353CC}">
              <c16:uniqueId val="{00000001-2C20-48EF-B092-8E7C13556D9E}"/>
            </c:ext>
          </c:extLst>
        </c:ser>
        <c:ser>
          <c:idx val="2"/>
          <c:order val="2"/>
          <c:tx>
            <c:v>BHX</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'103_Raw_Segment_Inputs'!$D$4:$D$8</c:f>
              <c:numCache>
                <c:formatCode>#,##0;[Red]\(#,##0\);\-</c:formatCode>
                <c:ptCount val="5"/>
                <c:pt idx="0">
                  <c:v>28200</c:v>
                </c:pt>
                <c:pt idx="1">
                  <c:v>27000</c:v>
                </c:pt>
                <c:pt idx="2">
                  <c:v>31600</c:v>
                </c:pt>
                <c:pt idx="3">
                  <c:v>41100</c:v>
                </c:pt>
                <c:pt idx="4">
                  <c:v>46900</c:v>
                </c:pt>
              </c:numCache>
            </c:numRef>
          </c:val>
          <c:extLst>
            <c:ext xmlns:c16="http://schemas.microsoft.com/office/drawing/2014/chart" uri="{C3380CC4-5D6E-409C-BE32-E72D297353CC}">
              <c16:uniqueId val="{00000002-2C20-48EF-B092-8E7C13556D9E}"/>
            </c:ext>
          </c:extLst>
        </c:ser>
        <c:ser>
          <c:idx val="3"/>
          <c:order val="3"/>
          <c:tx>
            <c:v>An Khang</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'103_Raw_Segment_Inputs'!$E$4:$E$8</c:f>
              <c:numCache>
                <c:formatCode>#,##0;[Red]\(#,##0\);\-</c:formatCode>
                <c:ptCount val="5"/>
                <c:pt idx="0">
                  <c:v>0</c:v>
                </c:pt>
                <c:pt idx="1">
                  <c:v>1500</c:v>
                </c:pt>
                <c:pt idx="2">
                  <c:v>2200</c:v>
                </c:pt>
                <c:pt idx="3">
                  <c:v>2300</c:v>
                </c:pt>
                <c:pt idx="4">
                  <c:v>2200</c:v>
                </c:pt>
              </c:numCache>
            </c:numRef>
          </c:val>
          <c:extLst>
            <c:ext xmlns:c16="http://schemas.microsoft.com/office/drawing/2014/chart" uri="{C3380CC4-5D6E-409C-BE32-E72D297353CC}">
              <c16:uniqueId val="{00000003-2C20-48EF-B092-8E7C13556D9E}"/>
            </c:ext>
          </c:extLst>
        </c:ser>
        <c:ser>
          <c:idx val="4"/>
          <c:order val="4"/>
          <c:tx>
            <c:v>AVAKids</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'103_Raw_Segment_Inputs'!$F$4:$F$8</c:f>
              <c:numCache>
                <c:formatCode>#,##0;[Red]\(#,##0\);\-</c:formatCode>
                <c:ptCount val="5"/>
                <c:pt idx="0">
                  <c:v>0</c:v>
                </c:pt>
                <c:pt idx="1">
                  <c:v>600</c:v>
                </c:pt>
                <c:pt idx="2">
                  <c:v>900</c:v>
                </c:pt>
                <c:pt idx="3">
                  <c:v>1200</c:v>
                </c:pt>
                <c:pt idx="4">
                  <c:v>1400</c:v>
                </c:pt>
              </c:numCache>
            </c:numRef>
          </c:val>
          <c:extLst>
            <c:ext xmlns:c16="http://schemas.microsoft.com/office/drawing/2014/chart" uri="{C3380CC4-5D6E-409C-BE32-E72D297353CC}">
              <c16:uniqueId val="{00000004-2C20-48EF-B092-8E7C13556D9E}"/>
            </c:ext>
          </c:extLst>
        </c:ser>
        <c:ser>
          <c:idx val="5"/>
          <c:order val="5"/>
          <c:tx>
            <c:v>Other/Rounding</c:v>
          </c:tx>
          <c:spPr>
            <a:ln>
              <a:prstDash val="solid"/>
            </a:ln>
          </c:spPr>
          <c:invertIfNegative val="0"/>
          <c:cat>
            <c:strRef>
              <c:f>'103_Raw_Segment_Inputs'!$A$4:$A$8</c:f>
              <c:strCache>
                <c:ptCount val="5"/>
                <c:pt idx="0">
                  <c:v>2021A</c:v>
                </c:pt>
                <c:pt idx="1">
                  <c:v>2022A</c:v>
                </c:pt>
                <c:pt idx="2">
                  <c:v>2023A</c:v>
                </c:pt>
                <c:pt idx="3">
                  <c:v>2024A</c:v>
                </c:pt>
                <c:pt idx="4">
                  <c:v>2025A</c:v>
                </c:pt>
              </c:strCache>
            </c:strRef>
          </c:cat>
          <c:val>
            <c:numRef>
              <c:f>'103_Raw_Segment_Inputs'!$G$4:$G$8</c:f>
              <c:numCache>
                <c:formatCode>#,##0;[Red]\(#,##0\);\-</c:formatCode>
                <c:ptCount val="5"/>
                <c:pt idx="0">
                  <c:v>449.21400000000722</c:v>
                </c:pt>
                <c:pt idx="1">
                  <c:v>305</c:v>
                </c:pt>
                <c:pt idx="2">
                  <c:v>580</c:v>
                </c:pt>
                <c:pt idx="3">
                  <c:v>241</c:v>
                </c:pt>
                <c:pt idx="4">
                  <c:v>-272</c:v>
                </c:pt>
              </c:numCache>
            </c:numRef>
          </c:val>
          <c:extLst>
            <c:ext xmlns:c16="http://schemas.microsoft.com/office/drawing/2014/chart" uri="{C3380CC4-5D6E-409C-BE32-E72D297353CC}">
              <c16:uniqueId val="{00000005-2C20-48EF-B092-8E7C13556D9E}"/>
            </c:ext>
          </c:extLst>
        </c:ser>
        <c:dLbls>
          <c:showLegendKey val="0"/>
          <c:showVal val="0"/>
          <c:showCatName val="0"/>
          <c:showSerName val="0"/>
          <c:showPercent val="0"/>
          <c:showBubbleSize val="0"/>
        </c:dLbls>
        <c:gapWidth val="150"/>
        <c:overlap val="10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vi-VN"/>
              <a:t>Ending Store Count by Chain</a:t>
            </a:r>
          </a:p>
        </c:rich>
      </c:tx>
      <c:overlay val="1"/>
    </c:title>
    <c:autoTitleDeleted val="0"/>
    <c:plotArea>
      <c:layout/>
      <c:lineChart>
        <c:grouping val="standard"/>
        <c:varyColors val="1"/>
        <c:ser>
          <c:idx val="0"/>
          <c:order val="0"/>
          <c:tx>
            <c:v>TGDĐ/TopZone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'103_Raw_Segment_Inputs'!$B$12:$B$16</c:f>
              <c:numCache>
                <c:formatCode>#,##0;[Red]\(#,##0\);\-</c:formatCode>
                <c:ptCount val="5"/>
                <c:pt idx="0">
                  <c:v>970</c:v>
                </c:pt>
                <c:pt idx="1">
                  <c:v>1190</c:v>
                </c:pt>
                <c:pt idx="2">
                  <c:v>1078</c:v>
                </c:pt>
                <c:pt idx="3">
                  <c:v>1021</c:v>
                </c:pt>
                <c:pt idx="4">
                  <c:v>1012</c:v>
                </c:pt>
              </c:numCache>
            </c:numRef>
          </c:val>
          <c:smooth val="1"/>
          <c:extLst>
            <c:ext xmlns:c16="http://schemas.microsoft.com/office/drawing/2014/chart" uri="{C3380CC4-5D6E-409C-BE32-E72D297353CC}">
              <c16:uniqueId val="{00000000-3090-4319-990D-F8DBFCE7F1B0}"/>
            </c:ext>
          </c:extLst>
        </c:ser>
        <c:ser>
          <c:idx val="1"/>
          <c:order val="1"/>
          <c:tx>
            <c:v>ĐMX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'103_Raw_Segment_Inputs'!$C$12:$C$16</c:f>
              <c:numCache>
                <c:formatCode>#,##0;[Red]\(#,##0\);\-</c:formatCode>
                <c:ptCount val="5"/>
                <c:pt idx="0">
                  <c:v>1992</c:v>
                </c:pt>
                <c:pt idx="1">
                  <c:v>2284</c:v>
                </c:pt>
                <c:pt idx="2">
                  <c:v>2190</c:v>
                </c:pt>
                <c:pt idx="3">
                  <c:v>2026</c:v>
                </c:pt>
                <c:pt idx="4">
                  <c:v>2008</c:v>
                </c:pt>
              </c:numCache>
            </c:numRef>
          </c:val>
          <c:smooth val="1"/>
          <c:extLst>
            <c:ext xmlns:c16="http://schemas.microsoft.com/office/drawing/2014/chart" uri="{C3380CC4-5D6E-409C-BE32-E72D297353CC}">
              <c16:uniqueId val="{00000001-3090-4319-990D-F8DBFCE7F1B0}"/>
            </c:ext>
          </c:extLst>
        </c:ser>
        <c:ser>
          <c:idx val="2"/>
          <c:order val="2"/>
          <c:tx>
            <c:v>BHX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'103_Raw_Segment_Inputs'!$D$12:$D$16</c:f>
              <c:numCache>
                <c:formatCode>#,##0;[Red]\(#,##0\);\-</c:formatCode>
                <c:ptCount val="5"/>
                <c:pt idx="0">
                  <c:v>2106</c:v>
                </c:pt>
                <c:pt idx="1">
                  <c:v>1728</c:v>
                </c:pt>
                <c:pt idx="2">
                  <c:v>1698</c:v>
                </c:pt>
                <c:pt idx="3">
                  <c:v>1770</c:v>
                </c:pt>
                <c:pt idx="4">
                  <c:v>2559</c:v>
                </c:pt>
              </c:numCache>
            </c:numRef>
          </c:val>
          <c:smooth val="1"/>
          <c:extLst>
            <c:ext xmlns:c16="http://schemas.microsoft.com/office/drawing/2014/chart" uri="{C3380CC4-5D6E-409C-BE32-E72D297353CC}">
              <c16:uniqueId val="{00000002-3090-4319-990D-F8DBFCE7F1B0}"/>
            </c:ext>
          </c:extLst>
        </c:ser>
        <c:ser>
          <c:idx val="3"/>
          <c:order val="3"/>
          <c:tx>
            <c:v>An Khang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'103_Raw_Segment_Inputs'!$E$12:$E$16</c:f>
              <c:numCache>
                <c:formatCode>#,##0;[Red]\(#,##0\);\-</c:formatCode>
                <c:ptCount val="5"/>
                <c:pt idx="0">
                  <c:v>178</c:v>
                </c:pt>
                <c:pt idx="1">
                  <c:v>500</c:v>
                </c:pt>
                <c:pt idx="2">
                  <c:v>527</c:v>
                </c:pt>
                <c:pt idx="3">
                  <c:v>326</c:v>
                </c:pt>
                <c:pt idx="4">
                  <c:v>382</c:v>
                </c:pt>
              </c:numCache>
            </c:numRef>
          </c:val>
          <c:smooth val="1"/>
          <c:extLst>
            <c:ext xmlns:c16="http://schemas.microsoft.com/office/drawing/2014/chart" uri="{C3380CC4-5D6E-409C-BE32-E72D297353CC}">
              <c16:uniqueId val="{00000003-3090-4319-990D-F8DBFCE7F1B0}"/>
            </c:ext>
          </c:extLst>
        </c:ser>
        <c:ser>
          <c:idx val="4"/>
          <c:order val="4"/>
          <c:tx>
            <c:v>AVAKids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'103_Raw_Segment_Inputs'!$F$12:$F$16</c:f>
              <c:numCache>
                <c:formatCode>#,##0;[Red]\(#,##0\);\-</c:formatCode>
                <c:ptCount val="5"/>
                <c:pt idx="0">
                  <c:v>0</c:v>
                </c:pt>
                <c:pt idx="1">
                  <c:v>64</c:v>
                </c:pt>
                <c:pt idx="2">
                  <c:v>64</c:v>
                </c:pt>
                <c:pt idx="3">
                  <c:v>62</c:v>
                </c:pt>
                <c:pt idx="4">
                  <c:v>83</c:v>
                </c:pt>
              </c:numCache>
            </c:numRef>
          </c:val>
          <c:smooth val="1"/>
          <c:extLst>
            <c:ext xmlns:c16="http://schemas.microsoft.com/office/drawing/2014/chart" uri="{C3380CC4-5D6E-409C-BE32-E72D297353CC}">
              <c16:uniqueId val="{00000004-3090-4319-990D-F8DBFCE7F1B0}"/>
            </c:ext>
          </c:extLst>
        </c:ser>
        <c:ser>
          <c:idx val="5"/>
          <c:order val="5"/>
          <c:tx>
            <c:v>EraBlue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'103_Raw_Segment_Inputs'!$G$12:$G$16</c:f>
              <c:numCache>
                <c:formatCode>#,##0;[Red]\(#,##0\);\-</c:formatCode>
                <c:ptCount val="5"/>
                <c:pt idx="0">
                  <c:v>0</c:v>
                </c:pt>
                <c:pt idx="1">
                  <c:v>5</c:v>
                </c:pt>
                <c:pt idx="2">
                  <c:v>38</c:v>
                </c:pt>
                <c:pt idx="3">
                  <c:v>87</c:v>
                </c:pt>
                <c:pt idx="4">
                  <c:v>181</c:v>
                </c:pt>
              </c:numCache>
            </c:numRef>
          </c:val>
          <c:smooth val="1"/>
          <c:extLst>
            <c:ext xmlns:c16="http://schemas.microsoft.com/office/drawing/2014/chart" uri="{C3380CC4-5D6E-409C-BE32-E72D297353CC}">
              <c16:uniqueId val="{00000005-3090-4319-990D-F8DBFCE7F1B0}"/>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21</xdr:row>
      <xdr:rowOff>0</xdr:rowOff>
    </xdr:from>
    <xdr:ext cx="8096250" cy="1666875"/>
    <xdr:pic>
      <xdr:nvPicPr>
        <xdr:cNvPr id="2" name="/xl/media/image1.png">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0</xdr:colOff>
      <xdr:row>34</xdr:row>
      <xdr:rowOff>0</xdr:rowOff>
    </xdr:from>
    <xdr:ext cx="8096250" cy="1381125"/>
    <xdr:pic>
      <xdr:nvPicPr>
        <xdr:cNvPr id="3" name="/xl/media/image2.png">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0</xdr:col>
      <xdr:colOff>0</xdr:colOff>
      <xdr:row>45</xdr:row>
      <xdr:rowOff>0</xdr:rowOff>
    </xdr:from>
    <xdr:ext cx="8096250" cy="1381125"/>
    <xdr:pic>
      <xdr:nvPicPr>
        <xdr:cNvPr id="4" name="/xl/media/image3.png">
          <a:extLst>
            <a:ext uri="{FF2B5EF4-FFF2-40B4-BE49-F238E27FC236}">
              <a16:creationId xmlns:a16="http://schemas.microsoft.com/office/drawing/2014/main" id="{00000000-0008-0000-16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oneCellAnchor>
    <xdr:from>
      <xdr:col>0</xdr:col>
      <xdr:colOff>0</xdr:colOff>
      <xdr:row>56</xdr:row>
      <xdr:rowOff>0</xdr:rowOff>
    </xdr:from>
    <xdr:ext cx="8096250" cy="2667000"/>
    <xdr:pic>
      <xdr:nvPicPr>
        <xdr:cNvPr id="5" name="/xl/media/image4.png">
          <a:extLst>
            <a:ext uri="{FF2B5EF4-FFF2-40B4-BE49-F238E27FC236}">
              <a16:creationId xmlns:a16="http://schemas.microsoft.com/office/drawing/2014/main" id="{00000000-0008-0000-16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oneCellAnchor>
  <xdr:oneCellAnchor>
    <xdr:from>
      <xdr:col>0</xdr:col>
      <xdr:colOff>0</xdr:colOff>
      <xdr:row>76</xdr:row>
      <xdr:rowOff>0</xdr:rowOff>
    </xdr:from>
    <xdr:ext cx="8096250" cy="2714625"/>
    <xdr:pic>
      <xdr:nvPicPr>
        <xdr:cNvPr id="6" name="/xl/media/image5.png">
          <a:extLst>
            <a:ext uri="{FF2B5EF4-FFF2-40B4-BE49-F238E27FC236}">
              <a16:creationId xmlns:a16="http://schemas.microsoft.com/office/drawing/2014/main" id="{00000000-0008-0000-16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8</xdr:col>
      <xdr:colOff>0</xdr:colOff>
      <xdr:row>2</xdr:row>
      <xdr:rowOff>0</xdr:rowOff>
    </xdr:from>
    <xdr:to>
      <xdr:col>16</xdr:col>
      <xdr:colOff>0</xdr:colOff>
      <xdr:row>20</xdr:row>
      <xdr:rowOff>0</xdr:rowOff>
    </xdr:to>
    <xdr:graphicFrame macro="">
      <xdr:nvGraphicFramePr>
        <xdr:cNvPr id="2" name="Chart">
          <a:extLst>
            <a:ext uri="{FF2B5EF4-FFF2-40B4-BE49-F238E27FC236}">
              <a16:creationId xmlns:a16="http://schemas.microsoft.com/office/drawing/2014/main" id="{00000000-0008-0000-2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21</xdr:row>
      <xdr:rowOff>0</xdr:rowOff>
    </xdr:from>
    <xdr:to>
      <xdr:col>16</xdr:col>
      <xdr:colOff>0</xdr:colOff>
      <xdr:row>39</xdr:row>
      <xdr:rowOff>0</xdr:rowOff>
    </xdr:to>
    <xdr:graphicFrame macro="">
      <xdr:nvGraphicFramePr>
        <xdr:cNvPr id="3" name="Chart">
          <a:extLst>
            <a:ext uri="{FF2B5EF4-FFF2-40B4-BE49-F238E27FC236}">
              <a16:creationId xmlns:a16="http://schemas.microsoft.com/office/drawing/2014/main" id="{00000000-0008-0000-2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MWG Equity Research">
  <a:themeElements>
    <a:clrScheme name="MWG Equity Research">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MWG Equity Research">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5.xml.rels><?xml version="1.0" encoding="UTF-8" standalone="yes"?>
<Relationships xmlns="http://schemas.openxmlformats.org/package/2006/relationships"><Relationship Id="rId2" Type="http://schemas.openxmlformats.org/officeDocument/2006/relationships/hyperlink" Target="https://asianbondsonline.adb.org/vietnam/" TargetMode="External"/><Relationship Id="rId1" Type="http://schemas.openxmlformats.org/officeDocument/2006/relationships/hyperlink" Target="https://tradingeconomics.com/vietnam/government-bond-yield"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shinhansec.com.vn/uploads/report/MWG_Update_Q1_2026_EN.pdf" TargetMode="External"/><Relationship Id="rId2" Type="http://schemas.openxmlformats.org/officeDocument/2006/relationships/hyperlink" Target="https://mwg.vn/tin-tuc/dien-may-xanh-dmx-ipo-chao-ban-hon-179-5-trieu-co-phieu-gia-du-kien-80000-dong-5002407" TargetMode="External"/><Relationship Id="rId1" Type="http://schemas.openxmlformats.org/officeDocument/2006/relationships/hyperlink" Target="https://www.psi.vn/uploads/trung-tam-phan-tich/bao-cao/Tai%20lieu%202/PSI_MWG%20Initiated%20Coverage.pdf" TargetMode="Externa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5"/>
  <sheetViews>
    <sheetView showGridLines="0" topLeftCell="B1" zoomScale="85" zoomScaleNormal="85" workbookViewId="0">
      <selection activeCell="C65" sqref="C65"/>
    </sheetView>
  </sheetViews>
  <sheetFormatPr defaultRowHeight="13.8"/>
  <cols>
    <col min="1" max="1" width="21.8984375" customWidth="1"/>
    <col min="2" max="2" width="32" customWidth="1"/>
    <col min="3" max="3" width="12" customWidth="1"/>
    <col min="4" max="7" width="14" customWidth="1"/>
    <col min="8" max="8" width="18" customWidth="1"/>
    <col min="9" max="9" width="17.5" customWidth="1"/>
    <col min="10" max="10" width="50" customWidth="1"/>
    <col min="11" max="11" width="37.3984375" customWidth="1"/>
  </cols>
  <sheetData>
    <row r="1" spans="1:26" ht="18.75" customHeight="1">
      <c r="A1" s="451" t="s">
        <v>0</v>
      </c>
      <c r="B1" s="452"/>
      <c r="C1" s="452"/>
      <c r="D1" s="452"/>
      <c r="E1" s="452"/>
      <c r="F1" s="452"/>
      <c r="G1" s="452"/>
      <c r="H1" s="452"/>
      <c r="I1" s="452"/>
      <c r="J1" s="452"/>
      <c r="K1" s="11"/>
      <c r="L1" s="11"/>
      <c r="M1" s="11"/>
      <c r="N1" s="11"/>
      <c r="O1" s="11"/>
      <c r="P1" s="11"/>
      <c r="Q1" s="11"/>
      <c r="R1" s="11"/>
      <c r="S1" s="11"/>
      <c r="T1" s="11"/>
      <c r="U1" s="11"/>
      <c r="V1" s="11"/>
      <c r="W1" s="11"/>
      <c r="X1" s="11"/>
      <c r="Y1" s="11"/>
      <c r="Z1" s="11"/>
    </row>
    <row r="2" spans="1:26" ht="14.4">
      <c r="A2" s="454" t="s">
        <v>1</v>
      </c>
      <c r="B2" s="452"/>
      <c r="C2" s="452"/>
      <c r="D2" s="452"/>
      <c r="E2" s="452"/>
      <c r="F2" s="452"/>
      <c r="G2" s="452"/>
      <c r="H2" s="452"/>
      <c r="I2" s="452"/>
      <c r="J2" s="452"/>
    </row>
    <row r="4" spans="1:26" ht="15" customHeight="1">
      <c r="A4" s="316" t="s">
        <v>2</v>
      </c>
      <c r="B4" s="316" t="s">
        <v>3</v>
      </c>
      <c r="C4" s="316" t="s">
        <v>4</v>
      </c>
      <c r="D4" s="317" t="s">
        <v>5</v>
      </c>
      <c r="E4" s="317" t="s">
        <v>6</v>
      </c>
      <c r="F4" s="317" t="s">
        <v>7</v>
      </c>
      <c r="G4" s="317" t="s">
        <v>8</v>
      </c>
      <c r="H4" s="317" t="s">
        <v>9</v>
      </c>
      <c r="I4" s="316" t="s">
        <v>10</v>
      </c>
      <c r="J4" s="316" t="s">
        <v>11</v>
      </c>
      <c r="K4" s="316"/>
    </row>
    <row r="5" spans="1:26" ht="15" customHeight="1">
      <c r="A5" s="318" t="s">
        <v>12</v>
      </c>
      <c r="B5" s="318"/>
      <c r="C5" s="318"/>
      <c r="D5" s="318"/>
      <c r="E5" s="318"/>
      <c r="F5" s="318"/>
      <c r="G5" s="318"/>
      <c r="H5" s="318"/>
      <c r="I5" s="318"/>
      <c r="J5" s="318"/>
      <c r="K5" s="318"/>
    </row>
    <row r="6" spans="1:26" ht="25.5" customHeight="1">
      <c r="A6" s="2"/>
      <c r="B6" s="3" t="s">
        <v>13</v>
      </c>
      <c r="C6" s="4" t="s">
        <v>14</v>
      </c>
      <c r="D6" s="17">
        <v>124141.525689948</v>
      </c>
      <c r="E6" s="6">
        <f>IFERROR('90_Raw_IS_vnstock'!F2/1000000000,0)</f>
        <v>134722.248888</v>
      </c>
      <c r="F6" s="6">
        <f>IFERROR('90_Raw_IS_vnstock'!E2/1000000000,0)</f>
        <v>119234.184825</v>
      </c>
      <c r="G6" s="6">
        <f>IFERROR('90_Raw_IS_vnstock'!D2/1000000000,0)</f>
        <v>135225.101299</v>
      </c>
      <c r="H6" s="6">
        <f>IFERROR('90_Raw_IS_vnstock'!C2/1000000000,0)</f>
        <v>156836.115055</v>
      </c>
      <c r="I6" s="5" t="s">
        <v>15</v>
      </c>
      <c r="J6" s="5" t="s">
        <v>16</v>
      </c>
      <c r="K6" s="5"/>
    </row>
    <row r="7" spans="1:26" ht="21.75" customHeight="1">
      <c r="A7" s="2"/>
      <c r="B7" s="3" t="s">
        <v>17</v>
      </c>
      <c r="C7" s="4" t="s">
        <v>14</v>
      </c>
      <c r="D7" s="17">
        <v>122958.106103174</v>
      </c>
      <c r="E7" s="6">
        <f>IFERROR('90_Raw_IS_vnstock'!F4/1000000000,0)</f>
        <v>133404.77759099999</v>
      </c>
      <c r="F7" s="6">
        <f>IFERROR('90_Raw_IS_vnstock'!E4/1000000000,0)</f>
        <v>118279.788455</v>
      </c>
      <c r="G7" s="6">
        <f>IFERROR('90_Raw_IS_vnstock'!D4/1000000000,0)</f>
        <v>134341.15284900001</v>
      </c>
      <c r="H7" s="6">
        <f>IFERROR('90_Raw_IS_vnstock'!C4/1000000000,0)</f>
        <v>155928.14561899999</v>
      </c>
      <c r="I7" s="5" t="s">
        <v>15</v>
      </c>
      <c r="J7" s="5" t="s">
        <v>16</v>
      </c>
      <c r="K7" s="5"/>
    </row>
    <row r="8" spans="1:26" ht="24" customHeight="1">
      <c r="A8" s="2"/>
      <c r="B8" s="3" t="s">
        <v>18</v>
      </c>
      <c r="C8" s="4" t="s">
        <v>14</v>
      </c>
      <c r="D8" s="17">
        <v>95325.974107639995</v>
      </c>
      <c r="E8" s="6">
        <f>IFERROR('90_Raw_IS_vnstock'!F5/1000000000,0)</f>
        <v>102542.735094</v>
      </c>
      <c r="F8" s="6">
        <f>IFERROR('90_Raw_IS_vnstock'!E5/1000000000,0)</f>
        <v>95759.175292</v>
      </c>
      <c r="G8" s="6">
        <f>IFERROR('90_Raw_IS_vnstock'!D5/1000000000,0)</f>
        <v>106841.94277199999</v>
      </c>
      <c r="H8" s="6">
        <f>IFERROR('90_Raw_IS_vnstock'!C5/1000000000,0)</f>
        <v>124926.26822</v>
      </c>
      <c r="I8" s="5" t="s">
        <v>15</v>
      </c>
      <c r="J8" s="5" t="s">
        <v>19</v>
      </c>
      <c r="K8" s="5"/>
    </row>
    <row r="9" spans="1:26" ht="22.5" customHeight="1">
      <c r="A9" s="2"/>
      <c r="B9" s="3" t="s">
        <v>20</v>
      </c>
      <c r="C9" s="4" t="s">
        <v>14</v>
      </c>
      <c r="D9" s="17">
        <v>27632.131995534</v>
      </c>
      <c r="E9" s="6">
        <f>IFERROR('90_Raw_IS_vnstock'!F6/1000000000,0)</f>
        <v>30862.042495999998</v>
      </c>
      <c r="F9" s="6">
        <f>IFERROR('90_Raw_IS_vnstock'!E6/1000000000,0)</f>
        <v>22520.613163999999</v>
      </c>
      <c r="G9" s="6">
        <f>IFERROR('90_Raw_IS_vnstock'!D6/1000000000,0)</f>
        <v>27499.210077</v>
      </c>
      <c r="H9" s="6">
        <f>IFERROR('90_Raw_IS_vnstock'!C6/1000000000,0)</f>
        <v>31001.877400000001</v>
      </c>
      <c r="I9" s="5" t="s">
        <v>15</v>
      </c>
      <c r="J9" s="5" t="s">
        <v>21</v>
      </c>
      <c r="K9" s="5"/>
    </row>
    <row r="10" spans="1:26" ht="24" customHeight="1">
      <c r="A10" s="2"/>
      <c r="B10" s="3" t="s">
        <v>22</v>
      </c>
      <c r="C10" s="4" t="s">
        <v>23</v>
      </c>
      <c r="D10" s="18">
        <v>0.22472802217974891</v>
      </c>
      <c r="E10" s="7">
        <f>IFERROR(E9/E7,0)</f>
        <v>0.23134135863273664</v>
      </c>
      <c r="F10" s="7">
        <f>IFERROR(F9/F7,0)</f>
        <v>0.19040119582702883</v>
      </c>
      <c r="G10" s="7">
        <f>IFERROR(G9/G7,0)</f>
        <v>0.20469684451725095</v>
      </c>
      <c r="H10" s="7">
        <f>IFERROR(H9/H7,0)</f>
        <v>0.19882156153996097</v>
      </c>
      <c r="I10" s="5" t="s">
        <v>24</v>
      </c>
      <c r="J10" s="5"/>
      <c r="K10" s="5"/>
    </row>
    <row r="11" spans="1:26" ht="21.75" customHeight="1">
      <c r="A11" s="2"/>
      <c r="B11" s="3" t="s">
        <v>25</v>
      </c>
      <c r="C11" s="4" t="s">
        <v>14</v>
      </c>
      <c r="D11" s="17">
        <v>1287.9560261629999</v>
      </c>
      <c r="E11" s="6">
        <f>IFERROR('90_Raw_IS_vnstock'!F8/1000000000,0)</f>
        <v>1313.1373040000001</v>
      </c>
      <c r="F11" s="6">
        <f>IFERROR('90_Raw_IS_vnstock'!E8/1000000000,0)</f>
        <v>2166.9637149999999</v>
      </c>
      <c r="G11" s="6">
        <f>IFERROR('90_Raw_IS_vnstock'!D8/1000000000,0)</f>
        <v>2376.5026050000001</v>
      </c>
      <c r="H11" s="6">
        <f>IFERROR('90_Raw_IS_vnstock'!C8/1000000000,0)</f>
        <v>3107.3487340000001</v>
      </c>
      <c r="I11" s="5" t="s">
        <v>15</v>
      </c>
      <c r="J11" s="5" t="s">
        <v>26</v>
      </c>
      <c r="K11" s="5"/>
    </row>
    <row r="12" spans="1:26" ht="24" customHeight="1">
      <c r="A12" s="2"/>
      <c r="B12" s="3" t="s">
        <v>27</v>
      </c>
      <c r="C12" s="4" t="s">
        <v>14</v>
      </c>
      <c r="D12" s="17">
        <v>714.70722574499996</v>
      </c>
      <c r="E12" s="6">
        <f>IFERROR('90_Raw_IS_vnstock'!F9/1000000000,0)</f>
        <v>1382.620455</v>
      </c>
      <c r="F12" s="6">
        <f>IFERROR('90_Raw_IS_vnstock'!E9/1000000000,0)</f>
        <v>1556.146107</v>
      </c>
      <c r="G12" s="6">
        <f>IFERROR('90_Raw_IS_vnstock'!D9/1000000000,0)</f>
        <v>1188.46561</v>
      </c>
      <c r="H12" s="6">
        <f>IFERROR('90_Raw_IS_vnstock'!C9/1000000000,0)</f>
        <v>1542.518673</v>
      </c>
      <c r="I12" s="5" t="s">
        <v>15</v>
      </c>
      <c r="J12" s="5" t="s">
        <v>28</v>
      </c>
      <c r="K12" s="5"/>
    </row>
    <row r="13" spans="1:26" ht="16.5" customHeight="1">
      <c r="A13" s="2"/>
      <c r="B13" s="3" t="s">
        <v>29</v>
      </c>
      <c r="C13" s="4" t="s">
        <v>14</v>
      </c>
      <c r="D13" s="17">
        <v>674.427746189</v>
      </c>
      <c r="E13" s="6">
        <f>IFERROR('90_Raw_IS_vnstock'!F10/1000000000,0)</f>
        <v>1362.1439089999999</v>
      </c>
      <c r="F13" s="6">
        <f>IFERROR('90_Raw_IS_vnstock'!E10/1000000000,0)</f>
        <v>1447.718355</v>
      </c>
      <c r="G13" s="6">
        <f>IFERROR('90_Raw_IS_vnstock'!D10/1000000000,0)</f>
        <v>1137.23613</v>
      </c>
      <c r="H13" s="6">
        <f>IFERROR('90_Raw_IS_vnstock'!C10/1000000000,0)</f>
        <v>1470.675594</v>
      </c>
      <c r="I13" s="5" t="s">
        <v>15</v>
      </c>
      <c r="J13" s="5" t="s">
        <v>30</v>
      </c>
      <c r="K13" s="5"/>
    </row>
    <row r="14" spans="1:26" ht="16.5" customHeight="1">
      <c r="A14" s="2"/>
      <c r="B14" s="3" t="s">
        <v>31</v>
      </c>
      <c r="C14" s="4" t="s">
        <v>14</v>
      </c>
      <c r="D14" s="17">
        <v>17914.173302345</v>
      </c>
      <c r="E14" s="6">
        <f>IFERROR('90_Raw_IS_vnstock'!F12/1000000000,0)</f>
        <v>22336.838068000001</v>
      </c>
      <c r="F14" s="6">
        <f>IFERROR('90_Raw_IS_vnstock'!E12/1000000000,0)</f>
        <v>20916.710755</v>
      </c>
      <c r="G14" s="6">
        <f>IFERROR('90_Raw_IS_vnstock'!D12/1000000000,0)</f>
        <v>19849.837609999999</v>
      </c>
      <c r="H14" s="6">
        <f>IFERROR('90_Raw_IS_vnstock'!C12/1000000000,0)</f>
        <v>19330.903536999998</v>
      </c>
      <c r="I14" s="5" t="s">
        <v>15</v>
      </c>
      <c r="J14" s="5" t="s">
        <v>32</v>
      </c>
      <c r="K14" s="5"/>
    </row>
    <row r="15" spans="1:26" ht="16.5" customHeight="1">
      <c r="A15" s="2"/>
      <c r="B15" s="3" t="s">
        <v>33</v>
      </c>
      <c r="C15" s="4" t="s">
        <v>14</v>
      </c>
      <c r="D15" s="17">
        <v>3823.390074765</v>
      </c>
      <c r="E15" s="6">
        <f>IFERROR('90_Raw_IS_vnstock'!F13/1000000000,0)</f>
        <v>1881.0275799999999</v>
      </c>
      <c r="F15" s="6">
        <f>IFERROR('90_Raw_IS_vnstock'!E13/1000000000,0)</f>
        <v>1167.6516630000001</v>
      </c>
      <c r="G15" s="6">
        <f>IFERROR('90_Raw_IS_vnstock'!D13/1000000000,0)</f>
        <v>3565.7675829999998</v>
      </c>
      <c r="H15" s="6">
        <f>IFERROR('90_Raw_IS_vnstock'!C13/1000000000,0)</f>
        <v>4596.0745129999996</v>
      </c>
      <c r="I15" s="5" t="s">
        <v>15</v>
      </c>
      <c r="J15" s="5" t="s">
        <v>34</v>
      </c>
      <c r="K15" s="5"/>
    </row>
    <row r="16" spans="1:26" ht="16.5" customHeight="1">
      <c r="A16" s="2"/>
      <c r="B16" s="3" t="s">
        <v>35</v>
      </c>
      <c r="C16" s="4" t="s">
        <v>14</v>
      </c>
      <c r="D16" s="19">
        <v>21737.56337711</v>
      </c>
      <c r="E16" s="8">
        <f>E14+E15</f>
        <v>24217.865647999999</v>
      </c>
      <c r="F16" s="8">
        <f>F14+F15</f>
        <v>22084.362418000001</v>
      </c>
      <c r="G16" s="8">
        <f>G14+G15</f>
        <v>23415.605192999999</v>
      </c>
      <c r="H16" s="8">
        <f>H14+H15</f>
        <v>23926.978049999998</v>
      </c>
      <c r="I16" s="5" t="s">
        <v>24</v>
      </c>
      <c r="J16" s="5"/>
      <c r="K16" s="5"/>
    </row>
    <row r="17" spans="1:11" ht="16.5" customHeight="1">
      <c r="A17" s="2"/>
      <c r="B17" s="3" t="s">
        <v>36</v>
      </c>
      <c r="C17" s="4" t="s">
        <v>14</v>
      </c>
      <c r="D17" s="17">
        <v>6465.6069183560003</v>
      </c>
      <c r="E17" s="6">
        <f>IFERROR('90_Raw_IS_vnstock'!F14/1000000000,0)</f>
        <v>6574.6936990000004</v>
      </c>
      <c r="F17" s="6">
        <f>IFERROR('90_Raw_IS_vnstock'!E14/1000000000,0)</f>
        <v>1047.068354</v>
      </c>
      <c r="G17" s="6">
        <f>IFERROR('90_Raw_IS_vnstock'!D14/1000000000,0)</f>
        <v>5227.0454250000003</v>
      </c>
      <c r="H17" s="6">
        <f>IFERROR('90_Raw_IS_vnstock'!C14/1000000000,0)</f>
        <v>8664.0804889999999</v>
      </c>
      <c r="I17" s="5" t="s">
        <v>15</v>
      </c>
      <c r="J17" s="5" t="s">
        <v>37</v>
      </c>
      <c r="K17" s="5"/>
    </row>
    <row r="18" spans="1:11" ht="16.5" customHeight="1">
      <c r="A18" s="2"/>
      <c r="B18" s="3" t="s">
        <v>38</v>
      </c>
      <c r="C18" s="4" t="s">
        <v>23</v>
      </c>
      <c r="D18" s="18">
        <v>5.2583819995818057E-2</v>
      </c>
      <c r="E18" s="7">
        <f>IFERROR(E17/E7,0)</f>
        <v>4.9283794911431679E-2</v>
      </c>
      <c r="F18" s="7">
        <f>IFERROR(F17/F7,0)</f>
        <v>8.8524706348993946E-3</v>
      </c>
      <c r="G18" s="7">
        <f>IFERROR(G17/G7,0)</f>
        <v>3.8908743256619367E-2</v>
      </c>
      <c r="H18" s="7">
        <f>IFERROR(H17/H7,0)</f>
        <v>5.5564570813085294E-2</v>
      </c>
      <c r="I18" s="5" t="s">
        <v>24</v>
      </c>
      <c r="J18" s="5"/>
      <c r="K18" s="5"/>
    </row>
    <row r="19" spans="1:11" ht="16.5" customHeight="1">
      <c r="A19" s="2"/>
      <c r="B19" s="3" t="s">
        <v>39</v>
      </c>
      <c r="C19" s="4" t="s">
        <v>14</v>
      </c>
      <c r="D19" s="17">
        <v>5.9768321870000003</v>
      </c>
      <c r="E19" s="6">
        <f>IFERROR('90_Raw_IS_vnstock'!F17/1000000000,0)</f>
        <v>-518.33832500000005</v>
      </c>
      <c r="F19" s="6">
        <f>IFERROR('90_Raw_IS_vnstock'!E17/1000000000,0)</f>
        <v>-357.37598600000001</v>
      </c>
      <c r="G19" s="6">
        <f>IFERROR('90_Raw_IS_vnstock'!D17/1000000000,0)</f>
        <v>-401.28241200000002</v>
      </c>
      <c r="H19" s="6">
        <f>IFERROR('90_Raw_IS_vnstock'!C17/1000000000,0)</f>
        <v>-31.012906000000001</v>
      </c>
      <c r="I19" s="5" t="s">
        <v>15</v>
      </c>
      <c r="J19" s="5" t="s">
        <v>40</v>
      </c>
      <c r="K19" s="5"/>
    </row>
    <row r="20" spans="1:11" ht="16.5" customHeight="1">
      <c r="A20" s="2"/>
      <c r="B20" s="3" t="s">
        <v>41</v>
      </c>
      <c r="C20" s="4" t="s">
        <v>14</v>
      </c>
      <c r="D20" s="17">
        <v>6471.583750543</v>
      </c>
      <c r="E20" s="6">
        <f>IFERROR('90_Raw_IS_vnstock'!F19/1000000000,0)</f>
        <v>6056.3553739999998</v>
      </c>
      <c r="F20" s="6">
        <f>IFERROR('90_Raw_IS_vnstock'!E19/1000000000,0)</f>
        <v>689.69236799999999</v>
      </c>
      <c r="G20" s="6">
        <f>IFERROR('90_Raw_IS_vnstock'!D19/1000000000,0)</f>
        <v>4825.7630129999998</v>
      </c>
      <c r="H20" s="6">
        <f>IFERROR('90_Raw_IS_vnstock'!C19/1000000000,0)</f>
        <v>8633.067583</v>
      </c>
      <c r="I20" s="5" t="s">
        <v>15</v>
      </c>
      <c r="J20" s="5" t="s">
        <v>42</v>
      </c>
      <c r="K20" s="5"/>
    </row>
    <row r="21" spans="1:11" ht="16.5" customHeight="1">
      <c r="A21" s="2"/>
      <c r="B21" s="3" t="s">
        <v>43</v>
      </c>
      <c r="C21" s="4" t="s">
        <v>14</v>
      </c>
      <c r="D21" s="17">
        <v>1632.975695694</v>
      </c>
      <c r="E21" s="6">
        <f>IFERROR('90_Raw_IS_vnstock'!F20/1000000000,0)</f>
        <v>1792.99881</v>
      </c>
      <c r="F21" s="6">
        <f>IFERROR('90_Raw_IS_vnstock'!E20/1000000000,0)</f>
        <v>433.25717700000001</v>
      </c>
      <c r="G21" s="6">
        <f>IFERROR('90_Raw_IS_vnstock'!D20/1000000000,0)</f>
        <v>1282.5371170000001</v>
      </c>
      <c r="H21" s="6">
        <f>IFERROR('90_Raw_IS_vnstock'!C20/1000000000,0)</f>
        <v>1721.5595229999999</v>
      </c>
      <c r="I21" s="5" t="s">
        <v>15</v>
      </c>
      <c r="J21" s="5" t="s">
        <v>44</v>
      </c>
      <c r="K21" s="5"/>
    </row>
    <row r="22" spans="1:11" ht="16.5" customHeight="1">
      <c r="A22" s="2"/>
      <c r="B22" s="3" t="s">
        <v>45</v>
      </c>
      <c r="C22" s="4" t="s">
        <v>14</v>
      </c>
      <c r="D22" s="17">
        <v>-62.818619040999998</v>
      </c>
      <c r="E22" s="6">
        <f>IFERROR('90_Raw_IS_vnstock'!F21/1000000000,0)</f>
        <v>161.64213899999999</v>
      </c>
      <c r="F22" s="6">
        <f>IFERROR('90_Raw_IS_vnstock'!E21/1000000000,0)</f>
        <v>88.606036000000003</v>
      </c>
      <c r="G22" s="6">
        <f>IFERROR('90_Raw_IS_vnstock'!D21/1000000000,0)</f>
        <v>-190.062333</v>
      </c>
      <c r="H22" s="6">
        <f>IFERROR('90_Raw_IS_vnstock'!C21/1000000000,0)</f>
        <v>-161.11482599999999</v>
      </c>
      <c r="I22" s="5" t="s">
        <v>15</v>
      </c>
      <c r="J22" s="5" t="s">
        <v>46</v>
      </c>
      <c r="K22" s="5"/>
    </row>
    <row r="23" spans="1:11" ht="16.5" customHeight="1">
      <c r="A23" s="2"/>
      <c r="B23" s="3" t="s">
        <v>47</v>
      </c>
      <c r="C23" s="4" t="s">
        <v>14</v>
      </c>
      <c r="D23" s="19">
        <v>1570.1570766530001</v>
      </c>
      <c r="E23" s="8">
        <f>E21+E22</f>
        <v>1954.6409490000001</v>
      </c>
      <c r="F23" s="8">
        <f>F21+F22</f>
        <v>521.86321299999997</v>
      </c>
      <c r="G23" s="8">
        <f>G21+G22</f>
        <v>1092.474784</v>
      </c>
      <c r="H23" s="8">
        <f>H21+H22</f>
        <v>1560.4446969999999</v>
      </c>
      <c r="I23" s="5" t="s">
        <v>24</v>
      </c>
      <c r="J23" s="5"/>
      <c r="K23" s="5"/>
    </row>
    <row r="24" spans="1:11" ht="16.5" customHeight="1">
      <c r="A24" s="2"/>
      <c r="B24" s="3" t="s">
        <v>48</v>
      </c>
      <c r="C24" s="4" t="s">
        <v>14</v>
      </c>
      <c r="D24" s="17">
        <v>4901.4266738899996</v>
      </c>
      <c r="E24" s="6">
        <f>IFERROR('90_Raw_IS_vnstock'!F22/1000000000,0)</f>
        <v>4101.7144250000001</v>
      </c>
      <c r="F24" s="6">
        <f>IFERROR('90_Raw_IS_vnstock'!E22/1000000000,0)</f>
        <v>167.82915499999999</v>
      </c>
      <c r="G24" s="6">
        <f>IFERROR('90_Raw_IS_vnstock'!D22/1000000000,0)</f>
        <v>3733.2882289999998</v>
      </c>
      <c r="H24" s="16">
        <f>'06_Revenue_Drivers_Hist'!H9</f>
        <v>7072.6228860000001</v>
      </c>
      <c r="I24" s="5" t="s">
        <v>15</v>
      </c>
      <c r="J24" s="5" t="s">
        <v>49</v>
      </c>
      <c r="K24" s="5"/>
    </row>
    <row r="25" spans="1:11" ht="16.5" customHeight="1">
      <c r="A25" s="2"/>
      <c r="B25" s="3" t="s">
        <v>50</v>
      </c>
      <c r="C25" s="4" t="s">
        <v>14</v>
      </c>
      <c r="D25" s="20">
        <v>2.55739567</v>
      </c>
      <c r="E25" s="13">
        <f>IFERROR('90_Raw_IS_vnstock'!F23/1000000000,0)</f>
        <v>1.951398</v>
      </c>
      <c r="F25" s="13">
        <f>IFERROR('90_Raw_IS_vnstock'!E23/1000000000,0)</f>
        <v>0.15976199999999999</v>
      </c>
      <c r="G25" s="13">
        <f>IFERROR('90_Raw_IS_vnstock'!D23/1000000000,0)</f>
        <v>11.419786999999999</v>
      </c>
      <c r="H25" s="12">
        <f>IFERROR('90_Raw_IS_vnstock'!C23/1000000000,0)</f>
        <v>38.892116000000001</v>
      </c>
      <c r="I25" s="5" t="s">
        <v>15</v>
      </c>
      <c r="J25" s="5" t="s">
        <v>51</v>
      </c>
      <c r="K25" s="5"/>
    </row>
    <row r="26" spans="1:11" ht="16.5" customHeight="1">
      <c r="A26" s="2"/>
      <c r="B26" s="3" t="s">
        <v>52</v>
      </c>
      <c r="C26" s="4" t="s">
        <v>14</v>
      </c>
      <c r="D26" s="17">
        <v>4898.8692782199996</v>
      </c>
      <c r="E26" s="6">
        <f>IFERROR('90_Raw_IS_vnstock'!F24/1000000000,0)</f>
        <v>4099.763027</v>
      </c>
      <c r="F26" s="6">
        <f>IFERROR('90_Raw_IS_vnstock'!E24/1000000000,0)</f>
        <v>167.66939300000001</v>
      </c>
      <c r="G26" s="6">
        <f>IFERROR('90_Raw_IS_vnstock'!D24/1000000000,0)</f>
        <v>3721.868442</v>
      </c>
      <c r="H26" s="6">
        <f>IFERROR('90_Raw_IS_vnstock'!C24/1000000000,0)</f>
        <v>7033.7307700000001</v>
      </c>
      <c r="I26" s="5" t="s">
        <v>15</v>
      </c>
      <c r="J26" s="5" t="s">
        <v>53</v>
      </c>
      <c r="K26" s="5"/>
    </row>
    <row r="27" spans="1:11" ht="16.5" customHeight="1">
      <c r="A27" s="2"/>
      <c r="B27" s="3" t="s">
        <v>54</v>
      </c>
      <c r="C27" s="4" t="s">
        <v>23</v>
      </c>
      <c r="D27" s="18">
        <v>3.984177565413511E-2</v>
      </c>
      <c r="E27" s="7">
        <f>IFERROR(E26/E7,0)</f>
        <v>3.0731755646482829E-2</v>
      </c>
      <c r="F27" s="7">
        <f>IFERROR(F26/F7,0)</f>
        <v>1.4175658850099353E-3</v>
      </c>
      <c r="G27" s="7">
        <f>IFERROR(G26/G7,0)</f>
        <v>2.7704604010532759E-2</v>
      </c>
      <c r="H27" s="7">
        <f>IFERROR(H26/H7,0)</f>
        <v>4.5108795093263356E-2</v>
      </c>
      <c r="I27" s="5" t="s">
        <v>24</v>
      </c>
      <c r="J27" s="5"/>
      <c r="K27" s="15"/>
    </row>
    <row r="28" spans="1:11" ht="16.5" customHeight="1">
      <c r="A28" s="319" t="s">
        <v>55</v>
      </c>
      <c r="B28" s="318"/>
      <c r="C28" s="318"/>
      <c r="D28" s="318"/>
      <c r="E28" s="318"/>
      <c r="F28" s="318"/>
      <c r="G28" s="318"/>
      <c r="H28" s="318"/>
      <c r="I28" s="318"/>
      <c r="J28" s="318"/>
      <c r="K28" s="318"/>
    </row>
    <row r="29" spans="1:11" ht="16.5" customHeight="1">
      <c r="A29" s="2"/>
      <c r="B29" s="3" t="s">
        <v>56</v>
      </c>
      <c r="C29" s="4" t="s">
        <v>14</v>
      </c>
      <c r="D29" s="17">
        <v>4142.015762555</v>
      </c>
      <c r="E29" s="6">
        <f>IFERROR('91_Raw_BS_vnstock'!F4/1000000000,0)</f>
        <v>5061.0205470000001</v>
      </c>
      <c r="F29" s="6">
        <f>IFERROR('91_Raw_BS_vnstock'!E4/1000000000,0)</f>
        <v>5365.7048569999997</v>
      </c>
      <c r="G29" s="6">
        <f>IFERROR('91_Raw_BS_vnstock'!D4/1000000000,0)</f>
        <v>4897.3315409999996</v>
      </c>
      <c r="H29" s="6">
        <f>IFERROR('91_Raw_BS_vnstock'!C4/1000000000,0)</f>
        <v>4999.9257170000001</v>
      </c>
      <c r="I29" s="5" t="s">
        <v>57</v>
      </c>
      <c r="J29" s="5" t="s">
        <v>58</v>
      </c>
      <c r="K29" s="5"/>
    </row>
    <row r="30" spans="1:11" ht="16.5" customHeight="1">
      <c r="A30" s="2"/>
      <c r="B30" s="3" t="s">
        <v>59</v>
      </c>
      <c r="C30" s="4" t="s">
        <v>14</v>
      </c>
      <c r="D30" s="17">
        <v>14236.626334707</v>
      </c>
      <c r="E30" s="6">
        <f>IFERROR('91_Raw_BS_vnstock'!F7/1000000000,0)</f>
        <v>10069.249605999999</v>
      </c>
      <c r="F30" s="6">
        <f>IFERROR('91_Raw_BS_vnstock'!E7/1000000000,0)</f>
        <v>18937.008074000001</v>
      </c>
      <c r="G30" s="6">
        <f>IFERROR('91_Raw_BS_vnstock'!D7/1000000000,0)</f>
        <v>29324.441756</v>
      </c>
      <c r="H30" s="6">
        <f>IFERROR('91_Raw_BS_vnstock'!C7/1000000000,0)</f>
        <v>33874.270103000003</v>
      </c>
      <c r="I30" s="5" t="s">
        <v>57</v>
      </c>
      <c r="J30" s="5" t="s">
        <v>60</v>
      </c>
      <c r="K30" s="5"/>
    </row>
    <row r="31" spans="1:11" ht="16.5" customHeight="1">
      <c r="A31" s="2"/>
      <c r="B31" s="3" t="s">
        <v>61</v>
      </c>
      <c r="C31" s="4" t="s">
        <v>14</v>
      </c>
      <c r="D31" s="17">
        <v>3162.1219715860002</v>
      </c>
      <c r="E31" s="6">
        <f>IFERROR('91_Raw_BS_vnstock'!F14/1000000000,0)</f>
        <v>3000.817466</v>
      </c>
      <c r="F31" s="6">
        <f>IFERROR('91_Raw_BS_vnstock'!E14/1000000000,0)</f>
        <v>5158.8533379999999</v>
      </c>
      <c r="G31" s="6">
        <f>IFERROR('91_Raw_BS_vnstock'!D14/1000000000,0)</f>
        <v>8825.8962250000004</v>
      </c>
      <c r="H31" s="6">
        <f>IFERROR('91_Raw_BS_vnstock'!C14/1000000000,0)</f>
        <v>10182.835977999999</v>
      </c>
      <c r="I31" s="5" t="s">
        <v>57</v>
      </c>
      <c r="J31" s="5" t="s">
        <v>62</v>
      </c>
      <c r="K31" s="5"/>
    </row>
    <row r="32" spans="1:11" ht="16.5" customHeight="1">
      <c r="A32" s="2"/>
      <c r="B32" s="3" t="s">
        <v>63</v>
      </c>
      <c r="C32" s="4" t="s">
        <v>14</v>
      </c>
      <c r="D32" s="17">
        <v>29167.232293921999</v>
      </c>
      <c r="E32" s="6">
        <f>IFERROR('91_Raw_BS_vnstock'!F23/1000000000,0)</f>
        <v>25696.077734999999</v>
      </c>
      <c r="F32" s="6">
        <f>IFERROR('91_Raw_BS_vnstock'!E23/1000000000,0)</f>
        <v>21824.235626000002</v>
      </c>
      <c r="G32" s="6">
        <f>IFERROR('91_Raw_BS_vnstock'!D23/1000000000,0)</f>
        <v>22244.676327000001</v>
      </c>
      <c r="H32" s="6">
        <f>IFERROR('91_Raw_BS_vnstock'!C23/1000000000,0)</f>
        <v>27266.851974000001</v>
      </c>
      <c r="I32" s="5" t="s">
        <v>57</v>
      </c>
      <c r="J32" s="5" t="s">
        <v>64</v>
      </c>
      <c r="K32" s="5"/>
    </row>
    <row r="33" spans="1:11" ht="16.5" customHeight="1">
      <c r="A33" s="2"/>
      <c r="B33" s="3" t="s">
        <v>65</v>
      </c>
      <c r="C33" s="4" t="s">
        <v>14</v>
      </c>
      <c r="D33" s="17">
        <v>1247.2614078869999</v>
      </c>
      <c r="E33" s="6">
        <f>IFERROR('91_Raw_BS_vnstock'!F30/1000000000,0)</f>
        <v>750.44187399999998</v>
      </c>
      <c r="F33" s="6">
        <f>IFERROR('91_Raw_BS_vnstock'!E30/1000000000,0)</f>
        <v>664.53608099999997</v>
      </c>
      <c r="G33" s="6">
        <f>IFERROR('91_Raw_BS_vnstock'!D30/1000000000,0)</f>
        <v>544.07677200000001</v>
      </c>
      <c r="H33" s="6">
        <f>IFERROR('91_Raw_BS_vnstock'!C30/1000000000,0)</f>
        <v>877.76701000000003</v>
      </c>
      <c r="I33" s="5" t="s">
        <v>57</v>
      </c>
      <c r="J33" s="5" t="s">
        <v>66</v>
      </c>
      <c r="K33" s="5"/>
    </row>
    <row r="34" spans="1:11" ht="16.5" customHeight="1">
      <c r="A34" s="2"/>
      <c r="B34" s="3" t="s">
        <v>67</v>
      </c>
      <c r="C34" s="4" t="s">
        <v>14</v>
      </c>
      <c r="D34" s="17">
        <v>51955.257770657001</v>
      </c>
      <c r="E34" s="6">
        <f>IFERROR('91_Raw_BS_vnstock'!F3/1000000000,0)</f>
        <v>44577.607228000001</v>
      </c>
      <c r="F34" s="6">
        <f>IFERROR('91_Raw_BS_vnstock'!E3/1000000000,0)</f>
        <v>51950.337976000003</v>
      </c>
      <c r="G34" s="6">
        <f>IFERROR('91_Raw_BS_vnstock'!D3/1000000000,0)</f>
        <v>65836.422619999998</v>
      </c>
      <c r="H34" s="6">
        <f>IFERROR('91_Raw_BS_vnstock'!C3/1000000000,0)</f>
        <v>77201.650783000005</v>
      </c>
      <c r="I34" s="5" t="s">
        <v>57</v>
      </c>
      <c r="J34" s="5" t="s">
        <v>68</v>
      </c>
      <c r="K34" s="5"/>
    </row>
    <row r="35" spans="1:11" ht="16.5" customHeight="1">
      <c r="A35" s="2"/>
      <c r="B35" s="3" t="s">
        <v>69</v>
      </c>
      <c r="C35" s="4" t="s">
        <v>14</v>
      </c>
      <c r="D35" s="17">
        <v>9647.1688732319999</v>
      </c>
      <c r="E35" s="6">
        <f>IFERROR('91_Raw_BS_vnstock'!F45/1000000000,0)</f>
        <v>9727.5029109999996</v>
      </c>
      <c r="F35" s="6">
        <f>IFERROR('91_Raw_BS_vnstock'!E45/1000000000,0)</f>
        <v>6500.1356089999999</v>
      </c>
      <c r="G35" s="6">
        <f>IFERROR('91_Raw_BS_vnstock'!D45/1000000000,0)</f>
        <v>3586.6286639999998</v>
      </c>
      <c r="H35" s="6">
        <f>IFERROR('91_Raw_BS_vnstock'!C45/1000000000,0)</f>
        <v>2598.189218</v>
      </c>
      <c r="I35" s="5" t="s">
        <v>57</v>
      </c>
      <c r="J35" s="5" t="s">
        <v>70</v>
      </c>
      <c r="K35" s="5"/>
    </row>
    <row r="36" spans="1:11" ht="16.5" customHeight="1">
      <c r="A36" s="2"/>
      <c r="B36" s="3" t="s">
        <v>71</v>
      </c>
      <c r="C36" s="4" t="s">
        <v>14</v>
      </c>
      <c r="D36" s="17">
        <v>0</v>
      </c>
      <c r="E36" s="6">
        <f>IFERROR('91_Raw_BS_vnstock'!F70/1000000000,0)</f>
        <v>231.03484</v>
      </c>
      <c r="F36" s="6">
        <f>IFERROR('91_Raw_BS_vnstock'!E70/1000000000,0)</f>
        <v>746.63225299999999</v>
      </c>
      <c r="G36" s="6">
        <f>IFERROR('91_Raw_BS_vnstock'!D70/1000000000,0)</f>
        <v>242.035798</v>
      </c>
      <c r="H36" s="6">
        <f>IFERROR('91_Raw_BS_vnstock'!C70/1000000000,0)</f>
        <v>3136.3155649999999</v>
      </c>
      <c r="I36" s="5" t="s">
        <v>57</v>
      </c>
      <c r="J36" s="5" t="s">
        <v>72</v>
      </c>
      <c r="K36" s="5"/>
    </row>
    <row r="37" spans="1:11" ht="16.5" customHeight="1">
      <c r="A37" s="2"/>
      <c r="B37" s="3" t="s">
        <v>73</v>
      </c>
      <c r="C37" s="4" t="s">
        <v>14</v>
      </c>
      <c r="D37" s="17">
        <v>806.89105241699997</v>
      </c>
      <c r="E37" s="6">
        <f>IFERROR('91_Raw_BS_vnstock'!F78/1000000000,0)</f>
        <v>670.59008200000005</v>
      </c>
      <c r="F37" s="6">
        <f>IFERROR('91_Raw_BS_vnstock'!E78/1000000000,0)</f>
        <v>452.06753099999997</v>
      </c>
      <c r="G37" s="6">
        <f>IFERROR('91_Raw_BS_vnstock'!D78/1000000000,0)</f>
        <v>358.45441399999999</v>
      </c>
      <c r="H37" s="6">
        <f>IFERROR('91_Raw_BS_vnstock'!C78/1000000000,0)</f>
        <v>514.74079400000005</v>
      </c>
      <c r="I37" s="5" t="s">
        <v>57</v>
      </c>
      <c r="J37" s="5" t="s">
        <v>74</v>
      </c>
      <c r="K37" s="5"/>
    </row>
    <row r="38" spans="1:11" ht="16.5" customHeight="1">
      <c r="A38" s="2"/>
      <c r="B38" s="3" t="s">
        <v>75</v>
      </c>
      <c r="C38" s="4" t="s">
        <v>14</v>
      </c>
      <c r="D38" s="17">
        <v>62971.404814941998</v>
      </c>
      <c r="E38" s="6">
        <f>IFERROR('91_Raw_BS_vnstock'!F85/1000000000,0)</f>
        <v>55834.095613999998</v>
      </c>
      <c r="F38" s="6">
        <f>IFERROR('91_Raw_BS_vnstock'!E85/1000000000,0)</f>
        <v>60111.237213</v>
      </c>
      <c r="G38" s="6">
        <f>IFERROR('91_Raw_BS_vnstock'!D85/1000000000,0)</f>
        <v>70437.775722000006</v>
      </c>
      <c r="H38" s="6">
        <f>IFERROR('91_Raw_BS_vnstock'!C85/1000000000,0)</f>
        <v>83945.619611999995</v>
      </c>
      <c r="I38" s="5" t="s">
        <v>57</v>
      </c>
      <c r="J38" s="5" t="s">
        <v>76</v>
      </c>
      <c r="K38" s="5"/>
    </row>
    <row r="39" spans="1:11" ht="16.5" customHeight="1">
      <c r="A39" s="2"/>
      <c r="B39" s="3" t="s">
        <v>77</v>
      </c>
      <c r="C39" s="4" t="s">
        <v>14</v>
      </c>
      <c r="D39" s="17">
        <v>12179.774771734001</v>
      </c>
      <c r="E39" s="6">
        <f>IFERROR('91_Raw_BS_vnstock'!F89/1000000000,0)</f>
        <v>8745.8273320000008</v>
      </c>
      <c r="F39" s="6">
        <f>IFERROR('91_Raw_BS_vnstock'!E89/1000000000,0)</f>
        <v>7927.0697280000004</v>
      </c>
      <c r="G39" s="6">
        <f>IFERROR('91_Raw_BS_vnstock'!D89/1000000000,0)</f>
        <v>9179.6360550000009</v>
      </c>
      <c r="H39" s="6">
        <f>IFERROR('91_Raw_BS_vnstock'!C89/1000000000,0)</f>
        <v>13113.899672</v>
      </c>
      <c r="I39" s="5" t="s">
        <v>57</v>
      </c>
      <c r="J39" s="5" t="s">
        <v>78</v>
      </c>
      <c r="K39" s="5"/>
    </row>
    <row r="40" spans="1:11" ht="16.5" customHeight="1">
      <c r="A40" s="2"/>
      <c r="B40" s="3" t="s">
        <v>79</v>
      </c>
      <c r="C40" s="4" t="s">
        <v>14</v>
      </c>
      <c r="D40" s="17">
        <v>24647.474278786001</v>
      </c>
      <c r="E40" s="6">
        <f>IFERROR('91_Raw_BS_vnstock'!F99/1000000000,0)</f>
        <v>10688.138631</v>
      </c>
      <c r="F40" s="6">
        <f>IFERROR('91_Raw_BS_vnstock'!E99/1000000000,0)</f>
        <v>19128.541818000002</v>
      </c>
      <c r="G40" s="6">
        <f>IFERROR('91_Raw_BS_vnstock'!D99/1000000000,0)</f>
        <v>27300.246722</v>
      </c>
      <c r="H40" s="6">
        <f>IFERROR('91_Raw_BS_vnstock'!C99/1000000000,0)</f>
        <v>29930.942962000001</v>
      </c>
      <c r="I40" s="5" t="s">
        <v>57</v>
      </c>
      <c r="J40" s="5" t="s">
        <v>80</v>
      </c>
      <c r="K40" s="5"/>
    </row>
    <row r="41" spans="1:11" ht="16.5" customHeight="1">
      <c r="A41" s="2"/>
      <c r="B41" s="3" t="s">
        <v>81</v>
      </c>
      <c r="C41" s="4" t="s">
        <v>14</v>
      </c>
      <c r="D41" s="17">
        <v>42593.158815096001</v>
      </c>
      <c r="E41" s="6">
        <f>IFERROR('91_Raw_BS_vnstock'!F88/1000000000,0)</f>
        <v>26000.264095999999</v>
      </c>
      <c r="F41" s="6">
        <f>IFERROR('91_Raw_BS_vnstock'!E88/1000000000,0)</f>
        <v>30765.260554</v>
      </c>
      <c r="G41" s="6">
        <f>IFERROR('91_Raw_BS_vnstock'!D88/1000000000,0)</f>
        <v>42316.198898000002</v>
      </c>
      <c r="H41" s="6">
        <f>IFERROR('91_Raw_BS_vnstock'!C88/1000000000,0)</f>
        <v>50769.502237000001</v>
      </c>
      <c r="I41" s="5" t="s">
        <v>57</v>
      </c>
      <c r="J41" s="5" t="s">
        <v>82</v>
      </c>
      <c r="K41" s="5"/>
    </row>
    <row r="42" spans="1:11" ht="16.5" customHeight="1">
      <c r="A42" s="2"/>
      <c r="B42" s="3" t="s">
        <v>83</v>
      </c>
      <c r="C42" s="4" t="s">
        <v>14</v>
      </c>
      <c r="D42" s="17">
        <v>0</v>
      </c>
      <c r="E42" s="6">
        <f>IFERROR('91_Raw_BS_vnstock'!F113/1000000000,0)</f>
        <v>5901.25</v>
      </c>
      <c r="F42" s="6">
        <f>IFERROR('91_Raw_BS_vnstock'!E113/1000000000,0)</f>
        <v>5985.25</v>
      </c>
      <c r="G42" s="6">
        <f>IFERROR('91_Raw_BS_vnstock'!D113/1000000000,0)</f>
        <v>0</v>
      </c>
      <c r="H42" s="6">
        <f>IFERROR('91_Raw_BS_vnstock'!C113/1000000000,0)</f>
        <v>0</v>
      </c>
      <c r="I42" s="5" t="s">
        <v>57</v>
      </c>
      <c r="J42" s="5" t="s">
        <v>84</v>
      </c>
      <c r="K42" s="5"/>
    </row>
    <row r="43" spans="1:11" ht="16.5" customHeight="1">
      <c r="A43" s="2"/>
      <c r="B43" s="3" t="s">
        <v>85</v>
      </c>
      <c r="C43" s="4" t="s">
        <v>14</v>
      </c>
      <c r="D43" s="17">
        <v>0</v>
      </c>
      <c r="E43" s="6">
        <f>IFERROR('91_Raw_BS_vnstock'!F104/1000000000,0)</f>
        <v>5901.25</v>
      </c>
      <c r="F43" s="6">
        <f>IFERROR('91_Raw_BS_vnstock'!E104/1000000000,0)</f>
        <v>5986.4186909999999</v>
      </c>
      <c r="G43" s="6">
        <f>IFERROR('91_Raw_BS_vnstock'!D104/1000000000,0)</f>
        <v>0</v>
      </c>
      <c r="H43" s="6">
        <f>IFERROR('91_Raw_BS_vnstock'!C104/1000000000,0)</f>
        <v>0</v>
      </c>
      <c r="I43" s="5" t="s">
        <v>57</v>
      </c>
      <c r="J43" s="5" t="s">
        <v>86</v>
      </c>
      <c r="K43" s="5"/>
    </row>
    <row r="44" spans="1:11" ht="16.5" customHeight="1">
      <c r="A44" s="2"/>
      <c r="B44" s="3" t="s">
        <v>87</v>
      </c>
      <c r="C44" s="4" t="s">
        <v>14</v>
      </c>
      <c r="D44" s="17">
        <v>42593.158815096001</v>
      </c>
      <c r="E44" s="6">
        <f>IFERROR('91_Raw_BS_vnstock'!F87/1000000000,0)</f>
        <v>31901.514095999999</v>
      </c>
      <c r="F44" s="6">
        <f>IFERROR('91_Raw_BS_vnstock'!E87/1000000000,0)</f>
        <v>36751.679244999999</v>
      </c>
      <c r="G44" s="6">
        <f>IFERROR('91_Raw_BS_vnstock'!D87/1000000000,0)</f>
        <v>42316.198898000002</v>
      </c>
      <c r="H44" s="6">
        <f>IFERROR('91_Raw_BS_vnstock'!C87/1000000000,0)</f>
        <v>50769.502237000001</v>
      </c>
      <c r="I44" s="5" t="s">
        <v>57</v>
      </c>
      <c r="J44" s="5" t="s">
        <v>88</v>
      </c>
      <c r="K44" s="5"/>
    </row>
    <row r="45" spans="1:11" ht="16.5" customHeight="1">
      <c r="A45" s="2"/>
      <c r="B45" s="3" t="s">
        <v>89</v>
      </c>
      <c r="C45" s="4" t="s">
        <v>14</v>
      </c>
      <c r="D45" s="17">
        <v>7130.6549500000001</v>
      </c>
      <c r="E45" s="6">
        <f>IFERROR('91_Raw_BS_vnstock'!F122/1000000000,0)</f>
        <v>14638.792799999999</v>
      </c>
      <c r="F45" s="6">
        <f>IFERROR('91_Raw_BS_vnstock'!E122/1000000000,0)</f>
        <v>14633.767159999999</v>
      </c>
      <c r="G45" s="6">
        <f>IFERROR('91_Raw_BS_vnstock'!D122/1000000000,0)</f>
        <v>14622.441769999999</v>
      </c>
      <c r="H45" s="6">
        <f>IFERROR('91_Raw_BS_vnstock'!C122/1000000000,0)</f>
        <v>14696.931769999999</v>
      </c>
      <c r="I45" s="5" t="s">
        <v>57</v>
      </c>
      <c r="J45" s="5" t="s">
        <v>90</v>
      </c>
      <c r="K45" s="5"/>
    </row>
    <row r="46" spans="1:11" ht="16.5" customHeight="1">
      <c r="A46" s="2"/>
      <c r="B46" s="3" t="s">
        <v>91</v>
      </c>
      <c r="C46" s="4" t="s">
        <v>14</v>
      </c>
      <c r="D46" s="17">
        <v>12674.574164064999</v>
      </c>
      <c r="E46" s="6">
        <f>IFERROR('91_Raw_BS_vnstock'!F134/1000000000,0)</f>
        <v>8723.9342259999994</v>
      </c>
      <c r="F46" s="6">
        <f>IFERROR('91_Raw_BS_vnstock'!E134/1000000000,0)</f>
        <v>8160.3235960000002</v>
      </c>
      <c r="G46" s="6">
        <f>IFERROR('91_Raw_BS_vnstock'!D134/1000000000,0)</f>
        <v>12582.145267</v>
      </c>
      <c r="H46" s="6">
        <f>IFERROR('91_Raw_BS_vnstock'!C134/1000000000,0)</f>
        <v>18068.194576000002</v>
      </c>
      <c r="I46" s="5" t="s">
        <v>57</v>
      </c>
      <c r="J46" s="5" t="s">
        <v>92</v>
      </c>
      <c r="K46" s="5"/>
    </row>
    <row r="47" spans="1:11" ht="16.5" customHeight="1">
      <c r="A47" s="2"/>
      <c r="B47" s="3" t="s">
        <v>93</v>
      </c>
      <c r="C47" s="4" t="s">
        <v>14</v>
      </c>
      <c r="D47" s="20">
        <v>11.838029496000001</v>
      </c>
      <c r="E47" s="6">
        <f>IFERROR('91_Raw_BS_vnstock'!F138/1000000000,0)</f>
        <v>14.508096999999999</v>
      </c>
      <c r="F47" s="6">
        <f>IFERROR('91_Raw_BS_vnstock'!E138/1000000000,0)</f>
        <v>13.40103</v>
      </c>
      <c r="G47" s="6">
        <f>IFERROR('91_Raw_BS_vnstock'!D138/1000000000,0)</f>
        <v>364.02065099999999</v>
      </c>
      <c r="H47" s="6">
        <f>IFERROR('91_Raw_BS_vnstock'!C138/1000000000,0)</f>
        <v>576.35098800000003</v>
      </c>
      <c r="I47" s="5" t="s">
        <v>57</v>
      </c>
      <c r="J47" s="5" t="s">
        <v>51</v>
      </c>
      <c r="K47" s="5"/>
    </row>
    <row r="48" spans="1:11" ht="16.5" customHeight="1">
      <c r="A48" s="2"/>
      <c r="B48" s="3" t="s">
        <v>94</v>
      </c>
      <c r="C48" s="4" t="s">
        <v>14</v>
      </c>
      <c r="D48" s="17">
        <v>20378.245999846</v>
      </c>
      <c r="E48" s="6">
        <f>IFERROR('91_Raw_BS_vnstock'!F120/1000000000,0)</f>
        <v>23932.581517999999</v>
      </c>
      <c r="F48" s="6">
        <f>IFERROR('91_Raw_BS_vnstock'!E120/1000000000,0)</f>
        <v>23359.557967000001</v>
      </c>
      <c r="G48" s="6">
        <f>IFERROR('91_Raw_BS_vnstock'!D120/1000000000,0)</f>
        <v>28121.576824</v>
      </c>
      <c r="H48" s="6">
        <f>IFERROR('91_Raw_BS_vnstock'!C120/1000000000,0)</f>
        <v>33176.117375000002</v>
      </c>
      <c r="I48" s="5" t="s">
        <v>57</v>
      </c>
      <c r="J48" s="5" t="s">
        <v>95</v>
      </c>
      <c r="K48" s="5"/>
    </row>
    <row r="49" spans="1:11" ht="16.5" customHeight="1">
      <c r="A49" s="2"/>
      <c r="B49" s="3" t="s">
        <v>96</v>
      </c>
      <c r="C49" s="4" t="s">
        <v>14</v>
      </c>
      <c r="D49" s="17">
        <v>62971.404814941998</v>
      </c>
      <c r="E49" s="6">
        <f>IFERROR('91_Raw_BS_vnstock'!F144/1000000000,0)</f>
        <v>55834.095613999998</v>
      </c>
      <c r="F49" s="6">
        <f>IFERROR('91_Raw_BS_vnstock'!E144/1000000000,0)</f>
        <v>60111.237213</v>
      </c>
      <c r="G49" s="6">
        <f>IFERROR('91_Raw_BS_vnstock'!D144/1000000000,0)</f>
        <v>70437.775722000006</v>
      </c>
      <c r="H49" s="6">
        <f>IFERROR('91_Raw_BS_vnstock'!C144/1000000000,0)</f>
        <v>83945.619611999995</v>
      </c>
      <c r="I49" s="5" t="s">
        <v>57</v>
      </c>
      <c r="J49" s="5" t="s">
        <v>97</v>
      </c>
      <c r="K49" s="5"/>
    </row>
    <row r="50" spans="1:11" ht="16.5" customHeight="1">
      <c r="A50" s="2"/>
      <c r="B50" s="3" t="s">
        <v>98</v>
      </c>
      <c r="C50" s="4" t="s">
        <v>14</v>
      </c>
      <c r="D50" s="19">
        <v>24647.474278786001</v>
      </c>
      <c r="E50" s="8">
        <f>E40+E42</f>
        <v>16589.388631000002</v>
      </c>
      <c r="F50" s="8">
        <f>F40+F42</f>
        <v>25113.791818000002</v>
      </c>
      <c r="G50" s="8">
        <f>G40+G42</f>
        <v>27300.246722</v>
      </c>
      <c r="H50" s="8">
        <f>H40+H42</f>
        <v>29930.942962000001</v>
      </c>
      <c r="I50" s="5" t="s">
        <v>24</v>
      </c>
      <c r="J50" s="5"/>
      <c r="K50" s="5"/>
    </row>
    <row r="51" spans="1:11" ht="16.5" customHeight="1">
      <c r="A51" s="2"/>
      <c r="B51" s="3" t="s">
        <v>99</v>
      </c>
      <c r="C51" s="4" t="s">
        <v>14</v>
      </c>
      <c r="D51" s="19">
        <v>6268.8321815240033</v>
      </c>
      <c r="E51" s="8">
        <f>E50-E29-E30</f>
        <v>1459.1184780000021</v>
      </c>
      <c r="F51" s="8">
        <f>F50-F29-F30</f>
        <v>811.07888699999967</v>
      </c>
      <c r="G51" s="8">
        <f>G50-G29-G30</f>
        <v>-6921.5265749999999</v>
      </c>
      <c r="H51" s="8">
        <f>H50-H29-H30</f>
        <v>-8943.2528579999998</v>
      </c>
      <c r="I51" s="5" t="s">
        <v>24</v>
      </c>
      <c r="J51" s="5"/>
      <c r="K51" s="5"/>
    </row>
    <row r="52" spans="1:11" ht="16.5" customHeight="1">
      <c r="A52" s="2"/>
      <c r="B52" s="3" t="s">
        <v>100</v>
      </c>
      <c r="C52" s="4" t="s">
        <v>14</v>
      </c>
      <c r="D52" s="19">
        <v>20149.579493773999</v>
      </c>
      <c r="E52" s="8">
        <f>E31+E32-E39</f>
        <v>19951.067868999999</v>
      </c>
      <c r="F52" s="8">
        <f>F31+F32-F39</f>
        <v>19056.019236</v>
      </c>
      <c r="G52" s="8">
        <f>G31+G32-G39</f>
        <v>21890.936497000002</v>
      </c>
      <c r="H52" s="8">
        <f>H31+H32-H39</f>
        <v>24335.788280000001</v>
      </c>
      <c r="I52" s="5" t="s">
        <v>24</v>
      </c>
      <c r="J52" s="5"/>
      <c r="K52" s="5"/>
    </row>
    <row r="53" spans="1:11" ht="16.5" customHeight="1">
      <c r="A53" s="319" t="s">
        <v>101</v>
      </c>
      <c r="B53" s="318"/>
      <c r="C53" s="318"/>
      <c r="D53" s="318"/>
      <c r="E53" s="318"/>
      <c r="F53" s="318"/>
      <c r="G53" s="318"/>
      <c r="H53" s="318"/>
      <c r="I53" s="318"/>
      <c r="J53" s="318"/>
      <c r="K53" s="318"/>
    </row>
    <row r="54" spans="1:11" ht="16.5" customHeight="1">
      <c r="A54" s="2"/>
      <c r="B54" s="3" t="s">
        <v>102</v>
      </c>
      <c r="C54" s="4" t="s">
        <v>14</v>
      </c>
      <c r="D54" s="17">
        <v>6471.583750543</v>
      </c>
      <c r="E54" s="6">
        <f>IFERROR('92_Raw_CF_vnstock'!F3/1000000000,0)</f>
        <v>6056.3553739999998</v>
      </c>
      <c r="F54" s="6">
        <f>IFERROR('92_Raw_CF_vnstock'!E3/1000000000,0)</f>
        <v>689.69236799999999</v>
      </c>
      <c r="G54" s="6">
        <f>IFERROR('92_Raw_CF_vnstock'!D3/1000000000,0)</f>
        <v>4825.7630129999998</v>
      </c>
      <c r="H54" s="6">
        <f>IFERROR('92_Raw_CF_vnstock'!C3/1000000000,0)</f>
        <v>8633.067583</v>
      </c>
      <c r="I54" s="5" t="s">
        <v>103</v>
      </c>
      <c r="J54" s="5" t="s">
        <v>42</v>
      </c>
      <c r="K54" s="5"/>
    </row>
    <row r="55" spans="1:11" ht="16.5" customHeight="1">
      <c r="A55" s="2"/>
      <c r="B55" s="3" t="s">
        <v>104</v>
      </c>
      <c r="C55" s="4" t="s">
        <v>14</v>
      </c>
      <c r="D55" s="17">
        <v>2920.7136084099998</v>
      </c>
      <c r="E55" s="6">
        <f>IFERROR('92_Raw_CF_vnstock'!F5/1000000000,0)</f>
        <v>3540.3247259999998</v>
      </c>
      <c r="F55" s="6">
        <f>IFERROR('92_Raw_CF_vnstock'!E5/1000000000,0)</f>
        <v>3351.3142680000001</v>
      </c>
      <c r="G55" s="6">
        <f>IFERROR('92_Raw_CF_vnstock'!D5/1000000000,0)</f>
        <v>2913.419081</v>
      </c>
      <c r="H55" s="6">
        <f>IFERROR('92_Raw_CF_vnstock'!C5/1000000000,0)</f>
        <v>1890.8821089999999</v>
      </c>
      <c r="I55" s="5" t="s">
        <v>103</v>
      </c>
      <c r="J55" s="5" t="s">
        <v>105</v>
      </c>
      <c r="K55" s="5"/>
    </row>
    <row r="56" spans="1:11" ht="16.5" customHeight="1">
      <c r="A56" s="2"/>
      <c r="B56" s="3" t="s">
        <v>106</v>
      </c>
      <c r="C56" s="4" t="s">
        <v>14</v>
      </c>
      <c r="D56" s="17">
        <v>-585.13603521899995</v>
      </c>
      <c r="E56" s="6">
        <f>IFERROR('92_Raw_CF_vnstock'!F20/1000000000,0)</f>
        <v>-1322.3811089999999</v>
      </c>
      <c r="F56" s="6">
        <f>IFERROR('92_Raw_CF_vnstock'!E20/1000000000,0)</f>
        <v>-1435.731871</v>
      </c>
      <c r="G56" s="6">
        <f>IFERROR('92_Raw_CF_vnstock'!D20/1000000000,0)</f>
        <v>-1141.5215410000001</v>
      </c>
      <c r="H56" s="6">
        <f>IFERROR('92_Raw_CF_vnstock'!C20/1000000000,0)</f>
        <v>-1396.4603279999999</v>
      </c>
      <c r="I56" s="5" t="s">
        <v>103</v>
      </c>
      <c r="J56" s="5" t="s">
        <v>107</v>
      </c>
      <c r="K56" s="5"/>
    </row>
    <row r="57" spans="1:11" ht="16.5" customHeight="1">
      <c r="A57" s="2"/>
      <c r="B57" s="3" t="s">
        <v>108</v>
      </c>
      <c r="C57" s="4" t="s">
        <v>14</v>
      </c>
      <c r="D57" s="17">
        <v>-1533.1021228069999</v>
      </c>
      <c r="E57" s="6">
        <f>IFERROR('92_Raw_CF_vnstock'!F21/1000000000,0)</f>
        <v>-1805.3408440000001</v>
      </c>
      <c r="F57" s="6">
        <f>IFERROR('92_Raw_CF_vnstock'!E21/1000000000,0)</f>
        <v>-860.42960300000004</v>
      </c>
      <c r="G57" s="6">
        <f>IFERROR('92_Raw_CF_vnstock'!D21/1000000000,0)</f>
        <v>-958.91497800000002</v>
      </c>
      <c r="H57" s="6">
        <f>IFERROR('92_Raw_CF_vnstock'!C21/1000000000,0)</f>
        <v>-1546.459474</v>
      </c>
      <c r="I57" s="5" t="s">
        <v>103</v>
      </c>
      <c r="J57" s="5" t="s">
        <v>109</v>
      </c>
      <c r="K57" s="5"/>
    </row>
    <row r="58" spans="1:11" ht="16.5" customHeight="1">
      <c r="A58" s="2"/>
      <c r="B58" s="3" t="s">
        <v>110</v>
      </c>
      <c r="C58" s="4" t="s">
        <v>14</v>
      </c>
      <c r="D58" s="17">
        <v>171.39043592199999</v>
      </c>
      <c r="E58" s="6">
        <f>IFERROR('92_Raw_CF_vnstock'!F24/1000000000,0)</f>
        <v>7976.2988020000003</v>
      </c>
      <c r="F58" s="6">
        <f>IFERROR('92_Raw_CF_vnstock'!E24/1000000000,0)</f>
        <v>3435.8271759999998</v>
      </c>
      <c r="G58" s="6">
        <f>IFERROR('92_Raw_CF_vnstock'!D24/1000000000,0)</f>
        <v>8517.3327069999996</v>
      </c>
      <c r="H58" s="6">
        <f>IFERROR('92_Raw_CF_vnstock'!C24/1000000000,0)</f>
        <v>6096.1406900000002</v>
      </c>
      <c r="I58" s="5" t="s">
        <v>103</v>
      </c>
      <c r="J58" s="5" t="s">
        <v>111</v>
      </c>
      <c r="K58" s="5"/>
    </row>
    <row r="59" spans="1:11" ht="16.5" customHeight="1">
      <c r="A59" s="2"/>
      <c r="B59" s="3" t="s">
        <v>112</v>
      </c>
      <c r="C59" s="4" t="s">
        <v>14</v>
      </c>
      <c r="D59" s="17">
        <v>-4976.8765900159997</v>
      </c>
      <c r="E59" s="6">
        <f>IFERROR('92_Raw_CF_vnstock'!F26/1000000000,0)</f>
        <v>-4465.3595240000004</v>
      </c>
      <c r="F59" s="6">
        <f>IFERROR('92_Raw_CF_vnstock'!E26/1000000000,0)</f>
        <v>-523.383331</v>
      </c>
      <c r="G59" s="6">
        <f>IFERROR('92_Raw_CF_vnstock'!D26/1000000000,0)</f>
        <v>-303.74782699999997</v>
      </c>
      <c r="H59" s="6">
        <f>IFERROR('92_Raw_CF_vnstock'!C26/1000000000,0)</f>
        <v>-888.46189000000004</v>
      </c>
      <c r="I59" s="5" t="s">
        <v>103</v>
      </c>
      <c r="J59" s="5" t="s">
        <v>113</v>
      </c>
      <c r="K59" s="5"/>
    </row>
    <row r="60" spans="1:11" ht="16.5" customHeight="1">
      <c r="A60" s="2"/>
      <c r="B60" s="3" t="s">
        <v>114</v>
      </c>
      <c r="C60" s="4" t="s">
        <v>14</v>
      </c>
      <c r="D60" s="17">
        <v>-11254.869604436</v>
      </c>
      <c r="E60" s="6">
        <f>IFERROR('92_Raw_CF_vnstock'!F37/1000000000,0)</f>
        <v>1549.1114230000001</v>
      </c>
      <c r="F60" s="6">
        <f>IFERROR('92_Raw_CF_vnstock'!E37/1000000000,0)</f>
        <v>-10831.294696999999</v>
      </c>
      <c r="G60" s="6">
        <f>IFERROR('92_Raw_CF_vnstock'!D37/1000000000,0)</f>
        <v>-11743.285669999999</v>
      </c>
      <c r="H60" s="6">
        <f>IFERROR('92_Raw_CF_vnstock'!C37/1000000000,0)</f>
        <v>-6660.7753919999996</v>
      </c>
      <c r="I60" s="5" t="s">
        <v>103</v>
      </c>
      <c r="J60" s="5" t="s">
        <v>115</v>
      </c>
      <c r="K60" s="5"/>
    </row>
    <row r="61" spans="1:11" ht="16.5" customHeight="1">
      <c r="A61" s="2"/>
      <c r="B61" s="3" t="s">
        <v>116</v>
      </c>
      <c r="C61" s="4" t="s">
        <v>14</v>
      </c>
      <c r="D61" s="17">
        <v>63936.208247950002</v>
      </c>
      <c r="E61" s="6">
        <f>IFERROR('92_Raw_CF_vnstock'!F41/1000000000,0)</f>
        <v>65251.647851000002</v>
      </c>
      <c r="F61" s="6">
        <f>IFERROR('92_Raw_CF_vnstock'!E41/1000000000,0)</f>
        <v>70373.733043999993</v>
      </c>
      <c r="G61" s="6">
        <f>IFERROR('92_Raw_CF_vnstock'!D41/1000000000,0)</f>
        <v>74756.279079999993</v>
      </c>
      <c r="H61" s="6">
        <f>IFERROR('92_Raw_CF_vnstock'!C41/1000000000,0)</f>
        <v>98550.109184999994</v>
      </c>
      <c r="I61" s="5" t="s">
        <v>103</v>
      </c>
      <c r="J61" s="5" t="s">
        <v>117</v>
      </c>
      <c r="K61" s="5"/>
    </row>
    <row r="62" spans="1:11" ht="16.5" customHeight="1">
      <c r="A62" s="2"/>
      <c r="B62" s="3" t="s">
        <v>118</v>
      </c>
      <c r="C62" s="4" t="s">
        <v>14</v>
      </c>
      <c r="D62" s="17">
        <v>-56045.130957736998</v>
      </c>
      <c r="E62" s="6">
        <f>IFERROR('92_Raw_CF_vnstock'!F42/1000000000,0)</f>
        <v>-73313.739287000004</v>
      </c>
      <c r="F62" s="6">
        <f>IFERROR('92_Raw_CF_vnstock'!E42/1000000000,0)</f>
        <v>-61933.329856999997</v>
      </c>
      <c r="G62" s="6">
        <f>IFERROR('92_Raw_CF_vnstock'!D42/1000000000,0)</f>
        <v>-73030.33842</v>
      </c>
      <c r="H62" s="6">
        <f>IFERROR('92_Raw_CF_vnstock'!C42/1000000000,0)</f>
        <v>-95872.137944999995</v>
      </c>
      <c r="I62" s="5" t="s">
        <v>103</v>
      </c>
      <c r="J62" s="5" t="s">
        <v>119</v>
      </c>
      <c r="K62" s="5"/>
    </row>
    <row r="63" spans="1:11" ht="16.5" customHeight="1">
      <c r="A63" s="2"/>
      <c r="B63" s="3" t="s">
        <v>120</v>
      </c>
      <c r="C63" s="4" t="s">
        <v>14</v>
      </c>
      <c r="D63" s="17">
        <v>-239.51944106299999</v>
      </c>
      <c r="E63" s="6">
        <f>IFERROR('92_Raw_CF_vnstock'!F44/1000000000,0)</f>
        <v>-731.85481500000003</v>
      </c>
      <c r="F63" s="6">
        <f>IFERROR('92_Raw_CF_vnstock'!E44/1000000000,0)</f>
        <v>-731.28002400000003</v>
      </c>
      <c r="G63" s="6">
        <f>IFERROR('92_Raw_CF_vnstock'!D44/1000000000,0)</f>
        <v>-730.95769399999995</v>
      </c>
      <c r="H63" s="6">
        <f>IFERROR('92_Raw_CF_vnstock'!C44/1000000000,0)</f>
        <v>-1478.4567629999999</v>
      </c>
      <c r="I63" s="5" t="s">
        <v>103</v>
      </c>
      <c r="J63" s="5" t="s">
        <v>121</v>
      </c>
      <c r="K63" s="5"/>
    </row>
    <row r="64" spans="1:11" ht="16.5" customHeight="1">
      <c r="A64" s="2"/>
      <c r="B64" s="3" t="s">
        <v>122</v>
      </c>
      <c r="C64" s="4" t="s">
        <v>14</v>
      </c>
      <c r="D64" s="17">
        <v>7877.4908791500002</v>
      </c>
      <c r="E64" s="6">
        <f>IFERROR('92_Raw_CF_vnstock'!F47/1000000000,0)</f>
        <v>-8606.3435210000007</v>
      </c>
      <c r="F64" s="6">
        <f>IFERROR('92_Raw_CF_vnstock'!E47/1000000000,0)</f>
        <v>7699.7831029999998</v>
      </c>
      <c r="G64" s="6">
        <f>IFERROR('92_Raw_CF_vnstock'!D47/1000000000,0)</f>
        <v>2757.4755140000002</v>
      </c>
      <c r="H64" s="6">
        <f>IFERROR('92_Raw_CF_vnstock'!C47/1000000000,0)</f>
        <v>667.17174599999998</v>
      </c>
      <c r="I64" s="5" t="s">
        <v>103</v>
      </c>
      <c r="J64" s="5" t="s">
        <v>123</v>
      </c>
      <c r="K64" s="5"/>
    </row>
    <row r="65" spans="1:11" ht="16.5" customHeight="1">
      <c r="A65" s="2"/>
      <c r="B65" s="3" t="s">
        <v>124</v>
      </c>
      <c r="C65" s="4" t="s">
        <v>14</v>
      </c>
      <c r="D65" s="17">
        <v>-3205.9882893640001</v>
      </c>
      <c r="E65" s="6">
        <f>IFERROR('92_Raw_CF_vnstock'!F48/1000000000,0)</f>
        <v>919.06670399999996</v>
      </c>
      <c r="F65" s="6">
        <f>IFERROR('92_Raw_CF_vnstock'!E48/1000000000,0)</f>
        <v>304.31558200000001</v>
      </c>
      <c r="G65" s="6">
        <f>IFERROR('92_Raw_CF_vnstock'!D48/1000000000,0)</f>
        <v>-468.47744999999998</v>
      </c>
      <c r="H65" s="6">
        <f>IFERROR('92_Raw_CF_vnstock'!C48/1000000000,0)</f>
        <v>102.53704399999999</v>
      </c>
      <c r="I65" s="5" t="s">
        <v>103</v>
      </c>
      <c r="J65" s="5" t="s">
        <v>125</v>
      </c>
      <c r="K65" s="5"/>
    </row>
    <row r="66" spans="1:11" ht="16.5" customHeight="1">
      <c r="A66" s="2"/>
      <c r="B66" s="3" t="s">
        <v>126</v>
      </c>
      <c r="C66" s="4" t="s">
        <v>14</v>
      </c>
      <c r="D66" s="17">
        <v>7347.8573979250004</v>
      </c>
      <c r="E66" s="6">
        <f>IFERROR('92_Raw_CF_vnstock'!F49/1000000000,0)</f>
        <v>4142.0157630000003</v>
      </c>
      <c r="F66" s="6">
        <f>IFERROR('92_Raw_CF_vnstock'!E49/1000000000,0)</f>
        <v>5061.0205470000001</v>
      </c>
      <c r="G66" s="6">
        <f>IFERROR('92_Raw_CF_vnstock'!D49/1000000000,0)</f>
        <v>5365.7048569999997</v>
      </c>
      <c r="H66" s="6">
        <f>IFERROR('92_Raw_CF_vnstock'!C49/1000000000,0)</f>
        <v>4897.3315409999996</v>
      </c>
      <c r="I66" s="5" t="s">
        <v>103</v>
      </c>
      <c r="J66" s="5" t="s">
        <v>127</v>
      </c>
      <c r="K66" s="5"/>
    </row>
    <row r="67" spans="1:11" ht="16.5" customHeight="1">
      <c r="A67" s="2"/>
      <c r="B67" s="3" t="s">
        <v>128</v>
      </c>
      <c r="C67" s="4" t="s">
        <v>14</v>
      </c>
      <c r="D67" s="17">
        <v>0.14665399400000001</v>
      </c>
      <c r="E67" s="12">
        <f>IFERROR('92_Raw_CF_vnstock'!F50/1000000000,0)</f>
        <v>-6.1919000000000002E-2</v>
      </c>
      <c r="F67" s="12">
        <f>IFERROR('92_Raw_CF_vnstock'!E50/1000000000,0)</f>
        <v>0.368728</v>
      </c>
      <c r="G67" s="12">
        <f>IFERROR('92_Raw_CF_vnstock'!D50/1000000000,0)</f>
        <v>0.104134</v>
      </c>
      <c r="H67" s="12">
        <f>IFERROR('92_Raw_CF_vnstock'!C50/1000000000,0)</f>
        <v>5.7132000000000002E-2</v>
      </c>
      <c r="I67" s="5" t="s">
        <v>103</v>
      </c>
      <c r="J67" s="5" t="s">
        <v>129</v>
      </c>
      <c r="K67" s="5"/>
    </row>
    <row r="68" spans="1:11" ht="16.5" customHeight="1">
      <c r="A68" s="2"/>
      <c r="B68" s="3" t="s">
        <v>130</v>
      </c>
      <c r="C68" s="4" t="s">
        <v>14</v>
      </c>
      <c r="D68" s="17">
        <v>4142.015762555</v>
      </c>
      <c r="E68" s="6">
        <f>IFERROR('92_Raw_CF_vnstock'!F51/1000000000,0)</f>
        <v>5061.0205470000001</v>
      </c>
      <c r="F68" s="6">
        <f>IFERROR('92_Raw_CF_vnstock'!E51/1000000000,0)</f>
        <v>5365.7048569999997</v>
      </c>
      <c r="G68" s="6">
        <f>IFERROR('92_Raw_CF_vnstock'!D51/1000000000,0)</f>
        <v>4897.3315409999996</v>
      </c>
      <c r="H68" s="6">
        <f>IFERROR('92_Raw_CF_vnstock'!C51/1000000000,0)</f>
        <v>4999.9257170000001</v>
      </c>
      <c r="I68" s="5" t="s">
        <v>103</v>
      </c>
      <c r="J68" s="5" t="s">
        <v>131</v>
      </c>
      <c r="K68" s="5"/>
    </row>
    <row r="69" spans="1:11" ht="16.5" customHeight="1">
      <c r="A69" s="2"/>
      <c r="B69" s="3" t="s">
        <v>132</v>
      </c>
      <c r="C69" s="4" t="s">
        <v>14</v>
      </c>
      <c r="D69" s="19">
        <v>9386.3205267659996</v>
      </c>
      <c r="E69" s="8">
        <f>E17+E55</f>
        <v>10115.018425</v>
      </c>
      <c r="F69" s="8">
        <f>F17+F55</f>
        <v>4398.3826220000001</v>
      </c>
      <c r="G69" s="8">
        <f>G17+G55</f>
        <v>8140.4645060000003</v>
      </c>
      <c r="H69" s="8">
        <f>H17+H55</f>
        <v>10554.962598</v>
      </c>
      <c r="I69" s="5" t="s">
        <v>24</v>
      </c>
      <c r="J69" s="5"/>
      <c r="K69" s="5"/>
    </row>
    <row r="70" spans="1:11" ht="16.5" customHeight="1">
      <c r="A70" s="2"/>
      <c r="B70" s="3" t="s">
        <v>133</v>
      </c>
      <c r="C70" s="4" t="s">
        <v>14</v>
      </c>
      <c r="D70" s="19">
        <v>-5019.5829060337874</v>
      </c>
      <c r="E70" s="8">
        <f>(E17*(1-IFERROR(E23/E20,0)))+E55+E59</f>
        <v>3527.728344155882</v>
      </c>
      <c r="F70" s="8">
        <f>(F17*(1-IFERROR(F23/F20,0)))+F55+F59-(F52-E52)</f>
        <v>3977.7722938757843</v>
      </c>
      <c r="G70" s="8">
        <f>(G17*(1-IFERROR(G23/G20,0)))+G55+G59-(G52-F52)</f>
        <v>3818.4807788020262</v>
      </c>
      <c r="H70" s="8">
        <f>(H17*(1-IFERROR(H23/H20,0)))+H55+H59-(H52-G52)</f>
        <v>5655.5985815433978</v>
      </c>
      <c r="I70" s="5" t="s">
        <v>24</v>
      </c>
      <c r="J70" s="5"/>
      <c r="K70" s="5"/>
    </row>
    <row r="71" spans="1:11" ht="16.5" customHeight="1">
      <c r="A71" s="319" t="s">
        <v>134</v>
      </c>
      <c r="B71" s="453"/>
      <c r="C71" s="452"/>
      <c r="D71" s="452"/>
      <c r="E71" s="452"/>
      <c r="F71" s="452"/>
      <c r="G71" s="452"/>
      <c r="H71" s="452"/>
      <c r="I71" s="452"/>
      <c r="J71" s="452"/>
      <c r="K71" s="452"/>
    </row>
    <row r="72" spans="1:11" ht="16.5" customHeight="1">
      <c r="A72" s="2"/>
      <c r="B72" s="320" t="s">
        <v>135</v>
      </c>
      <c r="C72" s="321" t="s">
        <v>14</v>
      </c>
      <c r="D72" s="322">
        <v>0</v>
      </c>
      <c r="E72" s="323">
        <f>E7-E8-E9</f>
        <v>9.999894245993346E-7</v>
      </c>
      <c r="F72" s="323">
        <f>F7-F8-F9</f>
        <v>-9.9999670055694878E-7</v>
      </c>
      <c r="G72" s="323">
        <f>G7-G8-G9</f>
        <v>0</v>
      </c>
      <c r="H72" s="323">
        <f>H7-H8-H9</f>
        <v>-1.0000112524721771E-6</v>
      </c>
      <c r="I72" s="324" t="s">
        <v>24</v>
      </c>
      <c r="J72" s="324"/>
      <c r="K72" s="324" t="s">
        <v>136</v>
      </c>
    </row>
    <row r="73" spans="1:11" ht="16.5" customHeight="1">
      <c r="A73" s="2"/>
      <c r="B73" s="320" t="s">
        <v>137</v>
      </c>
      <c r="C73" s="321" t="s">
        <v>14</v>
      </c>
      <c r="D73" s="322">
        <v>-3.637978807091713E-12</v>
      </c>
      <c r="E73" s="325">
        <f>E38-E44-E48</f>
        <v>0</v>
      </c>
      <c r="F73" s="323">
        <f>F38-F44-F48</f>
        <v>1.0000003385357559E-6</v>
      </c>
      <c r="G73" s="323">
        <f>G38-G44-G48</f>
        <v>0</v>
      </c>
      <c r="H73" s="323">
        <f>H38-H44-H48</f>
        <v>0</v>
      </c>
      <c r="I73" s="324" t="s">
        <v>24</v>
      </c>
      <c r="J73" s="324"/>
      <c r="K73" s="324" t="s">
        <v>138</v>
      </c>
    </row>
    <row r="74" spans="1:11" ht="16.5" customHeight="1">
      <c r="A74" s="2"/>
      <c r="B74" s="320" t="s">
        <v>139</v>
      </c>
      <c r="C74" s="321" t="s">
        <v>14</v>
      </c>
      <c r="D74" s="322">
        <v>0</v>
      </c>
      <c r="E74" s="323">
        <f>E38-E49</f>
        <v>0</v>
      </c>
      <c r="F74" s="323">
        <f>F38-F49</f>
        <v>0</v>
      </c>
      <c r="G74" s="323">
        <f>G38-G49</f>
        <v>0</v>
      </c>
      <c r="H74" s="323">
        <f>H38-H49</f>
        <v>0</v>
      </c>
      <c r="I74" s="324" t="s">
        <v>24</v>
      </c>
      <c r="J74" s="324"/>
      <c r="K74" s="324" t="s">
        <v>140</v>
      </c>
    </row>
    <row r="75" spans="1:11" ht="16.5" customHeight="1">
      <c r="A75" s="2"/>
      <c r="B75" s="320" t="s">
        <v>141</v>
      </c>
      <c r="C75" s="321" t="s">
        <v>14</v>
      </c>
      <c r="D75" s="322">
        <v>9.0949470177292824E-13</v>
      </c>
      <c r="E75" s="323">
        <f>E66+E65+E67-E68</f>
        <v>1.0000003385357559E-6</v>
      </c>
      <c r="F75" s="323">
        <f>F66+F65+F67-F68</f>
        <v>0</v>
      </c>
      <c r="G75" s="323">
        <f>G66+G65+G67-G68</f>
        <v>0</v>
      </c>
      <c r="H75" s="323">
        <f>H66+H65+H67-H68</f>
        <v>0</v>
      </c>
      <c r="I75" s="324" t="s">
        <v>24</v>
      </c>
      <c r="J75" s="324"/>
      <c r="K75" s="324" t="s">
        <v>142</v>
      </c>
    </row>
  </sheetData>
  <mergeCells count="3">
    <mergeCell ref="A1:J1"/>
    <mergeCell ref="B71:K71"/>
    <mergeCell ref="A2:J2"/>
  </mergeCells>
  <conditionalFormatting sqref="D72:H75">
    <cfRule type="expression" dxfId="1" priority="1">
      <formula>ABS(D72)&gt;1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5"/>
  <sheetViews>
    <sheetView showGridLines="0" topLeftCell="A66" workbookViewId="0">
      <selection sqref="A1:I1"/>
    </sheetView>
  </sheetViews>
  <sheetFormatPr defaultRowHeight="13.8"/>
  <cols>
    <col min="1" max="1" width="18" customWidth="1"/>
    <col min="2" max="2" width="34" customWidth="1"/>
    <col min="3" max="3" width="12" customWidth="1"/>
    <col min="4" max="7" width="15" customWidth="1"/>
    <col min="8" max="8" width="32.5" customWidth="1"/>
    <col min="9" max="9" width="12.09765625" hidden="1" customWidth="1"/>
  </cols>
  <sheetData>
    <row r="1" spans="1:9" ht="15" customHeight="1">
      <c r="A1" s="455" t="s">
        <v>143</v>
      </c>
      <c r="B1" s="452"/>
      <c r="C1" s="452"/>
      <c r="D1" s="452"/>
      <c r="E1" s="452"/>
      <c r="F1" s="452"/>
      <c r="G1" s="452"/>
      <c r="H1" s="452"/>
      <c r="I1" s="452"/>
    </row>
    <row r="2" spans="1:9" ht="14.4">
      <c r="A2" s="456" t="s">
        <v>144</v>
      </c>
      <c r="B2" s="452"/>
      <c r="C2" s="452"/>
      <c r="D2" s="452"/>
      <c r="E2" s="452"/>
      <c r="F2" s="452"/>
      <c r="G2" s="452"/>
      <c r="H2" s="452"/>
      <c r="I2" s="452"/>
    </row>
    <row r="3" spans="1:9">
      <c r="E3" s="61" t="s">
        <v>145</v>
      </c>
    </row>
    <row r="4" spans="1:9" ht="30" customHeight="1">
      <c r="A4" s="326" t="s">
        <v>2</v>
      </c>
      <c r="B4" s="326" t="s">
        <v>3</v>
      </c>
      <c r="C4" s="326" t="s">
        <v>4</v>
      </c>
      <c r="D4" s="326" t="s">
        <v>146</v>
      </c>
      <c r="E4" s="326" t="s">
        <v>147</v>
      </c>
      <c r="F4" s="326" t="s">
        <v>148</v>
      </c>
      <c r="G4" s="326" t="s">
        <v>149</v>
      </c>
      <c r="H4" s="326" t="s">
        <v>150</v>
      </c>
      <c r="I4" s="326"/>
    </row>
    <row r="5" spans="1:9" ht="30" customHeight="1">
      <c r="A5" s="327" t="s">
        <v>12</v>
      </c>
      <c r="B5" s="327"/>
      <c r="C5" s="327"/>
      <c r="D5" s="327"/>
      <c r="E5" s="327"/>
      <c r="F5" s="327"/>
      <c r="G5" s="327"/>
      <c r="H5" s="327"/>
      <c r="I5" s="327"/>
    </row>
    <row r="6" spans="1:9">
      <c r="A6" s="26"/>
      <c r="B6" s="26" t="s">
        <v>13</v>
      </c>
      <c r="C6" s="26" t="s">
        <v>14</v>
      </c>
      <c r="D6" s="33">
        <f>IFERROR('93_Raw_IS_Q_BCTC'!C4/1000000000,0)</f>
        <v>36332.913479242001</v>
      </c>
      <c r="E6" s="33">
        <f>IFERROR('93_Raw_IS_Q_BCTC'!D4/1000000000,0)</f>
        <v>46709.163270992001</v>
      </c>
      <c r="F6" s="34">
        <f>IFERROR(E6/D6-1,"")</f>
        <v>0.28558815680108451</v>
      </c>
      <c r="G6" s="35">
        <f>'03_Historical_FS'!H6-D6+E6</f>
        <v>167212.36484674999</v>
      </c>
      <c r="H6" s="26" t="s">
        <v>151</v>
      </c>
      <c r="I6" s="26"/>
    </row>
    <row r="7" spans="1:9">
      <c r="A7" s="26"/>
      <c r="B7" s="26" t="s">
        <v>17</v>
      </c>
      <c r="C7" s="26" t="s">
        <v>14</v>
      </c>
      <c r="D7" s="33">
        <f>IFERROR('93_Raw_IS_Q_BCTC'!C6/1000000000,0)</f>
        <v>36134.958418208997</v>
      </c>
      <c r="E7" s="33">
        <f>IFERROR('93_Raw_IS_Q_BCTC'!D6/1000000000,0)</f>
        <v>46461.952026772997</v>
      </c>
      <c r="F7" s="34">
        <f>IFERROR(E7/D7-1,"")</f>
        <v>0.28578955284918939</v>
      </c>
      <c r="G7" s="35">
        <f>'03_Historical_FS'!H7-D7+E7</f>
        <v>166255.13922756398</v>
      </c>
      <c r="H7" s="26" t="s">
        <v>152</v>
      </c>
      <c r="I7" s="26"/>
    </row>
    <row r="8" spans="1:9">
      <c r="A8" s="26"/>
      <c r="B8" s="26" t="s">
        <v>18</v>
      </c>
      <c r="C8" s="26" t="s">
        <v>14</v>
      </c>
      <c r="D8" s="33">
        <f>IFERROR('93_Raw_IS_Q_BCTC'!C7/1000000000,0)</f>
        <v>28934.547803003999</v>
      </c>
      <c r="E8" s="33">
        <f>IFERROR('93_Raw_IS_Q_BCTC'!D7/1000000000,0)</f>
        <v>36751.850587456996</v>
      </c>
      <c r="F8" s="34">
        <f>IFERROR(E8/D8-1,"")</f>
        <v>0.2701719355586889</v>
      </c>
      <c r="G8" s="35">
        <f>'03_Historical_FS'!H8-D8+E8</f>
        <v>132743.571004453</v>
      </c>
      <c r="H8" s="26" t="s">
        <v>153</v>
      </c>
      <c r="I8" s="26"/>
    </row>
    <row r="9" spans="1:9">
      <c r="A9" s="26"/>
      <c r="B9" s="26" t="s">
        <v>20</v>
      </c>
      <c r="C9" s="26" t="s">
        <v>14</v>
      </c>
      <c r="D9" s="33">
        <f>IFERROR('93_Raw_IS_Q_BCTC'!C8/1000000000,0)</f>
        <v>7200.4106152049999</v>
      </c>
      <c r="E9" s="33">
        <f>IFERROR('93_Raw_IS_Q_BCTC'!D8/1000000000,0)</f>
        <v>9710.1014393160003</v>
      </c>
      <c r="F9" s="34">
        <f>IFERROR(E9/D9-1,"")</f>
        <v>0.34854829234478979</v>
      </c>
      <c r="G9" s="35">
        <f>'03_Historical_FS'!H9-D9+E9</f>
        <v>33511.568224111004</v>
      </c>
      <c r="H9" s="26" t="s">
        <v>154</v>
      </c>
      <c r="I9" s="26"/>
    </row>
    <row r="10" spans="1:9">
      <c r="A10" s="26"/>
      <c r="B10" s="26" t="s">
        <v>22</v>
      </c>
      <c r="C10" s="26" t="s">
        <v>23</v>
      </c>
      <c r="D10" s="36">
        <f>IFERROR(D9/D7,"")</f>
        <v>0.19926439465823753</v>
      </c>
      <c r="E10" s="36">
        <f>IFERROR(E9/E7,"")</f>
        <v>0.20899038924840482</v>
      </c>
      <c r="F10" s="34">
        <f>IFERROR(E10-D10,"")</f>
        <v>9.7259945901672917E-3</v>
      </c>
      <c r="G10" s="37">
        <f>IFERROR(G9/G7,"")</f>
        <v>0.20156711172844763</v>
      </c>
      <c r="H10" s="26" t="s">
        <v>24</v>
      </c>
      <c r="I10" s="26"/>
    </row>
    <row r="11" spans="1:9">
      <c r="A11" s="26"/>
      <c r="B11" s="26" t="s">
        <v>25</v>
      </c>
      <c r="C11" s="26" t="s">
        <v>14</v>
      </c>
      <c r="D11" s="33">
        <f>IFERROR('93_Raw_IS_Q_BCTC'!C9/1000000000,0)</f>
        <v>693.29366793099996</v>
      </c>
      <c r="E11" s="33">
        <f>IFERROR('93_Raw_IS_Q_BCTC'!D9/1000000000,0)</f>
        <v>857.86658752699998</v>
      </c>
      <c r="F11" s="34">
        <f t="shared" ref="F11:F17" si="0">IFERROR(E11/D11-1,"")</f>
        <v>0.23737836822761693</v>
      </c>
      <c r="G11" s="35">
        <f>'03_Historical_FS'!H11-D11+E11</f>
        <v>3271.9216535959999</v>
      </c>
      <c r="H11" s="26" t="s">
        <v>155</v>
      </c>
      <c r="I11" s="26"/>
    </row>
    <row r="12" spans="1:9" ht="28.5" customHeight="1">
      <c r="A12" s="26"/>
      <c r="B12" s="26" t="s">
        <v>27</v>
      </c>
      <c r="C12" s="26" t="s">
        <v>14</v>
      </c>
      <c r="D12" s="33">
        <f>IFERROR('93_Raw_IS_Q_BCTC'!C10/1000000000,0)</f>
        <v>339.023162705</v>
      </c>
      <c r="E12" s="33">
        <f>IFERROR('93_Raw_IS_Q_BCTC'!D10/1000000000,0)</f>
        <v>421.76735828599999</v>
      </c>
      <c r="F12" s="34">
        <f t="shared" si="0"/>
        <v>0.24406649658035184</v>
      </c>
      <c r="G12" s="35">
        <f>'03_Historical_FS'!H12-D12+E12</f>
        <v>1625.262868581</v>
      </c>
      <c r="H12" s="26" t="s">
        <v>156</v>
      </c>
      <c r="I12" s="26"/>
    </row>
    <row r="13" spans="1:9">
      <c r="A13" s="26"/>
      <c r="B13" s="26" t="s">
        <v>29</v>
      </c>
      <c r="C13" s="26" t="s">
        <v>14</v>
      </c>
      <c r="D13" s="33">
        <f>IFERROR('93_Raw_IS_Q_BCTC'!C11/1000000000,0)</f>
        <v>322.79285049999999</v>
      </c>
      <c r="E13" s="33">
        <f>IFERROR('93_Raw_IS_Q_BCTC'!D11/1000000000,0)</f>
        <v>415.44890408499998</v>
      </c>
      <c r="F13" s="34">
        <f t="shared" si="0"/>
        <v>0.28704493746214488</v>
      </c>
      <c r="G13" s="35">
        <f>'03_Historical_FS'!H13-D13+E13</f>
        <v>1563.3316475850002</v>
      </c>
      <c r="H13" s="26" t="s">
        <v>157</v>
      </c>
      <c r="I13" s="26"/>
    </row>
    <row r="14" spans="1:9">
      <c r="A14" s="26"/>
      <c r="B14" s="26" t="s">
        <v>31</v>
      </c>
      <c r="C14" s="26" t="s">
        <v>14</v>
      </c>
      <c r="D14" s="33">
        <f>IFERROR('93_Raw_IS_Q_BCTC'!C13/1000000000,0)</f>
        <v>4403.0063437500003</v>
      </c>
      <c r="E14" s="33">
        <f>IFERROR('93_Raw_IS_Q_BCTC'!D13/1000000000,0)</f>
        <v>5284.9088770850003</v>
      </c>
      <c r="F14" s="34">
        <f t="shared" si="0"/>
        <v>0.20029554002047867</v>
      </c>
      <c r="G14" s="35">
        <f>'03_Historical_FS'!H14-D14+E14</f>
        <v>20212.806070334998</v>
      </c>
      <c r="H14" s="26" t="s">
        <v>158</v>
      </c>
      <c r="I14" s="26"/>
    </row>
    <row r="15" spans="1:9">
      <c r="A15" s="26"/>
      <c r="B15" s="26" t="s">
        <v>33</v>
      </c>
      <c r="C15" s="26" t="s">
        <v>14</v>
      </c>
      <c r="D15" s="33">
        <f>IFERROR('93_Raw_IS_Q_BCTC'!C14/1000000000,0)</f>
        <v>1214.5997866160001</v>
      </c>
      <c r="E15" s="33">
        <f>IFERROR('93_Raw_IS_Q_BCTC'!D14/1000000000,0)</f>
        <v>1523.1801155329999</v>
      </c>
      <c r="F15" s="34">
        <f t="shared" si="0"/>
        <v>0.25405926488488562</v>
      </c>
      <c r="G15" s="35">
        <f>'03_Historical_FS'!H15-D15+E15</f>
        <v>4904.6548419169994</v>
      </c>
      <c r="H15" s="26" t="s">
        <v>159</v>
      </c>
      <c r="I15" s="26"/>
    </row>
    <row r="16" spans="1:9">
      <c r="A16" s="26"/>
      <c r="B16" s="26" t="s">
        <v>35</v>
      </c>
      <c r="C16" s="26" t="s">
        <v>14</v>
      </c>
      <c r="D16" s="33">
        <f>D14+D15</f>
        <v>5617.6061303660008</v>
      </c>
      <c r="E16" s="33">
        <f>E14+E15</f>
        <v>6808.0889926180007</v>
      </c>
      <c r="F16" s="34">
        <f t="shared" si="0"/>
        <v>0.21191995925396734</v>
      </c>
      <c r="G16" s="35">
        <f>G14+G15</f>
        <v>25117.460912251998</v>
      </c>
      <c r="H16" s="26" t="s">
        <v>24</v>
      </c>
      <c r="I16" s="26"/>
    </row>
    <row r="17" spans="1:9">
      <c r="A17" s="26"/>
      <c r="B17" s="26" t="s">
        <v>36</v>
      </c>
      <c r="C17" s="26" t="s">
        <v>14</v>
      </c>
      <c r="D17" s="33">
        <f>IFERROR('93_Raw_IS_Q_BCTC'!C15/1000000000,0)</f>
        <v>1940.2047643650001</v>
      </c>
      <c r="E17" s="33">
        <f>IFERROR('93_Raw_IS_Q_BCTC'!D15/1000000000,0)</f>
        <v>3347.1234178670002</v>
      </c>
      <c r="F17" s="34">
        <f t="shared" si="0"/>
        <v>0.72513926330990297</v>
      </c>
      <c r="G17" s="35">
        <f>'03_Historical_FS'!H17-D17+E17</f>
        <v>10070.999142502</v>
      </c>
      <c r="H17" s="26" t="s">
        <v>160</v>
      </c>
      <c r="I17" s="26"/>
    </row>
    <row r="18" spans="1:9">
      <c r="A18" s="26"/>
      <c r="B18" s="26" t="s">
        <v>38</v>
      </c>
      <c r="C18" s="26" t="s">
        <v>23</v>
      </c>
      <c r="D18" s="36">
        <f>IFERROR(D17/D7,"")</f>
        <v>5.3693288972689095E-2</v>
      </c>
      <c r="E18" s="36">
        <f>IFERROR(E17/E7,"")</f>
        <v>7.2040094568955493E-2</v>
      </c>
      <c r="F18" s="34">
        <f>IFERROR(E18-D18,"")</f>
        <v>1.8346805596266398E-2</v>
      </c>
      <c r="G18" s="37">
        <f>IFERROR(G17/G7,"")</f>
        <v>6.0575565900054272E-2</v>
      </c>
      <c r="H18" s="26" t="s">
        <v>24</v>
      </c>
      <c r="I18" s="26"/>
    </row>
    <row r="19" spans="1:9">
      <c r="A19" s="26"/>
      <c r="B19" s="26" t="s">
        <v>39</v>
      </c>
      <c r="C19" s="26" t="s">
        <v>14</v>
      </c>
      <c r="D19" s="33">
        <f>IFERROR('93_Raw_IS_Q_BCTC'!C18/1000000000,0)</f>
        <v>-5.543377145</v>
      </c>
      <c r="E19" s="33">
        <f>IFERROR('93_Raw_IS_Q_BCTC'!D18/1000000000,0)</f>
        <v>-19.539117976</v>
      </c>
      <c r="F19" s="34">
        <f t="shared" ref="F19:F26" si="1">IFERROR(E19/D19-1,"")</f>
        <v>2.5247679284502298</v>
      </c>
      <c r="G19" s="35">
        <f>'03_Historical_FS'!H19-D19+E19</f>
        <v>-45.008646831</v>
      </c>
      <c r="H19" s="26" t="s">
        <v>161</v>
      </c>
      <c r="I19" s="26"/>
    </row>
    <row r="20" spans="1:9">
      <c r="A20" s="26"/>
      <c r="B20" s="26" t="s">
        <v>41</v>
      </c>
      <c r="C20" s="26" t="s">
        <v>14</v>
      </c>
      <c r="D20" s="33">
        <f>IFERROR('93_Raw_IS_Q_BCTC'!C19/1000000000,0)</f>
        <v>1934.6613872200001</v>
      </c>
      <c r="E20" s="33">
        <f>IFERROR('93_Raw_IS_Q_BCTC'!D19/1000000000,0)</f>
        <v>3327.5842998909998</v>
      </c>
      <c r="F20" s="34">
        <f t="shared" si="1"/>
        <v>0.71998279485618499</v>
      </c>
      <c r="G20" s="35">
        <f>'03_Historical_FS'!H20-D20+E20</f>
        <v>10025.990495671</v>
      </c>
      <c r="H20" s="26" t="s">
        <v>162</v>
      </c>
      <c r="I20" s="26"/>
    </row>
    <row r="21" spans="1:9">
      <c r="A21" s="26"/>
      <c r="B21" s="26" t="s">
        <v>43</v>
      </c>
      <c r="C21" s="26" t="s">
        <v>14</v>
      </c>
      <c r="D21" s="33">
        <f>IFERROR('93_Raw_IS_Q_BCTC'!C20/1000000000,0)</f>
        <v>397.72241558299999</v>
      </c>
      <c r="E21" s="33">
        <f>IFERROR('93_Raw_IS_Q_BCTC'!D20/1000000000,0)</f>
        <v>797.01220433200001</v>
      </c>
      <c r="F21" s="34">
        <f t="shared" si="1"/>
        <v>1.0039408720871377</v>
      </c>
      <c r="G21" s="35">
        <f>'03_Historical_FS'!H21-D21+E21</f>
        <v>2120.8493117489998</v>
      </c>
      <c r="H21" s="26" t="s">
        <v>163</v>
      </c>
      <c r="I21" s="26"/>
    </row>
    <row r="22" spans="1:9">
      <c r="A22" s="26"/>
      <c r="B22" s="26" t="s">
        <v>45</v>
      </c>
      <c r="C22" s="26" t="s">
        <v>14</v>
      </c>
      <c r="D22" s="33">
        <f>IFERROR('93_Raw_IS_Q_BCTC'!C21/1000000000,0)</f>
        <v>-10.894797039</v>
      </c>
      <c r="E22" s="33">
        <f>IFERROR('93_Raw_IS_Q_BCTC'!D21/1000000000,0)</f>
        <v>-226.984924968</v>
      </c>
      <c r="F22" s="34">
        <f t="shared" si="1"/>
        <v>19.834249977807229</v>
      </c>
      <c r="G22" s="35">
        <f>'03_Historical_FS'!H22-D22+E22</f>
        <v>-377.204953929</v>
      </c>
      <c r="H22" s="26" t="s">
        <v>164</v>
      </c>
      <c r="I22" s="26"/>
    </row>
    <row r="23" spans="1:9">
      <c r="A23" s="26"/>
      <c r="B23" s="26" t="s">
        <v>47</v>
      </c>
      <c r="C23" s="26" t="s">
        <v>14</v>
      </c>
      <c r="D23" s="33">
        <f>IFERROR('93_Raw_IS_Q_BCTC'!C22/1000000000,0)</f>
        <v>386.82761854400002</v>
      </c>
      <c r="E23" s="33">
        <f>IFERROR('93_Raw_IS_Q_BCTC'!D22/1000000000,0)</f>
        <v>570.02727936400004</v>
      </c>
      <c r="F23" s="34">
        <f t="shared" si="1"/>
        <v>0.47359509000302125</v>
      </c>
      <c r="G23" s="35">
        <f>'03_Historical_FS'!H23-D23+E23</f>
        <v>1743.6443578200001</v>
      </c>
      <c r="H23" s="26" t="s">
        <v>165</v>
      </c>
      <c r="I23" s="26"/>
    </row>
    <row r="24" spans="1:9">
      <c r="A24" s="26"/>
      <c r="B24" s="26" t="s">
        <v>48</v>
      </c>
      <c r="C24" s="26" t="s">
        <v>14</v>
      </c>
      <c r="D24" s="33">
        <f>IFERROR('93_Raw_IS_Q_BCTC'!C23/1000000000,0)</f>
        <v>1547.8337686760001</v>
      </c>
      <c r="E24" s="33">
        <f>IFERROR('93_Raw_IS_Q_BCTC'!D23/1000000000,0)</f>
        <v>2757.5570205270001</v>
      </c>
      <c r="F24" s="34">
        <f t="shared" si="1"/>
        <v>0.78155889626686714</v>
      </c>
      <c r="G24" s="35">
        <f>'03_Historical_FS'!H24-D24+E24</f>
        <v>8282.3461378510001</v>
      </c>
      <c r="H24" s="26" t="s">
        <v>166</v>
      </c>
      <c r="I24" s="26"/>
    </row>
    <row r="25" spans="1:9" ht="28.5" customHeight="1">
      <c r="A25" s="26"/>
      <c r="B25" s="26" t="s">
        <v>50</v>
      </c>
      <c r="C25" s="26" t="s">
        <v>14</v>
      </c>
      <c r="D25" s="33">
        <f>IFERROR('93_Raw_IS_Q_BCTC'!C24/1000000000,0)</f>
        <v>1.8966777349999999</v>
      </c>
      <c r="E25" s="33">
        <f>IFERROR('93_Raw_IS_Q_BCTC'!D24/1000000000,0)</f>
        <v>43.126168421000003</v>
      </c>
      <c r="F25" s="34">
        <f t="shared" si="1"/>
        <v>21.737741697062734</v>
      </c>
      <c r="G25" s="35">
        <f>'03_Historical_FS'!H25-D25+E25</f>
        <v>80.121606686000007</v>
      </c>
      <c r="H25" s="26" t="s">
        <v>167</v>
      </c>
      <c r="I25" s="26"/>
    </row>
    <row r="26" spans="1:9">
      <c r="A26" s="26"/>
      <c r="B26" s="26" t="s">
        <v>52</v>
      </c>
      <c r="C26" s="26" t="s">
        <v>14</v>
      </c>
      <c r="D26" s="33">
        <f>IFERROR('93_Raw_IS_Q_BCTC'!C25/1000000000,0)</f>
        <v>1545.937090941</v>
      </c>
      <c r="E26" s="33">
        <f>IFERROR('93_Raw_IS_Q_BCTC'!D25/1000000000,0)</f>
        <v>2714.4308521060002</v>
      </c>
      <c r="F26" s="34">
        <f t="shared" si="1"/>
        <v>0.75584819590152086</v>
      </c>
      <c r="G26" s="35">
        <f>'03_Historical_FS'!H26-D26+E26</f>
        <v>8202.2245311650004</v>
      </c>
      <c r="H26" s="26" t="s">
        <v>168</v>
      </c>
      <c r="I26" s="26"/>
    </row>
    <row r="27" spans="1:9">
      <c r="A27" s="26"/>
      <c r="B27" s="26" t="s">
        <v>54</v>
      </c>
      <c r="C27" s="26" t="s">
        <v>23</v>
      </c>
      <c r="D27" s="36">
        <f>IFERROR(D26/D7,"")</f>
        <v>4.2782312713606913E-2</v>
      </c>
      <c r="E27" s="36">
        <f>IFERROR(E26/E7,"")</f>
        <v>5.8422660557650496E-2</v>
      </c>
      <c r="F27" s="34">
        <f>IFERROR(E27-D27,"")</f>
        <v>1.5640347844043584E-2</v>
      </c>
      <c r="G27" s="37">
        <f>IFERROR(G26/G7,"")</f>
        <v>4.9335163828758966E-2</v>
      </c>
      <c r="H27" s="26" t="s">
        <v>24</v>
      </c>
      <c r="I27" s="26"/>
    </row>
    <row r="28" spans="1:9" ht="15" customHeight="1">
      <c r="A28" s="327" t="s">
        <v>55</v>
      </c>
      <c r="B28" s="327"/>
      <c r="C28" s="327"/>
      <c r="D28" s="328"/>
      <c r="E28" s="328"/>
      <c r="F28" s="329"/>
      <c r="G28" s="330"/>
      <c r="H28" s="327"/>
      <c r="I28" s="327"/>
    </row>
    <row r="29" spans="1:9">
      <c r="A29" s="26"/>
      <c r="B29" s="26" t="s">
        <v>56</v>
      </c>
      <c r="C29" s="26" t="s">
        <v>14</v>
      </c>
      <c r="D29" s="33">
        <f>IFERROR('94_Raw_BS_Q_BCTC'!C5/1000000000,0)</f>
        <v>2658.2181361490002</v>
      </c>
      <c r="E29" s="33">
        <f>IFERROR('94_Raw_BS_Q_BCTC'!D5/1000000000,0)</f>
        <v>4553.6525822009999</v>
      </c>
      <c r="F29" s="34">
        <f t="shared" ref="F29:F52" si="2">IFERROR(E29/D29-1,"")</f>
        <v>0.71304699199665511</v>
      </c>
      <c r="G29" s="35">
        <f t="shared" ref="G29:G52" si="3">E29</f>
        <v>4553.6525822009999</v>
      </c>
      <c r="H29" s="26" t="s">
        <v>169</v>
      </c>
      <c r="I29" s="26"/>
    </row>
    <row r="30" spans="1:9" ht="28.5" customHeight="1">
      <c r="A30" s="26"/>
      <c r="B30" s="26" t="s">
        <v>59</v>
      </c>
      <c r="C30" s="26" t="s">
        <v>14</v>
      </c>
      <c r="D30" s="33">
        <f>IFERROR('94_Raw_BS_Q_BCTC'!C6/1000000000,0)</f>
        <v>32390.51501562</v>
      </c>
      <c r="E30" s="33">
        <f>IFERROR('94_Raw_BS_Q_BCTC'!D6/1000000000,0)</f>
        <v>41831.153715754997</v>
      </c>
      <c r="F30" s="34">
        <f t="shared" si="2"/>
        <v>0.29146306242992259</v>
      </c>
      <c r="G30" s="35">
        <f t="shared" si="3"/>
        <v>41831.153715754997</v>
      </c>
      <c r="H30" s="26" t="s">
        <v>170</v>
      </c>
      <c r="I30" s="26"/>
    </row>
    <row r="31" spans="1:9">
      <c r="A31" s="26"/>
      <c r="B31" s="26" t="s">
        <v>61</v>
      </c>
      <c r="C31" s="26" t="s">
        <v>14</v>
      </c>
      <c r="D31" s="33">
        <f>IFERROR('94_Raw_BS_Q_BCTC'!C7/1000000000,0)</f>
        <v>9862.532179881</v>
      </c>
      <c r="E31" s="33">
        <f>IFERROR('94_Raw_BS_Q_BCTC'!D7/1000000000,0)</f>
        <v>2121.015956014</v>
      </c>
      <c r="F31" s="34">
        <f t="shared" si="2"/>
        <v>-0.78494204963500636</v>
      </c>
      <c r="G31" s="35">
        <f t="shared" si="3"/>
        <v>2121.015956014</v>
      </c>
      <c r="H31" s="26" t="s">
        <v>171</v>
      </c>
      <c r="I31" s="26"/>
    </row>
    <row r="32" spans="1:9">
      <c r="A32" s="26"/>
      <c r="B32" s="26" t="s">
        <v>63</v>
      </c>
      <c r="C32" s="26" t="s">
        <v>14</v>
      </c>
      <c r="D32" s="33">
        <f>IFERROR('94_Raw_BS_Q_BCTC'!C8/1000000000,0)</f>
        <v>22808.478321986</v>
      </c>
      <c r="E32" s="33">
        <f>IFERROR('94_Raw_BS_Q_BCTC'!D8/1000000000,0)</f>
        <v>27600.707843304001</v>
      </c>
      <c r="F32" s="34">
        <f t="shared" si="2"/>
        <v>0.21010737558491921</v>
      </c>
      <c r="G32" s="35">
        <f t="shared" si="3"/>
        <v>27600.707843304001</v>
      </c>
      <c r="H32" s="26" t="s">
        <v>172</v>
      </c>
      <c r="I32" s="26"/>
    </row>
    <row r="33" spans="1:9" ht="28.5" customHeight="1">
      <c r="A33" s="26"/>
      <c r="B33" s="26" t="s">
        <v>65</v>
      </c>
      <c r="C33" s="26" t="s">
        <v>14</v>
      </c>
      <c r="D33" s="33">
        <f>IFERROR('94_Raw_BS_Q_BCTC'!C9/1000000000,0)</f>
        <v>630.45865344900005</v>
      </c>
      <c r="E33" s="33">
        <f>IFERROR('94_Raw_BS_Q_BCTC'!D9/1000000000,0)</f>
        <v>728.08177404200001</v>
      </c>
      <c r="F33" s="34">
        <f t="shared" si="2"/>
        <v>0.15484460409725664</v>
      </c>
      <c r="G33" s="35">
        <f t="shared" si="3"/>
        <v>728.08177404200001</v>
      </c>
      <c r="H33" s="26" t="s">
        <v>173</v>
      </c>
      <c r="I33" s="26"/>
    </row>
    <row r="34" spans="1:9">
      <c r="A34" s="26"/>
      <c r="B34" s="26" t="s">
        <v>67</v>
      </c>
      <c r="C34" s="26" t="s">
        <v>14</v>
      </c>
      <c r="D34" s="33">
        <f>IFERROR('94_Raw_BS_Q_BCTC'!C4/1000000000,0)</f>
        <v>68350.202307084997</v>
      </c>
      <c r="E34" s="33">
        <f>IFERROR('94_Raw_BS_Q_BCTC'!D4/1000000000,0)</f>
        <v>76834.611871315996</v>
      </c>
      <c r="F34" s="34">
        <f t="shared" si="2"/>
        <v>0.12413144771850271</v>
      </c>
      <c r="G34" s="35">
        <f t="shared" si="3"/>
        <v>76834.611871315996</v>
      </c>
      <c r="H34" s="26" t="s">
        <v>174</v>
      </c>
      <c r="I34" s="26"/>
    </row>
    <row r="35" spans="1:9">
      <c r="A35" s="26"/>
      <c r="B35" s="26" t="s">
        <v>69</v>
      </c>
      <c r="C35" s="26" t="s">
        <v>14</v>
      </c>
      <c r="D35" s="33">
        <f>IFERROR('94_Raw_BS_Q_BCTC'!C11/1000000000,0)</f>
        <v>3233.9016266429999</v>
      </c>
      <c r="E35" s="33">
        <f>IFERROR('94_Raw_BS_Q_BCTC'!D11/1000000000,0)</f>
        <v>2418.447401463</v>
      </c>
      <c r="F35" s="34">
        <f t="shared" si="2"/>
        <v>-0.25215801818514016</v>
      </c>
      <c r="G35" s="35">
        <f t="shared" si="3"/>
        <v>2418.447401463</v>
      </c>
      <c r="H35" s="26" t="s">
        <v>175</v>
      </c>
      <c r="I35" s="26"/>
    </row>
    <row r="36" spans="1:9" ht="28.5" customHeight="1">
      <c r="A36" s="26"/>
      <c r="B36" s="26" t="s">
        <v>71</v>
      </c>
      <c r="C36" s="26" t="s">
        <v>14</v>
      </c>
      <c r="D36" s="33">
        <f>IFERROR('94_Raw_BS_Q_BCTC'!C12/1000000000,0)</f>
        <v>245.16557212999999</v>
      </c>
      <c r="E36" s="33">
        <f>IFERROR('94_Raw_BS_Q_BCTC'!D12/1000000000,0)</f>
        <v>3466.7224636999999</v>
      </c>
      <c r="F36" s="34">
        <f t="shared" si="2"/>
        <v>13.140331505688559</v>
      </c>
      <c r="G36" s="35">
        <f t="shared" si="3"/>
        <v>3466.7224636999999</v>
      </c>
      <c r="H36" s="26" t="s">
        <v>176</v>
      </c>
      <c r="I36" s="26"/>
    </row>
    <row r="37" spans="1:9" ht="28.5" customHeight="1">
      <c r="A37" s="26"/>
      <c r="B37" s="26" t="s">
        <v>73</v>
      </c>
      <c r="C37" s="26" t="s">
        <v>14</v>
      </c>
      <c r="D37" s="33">
        <f>IFERROR('94_Raw_BS_Q_BCTC'!C13/1000000000,0)</f>
        <v>395.22353286999999</v>
      </c>
      <c r="E37" s="33">
        <f>IFERROR('94_Raw_BS_Q_BCTC'!D13/1000000000,0)</f>
        <v>723.16439736899997</v>
      </c>
      <c r="F37" s="34">
        <f t="shared" si="2"/>
        <v>0.82976047027763622</v>
      </c>
      <c r="G37" s="35">
        <f t="shared" si="3"/>
        <v>723.16439736899997</v>
      </c>
      <c r="H37" s="26" t="s">
        <v>177</v>
      </c>
      <c r="I37" s="26"/>
    </row>
    <row r="38" spans="1:9">
      <c r="A38" s="26"/>
      <c r="B38" s="26" t="s">
        <v>75</v>
      </c>
      <c r="C38" s="26" t="s">
        <v>14</v>
      </c>
      <c r="D38" s="33">
        <f>IFERROR('94_Raw_BS_Q_BCTC'!C14/1000000000,0)</f>
        <v>72679.224714947006</v>
      </c>
      <c r="E38" s="33">
        <f>IFERROR('94_Raw_BS_Q_BCTC'!D14/1000000000,0)</f>
        <v>83994.558472327</v>
      </c>
      <c r="F38" s="34">
        <f t="shared" si="2"/>
        <v>0.15568869648458028</v>
      </c>
      <c r="G38" s="35">
        <f t="shared" si="3"/>
        <v>83994.558472327</v>
      </c>
      <c r="H38" s="26" t="s">
        <v>178</v>
      </c>
      <c r="I38" s="26"/>
    </row>
    <row r="39" spans="1:9">
      <c r="A39" s="26"/>
      <c r="B39" s="26" t="s">
        <v>77</v>
      </c>
      <c r="C39" s="26" t="s">
        <v>14</v>
      </c>
      <c r="D39" s="33">
        <f>IFERROR('94_Raw_BS_Q_BCTC'!C15/1000000000,0)</f>
        <v>11308.95882661</v>
      </c>
      <c r="E39" s="33">
        <f>IFERROR('94_Raw_BS_Q_BCTC'!D15/1000000000,0)</f>
        <v>11892.521624518</v>
      </c>
      <c r="F39" s="34">
        <f t="shared" si="2"/>
        <v>5.1601814707723292E-2</v>
      </c>
      <c r="G39" s="35">
        <f t="shared" si="3"/>
        <v>11892.521624518</v>
      </c>
      <c r="H39" s="26" t="s">
        <v>179</v>
      </c>
      <c r="I39" s="26"/>
    </row>
    <row r="40" spans="1:9">
      <c r="A40" s="26"/>
      <c r="B40" s="26" t="s">
        <v>79</v>
      </c>
      <c r="C40" s="26" t="s">
        <v>14</v>
      </c>
      <c r="D40" s="33">
        <f>IFERROR('94_Raw_BS_Q_BCTC'!C16/1000000000,0)</f>
        <v>26222.186029666998</v>
      </c>
      <c r="E40" s="33">
        <f>IFERROR('94_Raw_BS_Q_BCTC'!D16/1000000000,0)</f>
        <v>28100.653169211</v>
      </c>
      <c r="F40" s="34">
        <f t="shared" si="2"/>
        <v>7.1636557585960325E-2</v>
      </c>
      <c r="G40" s="35">
        <f t="shared" si="3"/>
        <v>28100.653169211</v>
      </c>
      <c r="H40" s="26" t="s">
        <v>180</v>
      </c>
      <c r="I40" s="26"/>
    </row>
    <row r="41" spans="1:9">
      <c r="A41" s="26"/>
      <c r="B41" s="26" t="s">
        <v>81</v>
      </c>
      <c r="C41" s="26" t="s">
        <v>14</v>
      </c>
      <c r="D41" s="33">
        <f>IFERROR('94_Raw_BS_Q_BCTC'!C17/1000000000,0)</f>
        <v>43010.091137156</v>
      </c>
      <c r="E41" s="33">
        <f>IFERROR('94_Raw_BS_Q_BCTC'!D17/1000000000,0)</f>
        <v>48061.216417222997</v>
      </c>
      <c r="F41" s="34">
        <f t="shared" si="2"/>
        <v>0.11744046912059147</v>
      </c>
      <c r="G41" s="35">
        <f t="shared" si="3"/>
        <v>48061.216417222997</v>
      </c>
      <c r="H41" s="26" t="s">
        <v>181</v>
      </c>
      <c r="I41" s="26"/>
    </row>
    <row r="42" spans="1:9">
      <c r="A42" s="26"/>
      <c r="B42" s="26" t="s">
        <v>83</v>
      </c>
      <c r="C42" s="26" t="s">
        <v>14</v>
      </c>
      <c r="D42" s="33">
        <f>IFERROR('94_Raw_BS_Q_BCTC'!C18/1000000000,0)</f>
        <v>0</v>
      </c>
      <c r="E42" s="33">
        <f>IFERROR('94_Raw_BS_Q_BCTC'!D18/1000000000,0)</f>
        <v>0</v>
      </c>
      <c r="F42" s="34" t="str">
        <f t="shared" si="2"/>
        <v/>
      </c>
      <c r="G42" s="35">
        <f t="shared" si="3"/>
        <v>0</v>
      </c>
      <c r="H42" s="26" t="s">
        <v>182</v>
      </c>
      <c r="I42" s="26"/>
    </row>
    <row r="43" spans="1:9" ht="28.5" customHeight="1">
      <c r="A43" s="26"/>
      <c r="B43" s="26" t="s">
        <v>85</v>
      </c>
      <c r="C43" s="26" t="s">
        <v>14</v>
      </c>
      <c r="D43" s="33">
        <f>IFERROR('94_Raw_BS_Q_BCTC'!C19/1000000000,0)</f>
        <v>0</v>
      </c>
      <c r="E43" s="33">
        <f>IFERROR('94_Raw_BS_Q_BCTC'!D19/1000000000,0)</f>
        <v>0</v>
      </c>
      <c r="F43" s="34" t="str">
        <f t="shared" si="2"/>
        <v/>
      </c>
      <c r="G43" s="35">
        <f t="shared" si="3"/>
        <v>0</v>
      </c>
      <c r="H43" s="26" t="s">
        <v>183</v>
      </c>
      <c r="I43" s="26"/>
    </row>
    <row r="44" spans="1:9">
      <c r="A44" s="26"/>
      <c r="B44" s="26" t="s">
        <v>87</v>
      </c>
      <c r="C44" s="26" t="s">
        <v>14</v>
      </c>
      <c r="D44" s="33">
        <f>IFERROR('94_Raw_BS_Q_BCTC'!C20/1000000000,0)</f>
        <v>43010.091137156</v>
      </c>
      <c r="E44" s="33">
        <f>IFERROR('94_Raw_BS_Q_BCTC'!D20/1000000000,0)</f>
        <v>48061.216417222997</v>
      </c>
      <c r="F44" s="34">
        <f t="shared" si="2"/>
        <v>0.11744046912059147</v>
      </c>
      <c r="G44" s="35">
        <f t="shared" si="3"/>
        <v>48061.216417222997</v>
      </c>
      <c r="H44" s="26" t="s">
        <v>184</v>
      </c>
      <c r="I44" s="26"/>
    </row>
    <row r="45" spans="1:9">
      <c r="A45" s="26"/>
      <c r="B45" s="26" t="s">
        <v>89</v>
      </c>
      <c r="C45" s="26" t="s">
        <v>14</v>
      </c>
      <c r="D45" s="33">
        <f>IFERROR('94_Raw_BS_Q_BCTC'!C21/1000000000,0)</f>
        <v>14622.441769999999</v>
      </c>
      <c r="E45" s="33">
        <f>IFERROR('94_Raw_BS_Q_BCTC'!D21/1000000000,0)</f>
        <v>14696.931769999999</v>
      </c>
      <c r="F45" s="34">
        <f t="shared" si="2"/>
        <v>5.0942244237774936E-3</v>
      </c>
      <c r="G45" s="35">
        <f t="shared" si="3"/>
        <v>14696.931769999999</v>
      </c>
      <c r="H45" s="26" t="s">
        <v>185</v>
      </c>
      <c r="I45" s="26"/>
    </row>
    <row r="46" spans="1:9" ht="28.5" customHeight="1">
      <c r="A46" s="26"/>
      <c r="B46" s="26" t="s">
        <v>91</v>
      </c>
      <c r="C46" s="26" t="s">
        <v>14</v>
      </c>
      <c r="D46" s="33">
        <f>IFERROR('94_Raw_BS_Q_BCTC'!C22/1000000000,0)</f>
        <v>14128.082357783</v>
      </c>
      <c r="E46" s="33">
        <f>IFERROR('94_Raw_BS_Q_BCTC'!D22/1000000000,0)</f>
        <v>20782.625319265</v>
      </c>
      <c r="F46" s="34">
        <f t="shared" si="2"/>
        <v>0.47101530080025955</v>
      </c>
      <c r="G46" s="35">
        <f t="shared" si="3"/>
        <v>20782.625319265</v>
      </c>
      <c r="H46" s="26" t="s">
        <v>186</v>
      </c>
      <c r="I46" s="26"/>
    </row>
    <row r="47" spans="1:9" ht="28.5" customHeight="1">
      <c r="A47" s="26"/>
      <c r="B47" s="26" t="s">
        <v>93</v>
      </c>
      <c r="C47" s="26" t="s">
        <v>14</v>
      </c>
      <c r="D47" s="33">
        <f>IFERROR('94_Raw_BS_Q_BCTC'!C23/1000000000,0)</f>
        <v>365.64031439299998</v>
      </c>
      <c r="E47" s="33">
        <f>IFERROR('94_Raw_BS_Q_BCTC'!D23/1000000000,0)</f>
        <v>619.47726589900003</v>
      </c>
      <c r="F47" s="34">
        <f t="shared" si="2"/>
        <v>0.69422583209238065</v>
      </c>
      <c r="G47" s="35">
        <f t="shared" si="3"/>
        <v>619.47726589900003</v>
      </c>
      <c r="H47" s="26" t="s">
        <v>187</v>
      </c>
      <c r="I47" s="26"/>
    </row>
    <row r="48" spans="1:9">
      <c r="A48" s="26"/>
      <c r="B48" s="26" t="s">
        <v>94</v>
      </c>
      <c r="C48" s="26" t="s">
        <v>14</v>
      </c>
      <c r="D48" s="33">
        <f>IFERROR('94_Raw_BS_Q_BCTC'!C24/1000000000,0)</f>
        <v>29669.133577790999</v>
      </c>
      <c r="E48" s="33">
        <f>IFERROR('94_Raw_BS_Q_BCTC'!D24/1000000000,0)</f>
        <v>35933.342055104004</v>
      </c>
      <c r="F48" s="34">
        <f t="shared" si="2"/>
        <v>0.21113553791143103</v>
      </c>
      <c r="G48" s="35">
        <f t="shared" si="3"/>
        <v>35933.342055104004</v>
      </c>
      <c r="H48" s="26" t="s">
        <v>188</v>
      </c>
      <c r="I48" s="26"/>
    </row>
    <row r="49" spans="1:9" ht="28.5" customHeight="1">
      <c r="A49" s="26"/>
      <c r="B49" s="26" t="s">
        <v>96</v>
      </c>
      <c r="C49" s="26" t="s">
        <v>14</v>
      </c>
      <c r="D49" s="33">
        <f>IFERROR('94_Raw_BS_Q_BCTC'!C25/1000000000,0)</f>
        <v>72679.224714947006</v>
      </c>
      <c r="E49" s="33">
        <f>IFERROR('94_Raw_BS_Q_BCTC'!D25/1000000000,0)</f>
        <v>83994.558472327</v>
      </c>
      <c r="F49" s="34">
        <f t="shared" si="2"/>
        <v>0.15568869648458028</v>
      </c>
      <c r="G49" s="35">
        <f t="shared" si="3"/>
        <v>83994.558472327</v>
      </c>
      <c r="H49" s="26" t="s">
        <v>189</v>
      </c>
      <c r="I49" s="26"/>
    </row>
    <row r="50" spans="1:9">
      <c r="A50" s="26"/>
      <c r="B50" s="26" t="s">
        <v>98</v>
      </c>
      <c r="C50" s="26" t="s">
        <v>14</v>
      </c>
      <c r="D50" s="33">
        <f>D40+D42</f>
        <v>26222.186029666998</v>
      </c>
      <c r="E50" s="33">
        <f>E40+E42</f>
        <v>28100.653169211</v>
      </c>
      <c r="F50" s="34">
        <f t="shared" si="2"/>
        <v>7.1636557585960325E-2</v>
      </c>
      <c r="G50" s="35">
        <f t="shared" si="3"/>
        <v>28100.653169211</v>
      </c>
      <c r="H50" s="26" t="s">
        <v>24</v>
      </c>
      <c r="I50" s="26"/>
    </row>
    <row r="51" spans="1:9">
      <c r="A51" s="26"/>
      <c r="B51" s="26" t="s">
        <v>99</v>
      </c>
      <c r="C51" s="26" t="s">
        <v>14</v>
      </c>
      <c r="D51" s="33">
        <f>D50-D29-D30</f>
        <v>-8826.5471221020016</v>
      </c>
      <c r="E51" s="33">
        <f>E50-E29-E30</f>
        <v>-18284.153128744998</v>
      </c>
      <c r="F51" s="34">
        <f t="shared" si="2"/>
        <v>1.0714955549221279</v>
      </c>
      <c r="G51" s="35">
        <f t="shared" si="3"/>
        <v>-18284.153128744998</v>
      </c>
      <c r="H51" s="26" t="s">
        <v>24</v>
      </c>
      <c r="I51" s="26"/>
    </row>
    <row r="52" spans="1:9">
      <c r="A52" s="26"/>
      <c r="B52" s="26" t="s">
        <v>100</v>
      </c>
      <c r="C52" s="26" t="s">
        <v>14</v>
      </c>
      <c r="D52" s="33">
        <f>D31+D32-D39</f>
        <v>21362.051675257</v>
      </c>
      <c r="E52" s="33">
        <f>E31+E32-E39</f>
        <v>17829.202174800004</v>
      </c>
      <c r="F52" s="34">
        <f t="shared" si="2"/>
        <v>-0.16537969077890513</v>
      </c>
      <c r="G52" s="35">
        <f t="shared" si="3"/>
        <v>17829.202174800004</v>
      </c>
      <c r="H52" s="26" t="s">
        <v>24</v>
      </c>
      <c r="I52" s="26"/>
    </row>
    <row r="53" spans="1:9" ht="15" customHeight="1">
      <c r="A53" s="327" t="s">
        <v>101</v>
      </c>
      <c r="B53" s="327"/>
      <c r="C53" s="327"/>
      <c r="D53" s="328"/>
      <c r="E53" s="328"/>
      <c r="F53" s="329"/>
      <c r="G53" s="330"/>
      <c r="H53" s="327"/>
      <c r="I53" s="327"/>
    </row>
    <row r="54" spans="1:9">
      <c r="A54" s="26"/>
      <c r="B54" s="26" t="s">
        <v>102</v>
      </c>
      <c r="C54" s="26" t="s">
        <v>14</v>
      </c>
      <c r="D54" s="33">
        <f>IFERROR('95_Raw_CF_Q_BCTC'!C4/1000000000,0)</f>
        <v>1934.6613872200001</v>
      </c>
      <c r="E54" s="33">
        <f>IFERROR('95_Raw_CF_Q_BCTC'!D4/1000000000,0)</f>
        <v>3327.5842998909998</v>
      </c>
      <c r="F54" s="34">
        <f t="shared" ref="F54:F70" si="4">IFERROR(E54/D54-1,"")</f>
        <v>0.71998279485618499</v>
      </c>
      <c r="G54" s="35">
        <f>'03_Historical_FS'!H54-D54+E54</f>
        <v>10025.990495671</v>
      </c>
      <c r="H54" s="26" t="s">
        <v>190</v>
      </c>
      <c r="I54" s="26"/>
    </row>
    <row r="55" spans="1:9">
      <c r="A55" s="26"/>
      <c r="B55" s="26" t="s">
        <v>104</v>
      </c>
      <c r="C55" s="26" t="s">
        <v>14</v>
      </c>
      <c r="D55" s="33">
        <f>IFERROR('95_Raw_CF_Q_BCTC'!C5/1000000000,0)</f>
        <v>508.91946675000003</v>
      </c>
      <c r="E55" s="33">
        <f>IFERROR('95_Raw_CF_Q_BCTC'!D5/1000000000,0)</f>
        <v>393.929975265</v>
      </c>
      <c r="F55" s="34">
        <f t="shared" si="4"/>
        <v>-0.22594830616193962</v>
      </c>
      <c r="G55" s="35">
        <f>'03_Historical_FS'!H55-D55+E55</f>
        <v>1775.8926175149998</v>
      </c>
      <c r="H55" s="26" t="s">
        <v>191</v>
      </c>
      <c r="I55" s="26"/>
    </row>
    <row r="56" spans="1:9">
      <c r="A56" s="26"/>
      <c r="B56" s="26" t="s">
        <v>106</v>
      </c>
      <c r="C56" s="26" t="s">
        <v>14</v>
      </c>
      <c r="D56" s="33">
        <f>IFERROR('95_Raw_CF_Q_BCTC'!C15/1000000000,0)</f>
        <v>-325.48563782000002</v>
      </c>
      <c r="E56" s="33">
        <f>IFERROR('95_Raw_CF_Q_BCTC'!D15/1000000000,0)</f>
        <v>-438.524493957</v>
      </c>
      <c r="F56" s="34">
        <f t="shared" si="4"/>
        <v>0.34729291557716202</v>
      </c>
      <c r="G56" s="35">
        <f>'03_Historical_FS'!H56-D56+E56</f>
        <v>-1509.4991841369999</v>
      </c>
      <c r="H56" s="26" t="s">
        <v>192</v>
      </c>
      <c r="I56" s="26"/>
    </row>
    <row r="57" spans="1:9">
      <c r="A57" s="26"/>
      <c r="B57" s="26" t="s">
        <v>108</v>
      </c>
      <c r="C57" s="26" t="s">
        <v>14</v>
      </c>
      <c r="D57" s="33">
        <f>IFERROR('95_Raw_CF_Q_BCTC'!C16/1000000000,0)</f>
        <v>-456.800409565</v>
      </c>
      <c r="E57" s="33">
        <f>IFERROR('95_Raw_CF_Q_BCTC'!D16/1000000000,0)</f>
        <v>-796.27245600499998</v>
      </c>
      <c r="F57" s="34">
        <f t="shared" si="4"/>
        <v>0.74315179963010758</v>
      </c>
      <c r="G57" s="35">
        <f>'03_Historical_FS'!H57-D57+E57</f>
        <v>-1885.93152044</v>
      </c>
      <c r="H57" s="26" t="s">
        <v>193</v>
      </c>
      <c r="I57" s="26"/>
    </row>
    <row r="58" spans="1:9">
      <c r="A58" s="26"/>
      <c r="B58" s="26" t="s">
        <v>110</v>
      </c>
      <c r="C58" s="26" t="s">
        <v>14</v>
      </c>
      <c r="D58" s="33">
        <f>IFERROR('95_Raw_CF_Q_BCTC'!C17/1000000000,0)</f>
        <v>2489.5253434289998</v>
      </c>
      <c r="E58" s="33">
        <f>IFERROR('95_Raw_CF_Q_BCTC'!D17/1000000000,0)</f>
        <v>1193.2545736970001</v>
      </c>
      <c r="F58" s="34">
        <f t="shared" si="4"/>
        <v>-0.52068992715959017</v>
      </c>
      <c r="G58" s="35">
        <f>'03_Historical_FS'!H58-D58+E58</f>
        <v>4799.869920268</v>
      </c>
      <c r="H58" s="26" t="s">
        <v>194</v>
      </c>
      <c r="I58" s="26"/>
    </row>
    <row r="59" spans="1:9">
      <c r="A59" s="26"/>
      <c r="B59" s="26" t="s">
        <v>112</v>
      </c>
      <c r="C59" s="26" t="s">
        <v>14</v>
      </c>
      <c r="D59" s="33">
        <f>IFERROR('95_Raw_CF_Q_BCTC'!C18/1000000000,0)</f>
        <v>-163.05494624900001</v>
      </c>
      <c r="E59" s="33">
        <f>IFERROR('95_Raw_CF_Q_BCTC'!D18/1000000000,0)</f>
        <v>-350.14257225199998</v>
      </c>
      <c r="F59" s="34">
        <f t="shared" si="4"/>
        <v>1.1473900688501644</v>
      </c>
      <c r="G59" s="35">
        <f>'03_Historical_FS'!H59-D59+E59</f>
        <v>-1075.549516003</v>
      </c>
      <c r="H59" s="26" t="s">
        <v>195</v>
      </c>
      <c r="I59" s="26"/>
    </row>
    <row r="60" spans="1:9">
      <c r="A60" s="26"/>
      <c r="B60" s="26" t="s">
        <v>114</v>
      </c>
      <c r="C60" s="26" t="s">
        <v>14</v>
      </c>
      <c r="D60" s="33">
        <f>IFERROR('95_Raw_CF_Q_BCTC'!C25/1000000000,0)</f>
        <v>-3697.9012968010002</v>
      </c>
      <c r="E60" s="33">
        <f>IFERROR('95_Raw_CF_Q_BCTC'!D25/1000000000,0)</f>
        <v>190.055928209</v>
      </c>
      <c r="F60" s="34">
        <f t="shared" si="4"/>
        <v>-1.0513956195568051</v>
      </c>
      <c r="G60" s="35">
        <f>'03_Historical_FS'!H60-D60+E60</f>
        <v>-2772.8181669899996</v>
      </c>
      <c r="H60" s="26" t="s">
        <v>196</v>
      </c>
      <c r="I60" s="26"/>
    </row>
    <row r="61" spans="1:9">
      <c r="A61" s="26"/>
      <c r="B61" s="26" t="s">
        <v>116</v>
      </c>
      <c r="C61" s="26" t="s">
        <v>14</v>
      </c>
      <c r="D61" s="33">
        <f>IFERROR('95_Raw_CF_Q_BCTC'!C27/1000000000,0)</f>
        <v>19644.968702325001</v>
      </c>
      <c r="E61" s="33">
        <f>IFERROR('95_Raw_CF_Q_BCTC'!D27/1000000000,0)</f>
        <v>27840.348205835999</v>
      </c>
      <c r="F61" s="34">
        <f t="shared" si="4"/>
        <v>0.41717447493520643</v>
      </c>
      <c r="G61" s="35">
        <f>'03_Historical_FS'!H61-D61+E61</f>
        <v>106745.48868851099</v>
      </c>
      <c r="H61" s="26" t="s">
        <v>197</v>
      </c>
      <c r="I61" s="26"/>
    </row>
    <row r="62" spans="1:9" ht="28.5" customHeight="1">
      <c r="A62" s="26"/>
      <c r="B62" s="26" t="s">
        <v>118</v>
      </c>
      <c r="C62" s="26" t="s">
        <v>14</v>
      </c>
      <c r="D62" s="33">
        <f>IFERROR('95_Raw_CF_Q_BCTC'!C28/1000000000,0)</f>
        <v>-20675.754394437001</v>
      </c>
      <c r="E62" s="33">
        <f>IFERROR('95_Raw_CF_Q_BCTC'!D28/1000000000,0)</f>
        <v>-29670.637998293001</v>
      </c>
      <c r="F62" s="34">
        <f t="shared" si="4"/>
        <v>0.43504500161194382</v>
      </c>
      <c r="G62" s="35">
        <f>'03_Historical_FS'!H62-D62+E62</f>
        <v>-104867.02154885599</v>
      </c>
      <c r="H62" s="26" t="s">
        <v>198</v>
      </c>
      <c r="I62" s="26"/>
    </row>
    <row r="63" spans="1:9">
      <c r="A63" s="26"/>
      <c r="B63" s="26" t="s">
        <v>120</v>
      </c>
      <c r="C63" s="26" t="s">
        <v>14</v>
      </c>
      <c r="D63" s="33">
        <f>IFERROR('95_Raw_CF_Q_BCTC'!C29/1000000000,0)</f>
        <v>0</v>
      </c>
      <c r="E63" s="33">
        <f>IFERROR('95_Raw_CF_Q_BCTC'!D29/1000000000,0)</f>
        <v>0</v>
      </c>
      <c r="F63" s="34" t="str">
        <f t="shared" si="4"/>
        <v/>
      </c>
      <c r="G63" s="35">
        <f>'03_Historical_FS'!H63-D63+E63</f>
        <v>-1478.4567629999999</v>
      </c>
      <c r="H63" s="26" t="s">
        <v>199</v>
      </c>
      <c r="I63" s="26"/>
    </row>
    <row r="64" spans="1:9">
      <c r="A64" s="26"/>
      <c r="B64" s="26" t="s">
        <v>122</v>
      </c>
      <c r="C64" s="26" t="s">
        <v>14</v>
      </c>
      <c r="D64" s="33">
        <f>IFERROR('95_Raw_CF_Q_BCTC'!C30/1000000000,0)</f>
        <v>-1030.7856921120001</v>
      </c>
      <c r="E64" s="33">
        <f>IFERROR('95_Raw_CF_Q_BCTC'!D30/1000000000,0)</f>
        <v>-1830.6221324569999</v>
      </c>
      <c r="F64" s="34">
        <f t="shared" si="4"/>
        <v>0.77594833384444528</v>
      </c>
      <c r="G64" s="35">
        <f>'03_Historical_FS'!H64-D64+E64</f>
        <v>-132.66469434499982</v>
      </c>
      <c r="H64" s="26" t="s">
        <v>200</v>
      </c>
      <c r="I64" s="26"/>
    </row>
    <row r="65" spans="1:9" ht="28.5" customHeight="1">
      <c r="A65" s="26"/>
      <c r="B65" s="26" t="s">
        <v>124</v>
      </c>
      <c r="C65" s="26" t="s">
        <v>14</v>
      </c>
      <c r="D65" s="33">
        <f>IFERROR('95_Raw_CF_Q_BCTC'!C31/1000000000,0)</f>
        <v>-2239.161645484</v>
      </c>
      <c r="E65" s="33">
        <f>IFERROR('95_Raw_CF_Q_BCTC'!D31/1000000000,0)</f>
        <v>-447.31163055100001</v>
      </c>
      <c r="F65" s="34">
        <f t="shared" si="4"/>
        <v>-0.80023254174027592</v>
      </c>
      <c r="G65" s="35">
        <f>'03_Historical_FS'!H65-D65+E65</f>
        <v>1894.3870589330002</v>
      </c>
      <c r="H65" s="26" t="s">
        <v>201</v>
      </c>
      <c r="I65" s="26"/>
    </row>
    <row r="66" spans="1:9">
      <c r="A66" s="26"/>
      <c r="B66" s="26" t="s">
        <v>126</v>
      </c>
      <c r="C66" s="26" t="s">
        <v>14</v>
      </c>
      <c r="D66" s="33">
        <f>IFERROR('95_Raw_CF_Q_BCTC'!C32/1000000000,0)</f>
        <v>4897.3315407299997</v>
      </c>
      <c r="E66" s="33">
        <f>IFERROR('95_Raw_CF_Q_BCTC'!D32/1000000000,0)</f>
        <v>4999.9257171870004</v>
      </c>
      <c r="F66" s="34">
        <f t="shared" si="4"/>
        <v>2.0948995509850299E-2</v>
      </c>
      <c r="G66" s="35">
        <f>E66</f>
        <v>4999.9257171870004</v>
      </c>
      <c r="H66" s="26" t="s">
        <v>202</v>
      </c>
      <c r="I66" s="26"/>
    </row>
    <row r="67" spans="1:9">
      <c r="A67" s="26"/>
      <c r="B67" s="26" t="s">
        <v>128</v>
      </c>
      <c r="C67" s="26" t="s">
        <v>14</v>
      </c>
      <c r="D67" s="33">
        <f>IFERROR('95_Raw_CF_Q_BCTC'!C33/1000000000,0)</f>
        <v>4.8240903000000002E-2</v>
      </c>
      <c r="E67" s="33">
        <f>IFERROR('95_Raw_CF_Q_BCTC'!D33/1000000000,0)</f>
        <v>1.0384955650000001</v>
      </c>
      <c r="F67" s="34">
        <f t="shared" si="4"/>
        <v>20.527282874451998</v>
      </c>
      <c r="G67" s="35">
        <f>'03_Historical_FS'!H67-D67+E67</f>
        <v>1.0473866620000001</v>
      </c>
      <c r="H67" s="26" t="s">
        <v>203</v>
      </c>
      <c r="I67" s="26"/>
    </row>
    <row r="68" spans="1:9">
      <c r="A68" s="26"/>
      <c r="B68" s="26" t="s">
        <v>130</v>
      </c>
      <c r="C68" s="26" t="s">
        <v>14</v>
      </c>
      <c r="D68" s="33">
        <f>IFERROR('95_Raw_CF_Q_BCTC'!C34/1000000000,0)</f>
        <v>2658.2181361490002</v>
      </c>
      <c r="E68" s="33">
        <f>IFERROR('95_Raw_CF_Q_BCTC'!D34/1000000000,0)</f>
        <v>4553.6525822009999</v>
      </c>
      <c r="F68" s="34">
        <f t="shared" si="4"/>
        <v>0.71304699199665511</v>
      </c>
      <c r="G68" s="35">
        <f>E68</f>
        <v>4553.6525822009999</v>
      </c>
      <c r="H68" s="26" t="s">
        <v>204</v>
      </c>
      <c r="I68" s="26"/>
    </row>
    <row r="69" spans="1:9">
      <c r="A69" s="26"/>
      <c r="B69" s="26" t="s">
        <v>132</v>
      </c>
      <c r="C69" s="26" t="s">
        <v>14</v>
      </c>
      <c r="D69" s="33">
        <f>D17+D55</f>
        <v>2449.1242311149999</v>
      </c>
      <c r="E69" s="33">
        <f>E17+E55</f>
        <v>3741.0533931320001</v>
      </c>
      <c r="F69" s="34">
        <f t="shared" si="4"/>
        <v>0.52750658607008694</v>
      </c>
      <c r="G69" s="35">
        <f>G17+G55</f>
        <v>11846.891760016999</v>
      </c>
      <c r="H69" s="26" t="s">
        <v>24</v>
      </c>
      <c r="I69" s="26"/>
    </row>
    <row r="70" spans="1:9">
      <c r="A70" s="26"/>
      <c r="B70" s="26" t="s">
        <v>133</v>
      </c>
      <c r="C70" s="26" t="s">
        <v>14</v>
      </c>
      <c r="D70" s="33">
        <f>D58+D59-D56*(1-IFERROR(D23/D20,0))</f>
        <v>2586.8765151522884</v>
      </c>
      <c r="E70" s="33">
        <f>E58+E59-E56*(1-IFERROR(E23/E20,0))</f>
        <v>1206.5156564699942</v>
      </c>
      <c r="F70" s="34">
        <f t="shared" si="4"/>
        <v>-0.53360137238751537</v>
      </c>
      <c r="G70" s="35">
        <f>G58+G59-G56*(1-IFERROR(G23/G20,0))</f>
        <v>4971.2989190785229</v>
      </c>
      <c r="H70" s="26" t="s">
        <v>24</v>
      </c>
      <c r="I70" s="26"/>
    </row>
    <row r="71" spans="1:9" ht="15" customHeight="1">
      <c r="A71" s="327" t="s">
        <v>134</v>
      </c>
      <c r="B71" s="327"/>
      <c r="C71" s="327"/>
      <c r="D71" s="328"/>
      <c r="E71" s="328"/>
      <c r="F71" s="331"/>
      <c r="G71" s="330"/>
      <c r="H71" s="327"/>
      <c r="I71" s="327"/>
    </row>
    <row r="72" spans="1:9">
      <c r="A72" s="26"/>
      <c r="B72" s="26" t="s">
        <v>135</v>
      </c>
      <c r="C72" s="26" t="s">
        <v>14</v>
      </c>
      <c r="D72" s="33">
        <f>D7-D8-D9</f>
        <v>0</v>
      </c>
      <c r="E72" s="33">
        <f>E7-E8-E9</f>
        <v>0</v>
      </c>
      <c r="F72" s="38"/>
      <c r="G72" s="35">
        <f>G7-G8-G9</f>
        <v>-1.0000221664085984E-6</v>
      </c>
      <c r="H72" s="26" t="s">
        <v>24</v>
      </c>
      <c r="I72" s="26"/>
    </row>
    <row r="73" spans="1:9">
      <c r="A73" s="26"/>
      <c r="B73" s="26" t="s">
        <v>137</v>
      </c>
      <c r="C73" s="26" t="s">
        <v>14</v>
      </c>
      <c r="D73" s="33">
        <f>D38-D44-D48</f>
        <v>0</v>
      </c>
      <c r="E73" s="33">
        <f>E38-E44-E48</f>
        <v>0</v>
      </c>
      <c r="F73" s="38"/>
      <c r="G73" s="35">
        <f>G38-G44-G48</f>
        <v>0</v>
      </c>
      <c r="H73" s="26" t="s">
        <v>24</v>
      </c>
      <c r="I73" s="26"/>
    </row>
    <row r="74" spans="1:9">
      <c r="A74" s="26"/>
      <c r="B74" s="26" t="s">
        <v>139</v>
      </c>
      <c r="C74" s="26" t="s">
        <v>14</v>
      </c>
      <c r="D74" s="33">
        <f>D38-D49</f>
        <v>0</v>
      </c>
      <c r="E74" s="33">
        <f>E38-E49</f>
        <v>0</v>
      </c>
      <c r="F74" s="38"/>
      <c r="G74" s="35">
        <f>G38-G49</f>
        <v>0</v>
      </c>
      <c r="H74" s="26" t="s">
        <v>24</v>
      </c>
      <c r="I74" s="26"/>
    </row>
    <row r="75" spans="1:9">
      <c r="A75" s="26"/>
      <c r="B75" s="26" t="s">
        <v>141</v>
      </c>
      <c r="C75" s="26" t="s">
        <v>14</v>
      </c>
      <c r="D75" s="33">
        <f>D66+D65+D67-D68</f>
        <v>0</v>
      </c>
      <c r="E75" s="33">
        <f>E66+E65+E67-E68</f>
        <v>0</v>
      </c>
      <c r="F75" s="38"/>
      <c r="G75" s="35"/>
      <c r="H75" s="26" t="s">
        <v>24</v>
      </c>
      <c r="I75" s="26"/>
    </row>
  </sheetData>
  <mergeCells count="2">
    <mergeCell ref="A1:I1"/>
    <mergeCell ref="A2:I2"/>
  </mergeCells>
  <hyperlinks>
    <hyperlink ref="E3" location="Raw_Peer_Metrics!A1" display="100_Raw_Peer_Metrics!A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9"/>
  <sheetViews>
    <sheetView showGridLines="0" workbookViewId="0">
      <selection sqref="A1:K1"/>
    </sheetView>
  </sheetViews>
  <sheetFormatPr defaultRowHeight="13.8"/>
  <cols>
    <col min="1" max="1" width="18" customWidth="1"/>
    <col min="2" max="2" width="28" customWidth="1"/>
    <col min="3" max="3" width="12" customWidth="1"/>
    <col min="4" max="10" width="14" customWidth="1"/>
    <col min="11" max="11" width="17.19921875" customWidth="1"/>
    <col min="12" max="12" width="0.69921875" hidden="1" customWidth="1"/>
    <col min="13" max="13" width="26" customWidth="1"/>
    <col min="14" max="14" width="14" customWidth="1"/>
  </cols>
  <sheetData>
    <row r="1" spans="1:14" ht="15" customHeight="1">
      <c r="A1" s="455" t="s">
        <v>205</v>
      </c>
      <c r="B1" s="452"/>
      <c r="C1" s="452"/>
      <c r="D1" s="452"/>
      <c r="E1" s="452"/>
      <c r="F1" s="452"/>
      <c r="G1" s="452"/>
      <c r="H1" s="452"/>
      <c r="I1" s="452"/>
      <c r="J1" s="452"/>
      <c r="K1" s="452"/>
    </row>
    <row r="2" spans="1:14" ht="14.4">
      <c r="A2" s="456"/>
      <c r="B2" s="452"/>
      <c r="C2" s="452"/>
      <c r="D2" s="452"/>
      <c r="E2" s="452"/>
      <c r="F2" s="452"/>
      <c r="G2" s="452"/>
      <c r="H2" s="452"/>
      <c r="I2" s="452"/>
      <c r="J2" s="452"/>
      <c r="K2" s="452"/>
    </row>
    <row r="4" spans="1:14" ht="15" customHeight="1">
      <c r="A4" s="326" t="s">
        <v>2</v>
      </c>
      <c r="B4" s="326" t="s">
        <v>206</v>
      </c>
      <c r="C4" s="326" t="s">
        <v>4</v>
      </c>
      <c r="D4" s="326" t="s">
        <v>5</v>
      </c>
      <c r="E4" s="326" t="s">
        <v>6</v>
      </c>
      <c r="F4" s="326" t="s">
        <v>7</v>
      </c>
      <c r="G4" s="326" t="s">
        <v>8</v>
      </c>
      <c r="H4" s="326" t="s">
        <v>9</v>
      </c>
      <c r="I4" s="326" t="s">
        <v>146</v>
      </c>
      <c r="J4" s="326" t="s">
        <v>147</v>
      </c>
      <c r="K4" s="326" t="s">
        <v>207</v>
      </c>
      <c r="L4" s="326"/>
      <c r="M4" s="332" t="s">
        <v>208</v>
      </c>
      <c r="N4" s="333">
        <v>0.2</v>
      </c>
    </row>
    <row r="5" spans="1:14" ht="15" customHeight="1">
      <c r="A5" s="327" t="s">
        <v>209</v>
      </c>
      <c r="B5" s="327"/>
      <c r="C5" s="327"/>
      <c r="D5" s="327"/>
      <c r="E5" s="327"/>
      <c r="F5" s="327"/>
      <c r="G5" s="327"/>
      <c r="H5" s="327"/>
      <c r="I5" s="327"/>
      <c r="J5" s="327"/>
      <c r="K5" s="327"/>
      <c r="L5" s="327"/>
      <c r="M5" s="332" t="s">
        <v>210</v>
      </c>
      <c r="N5" s="334">
        <v>4</v>
      </c>
    </row>
    <row r="6" spans="1:14">
      <c r="A6" s="26"/>
      <c r="B6" s="26" t="s">
        <v>17</v>
      </c>
      <c r="C6" s="26" t="s">
        <v>14</v>
      </c>
      <c r="D6" s="35">
        <f>IFERROR('03_Historical_FS'!D7,"")</f>
        <v>122958.106103174</v>
      </c>
      <c r="E6" s="35">
        <f>IFERROR('03_Historical_FS'!E7,"")</f>
        <v>133404.77759099999</v>
      </c>
      <c r="F6" s="35">
        <f>IFERROR('03_Historical_FS'!F7,"")</f>
        <v>118279.788455</v>
      </c>
      <c r="G6" s="35">
        <f>IFERROR('03_Historical_FS'!G7,"")</f>
        <v>134341.15284900001</v>
      </c>
      <c r="H6" s="35">
        <f>IFERROR('03_Historical_FS'!H7,"")</f>
        <v>155928.14561899999</v>
      </c>
      <c r="I6" s="35">
        <f>IFERROR('04_Q1_Historical_FS'!D7,"")</f>
        <v>36134.958418208997</v>
      </c>
      <c r="J6" s="35">
        <f>IFERROR('04_Q1_Historical_FS'!E7,"")</f>
        <v>46461.952026772997</v>
      </c>
      <c r="K6" s="35">
        <f>IFERROR('04_Q1_Historical_FS'!G7,"")</f>
        <v>166255.13922756398</v>
      </c>
      <c r="L6" s="26"/>
      <c r="M6" s="332" t="s">
        <v>211</v>
      </c>
      <c r="N6" s="334">
        <v>365</v>
      </c>
    </row>
    <row r="7" spans="1:14">
      <c r="A7" s="26"/>
      <c r="B7" s="26" t="s">
        <v>52</v>
      </c>
      <c r="C7" s="26" t="s">
        <v>14</v>
      </c>
      <c r="D7" s="35">
        <f>IFERROR('03_Historical_FS'!D26,"")</f>
        <v>4898.8692782199996</v>
      </c>
      <c r="E7" s="35">
        <f>IFERROR('03_Historical_FS'!E26,"")</f>
        <v>4099.763027</v>
      </c>
      <c r="F7" s="35">
        <f>IFERROR('03_Historical_FS'!F26,"")</f>
        <v>167.66939300000001</v>
      </c>
      <c r="G7" s="35">
        <f>IFERROR('03_Historical_FS'!G26,"")</f>
        <v>3721.868442</v>
      </c>
      <c r="H7" s="35">
        <f>IFERROR('03_Historical_FS'!H26,"")</f>
        <v>7033.7307700000001</v>
      </c>
      <c r="I7" s="35">
        <f>IFERROR('04_Q1_Historical_FS'!D26,"")</f>
        <v>1545.937090941</v>
      </c>
      <c r="J7" s="35">
        <f>IFERROR('04_Q1_Historical_FS'!E26,"")</f>
        <v>2714.4308521060002</v>
      </c>
      <c r="K7" s="35">
        <f>IFERROR('04_Q1_Historical_FS'!G26,"")</f>
        <v>8202.2245311650004</v>
      </c>
      <c r="L7" s="26"/>
      <c r="M7" s="332" t="s">
        <v>212</v>
      </c>
      <c r="N7" s="334">
        <f>N6/N5</f>
        <v>91.25</v>
      </c>
    </row>
    <row r="8" spans="1:14">
      <c r="A8" s="26"/>
      <c r="B8" s="26" t="s">
        <v>132</v>
      </c>
      <c r="C8" s="26" t="s">
        <v>14</v>
      </c>
      <c r="D8" s="35">
        <f>IFERROR('03_Historical_FS'!D69,"")</f>
        <v>9386.3205267659996</v>
      </c>
      <c r="E8" s="35">
        <f>IFERROR('03_Historical_FS'!E69,"")</f>
        <v>10115.018425</v>
      </c>
      <c r="F8" s="35">
        <f>IFERROR('03_Historical_FS'!F69,"")</f>
        <v>4398.3826220000001</v>
      </c>
      <c r="G8" s="35">
        <f>IFERROR('03_Historical_FS'!G69,"")</f>
        <v>8140.4645060000003</v>
      </c>
      <c r="H8" s="35">
        <f>IFERROR('03_Historical_FS'!H69,"")</f>
        <v>10554.962598</v>
      </c>
      <c r="I8" s="35">
        <f>IFERROR('04_Q1_Historical_FS'!D69,"")</f>
        <v>2449.1242311149999</v>
      </c>
      <c r="J8" s="35">
        <f>IFERROR('04_Q1_Historical_FS'!E69,"")</f>
        <v>3741.0533931320001</v>
      </c>
      <c r="K8" s="35">
        <f>IFERROR('04_Q1_Historical_FS'!G69,"")</f>
        <v>11846.891760016999</v>
      </c>
      <c r="L8" s="26"/>
    </row>
    <row r="9" spans="1:14">
      <c r="A9" s="26"/>
      <c r="B9" s="26" t="s">
        <v>36</v>
      </c>
      <c r="C9" s="26" t="s">
        <v>14</v>
      </c>
      <c r="D9" s="35">
        <f>IFERROR('03_Historical_FS'!D17,"")</f>
        <v>6465.6069183560003</v>
      </c>
      <c r="E9" s="35">
        <f>IFERROR('03_Historical_FS'!E17,"")</f>
        <v>6574.6936990000004</v>
      </c>
      <c r="F9" s="35">
        <f>IFERROR('03_Historical_FS'!F17,"")</f>
        <v>1047.068354</v>
      </c>
      <c r="G9" s="35">
        <f>IFERROR('03_Historical_FS'!G17,"")</f>
        <v>5227.0454250000003</v>
      </c>
      <c r="H9" s="35">
        <f>IFERROR('03_Historical_FS'!H17,"")</f>
        <v>8664.0804889999999</v>
      </c>
      <c r="I9" s="35">
        <f>IFERROR('04_Q1_Historical_FS'!D17,"")</f>
        <v>1940.2047643650001</v>
      </c>
      <c r="J9" s="35">
        <f>IFERROR('04_Q1_Historical_FS'!E17,"")</f>
        <v>3347.1234178670002</v>
      </c>
      <c r="K9" s="35">
        <f>IFERROR('04_Q1_Historical_FS'!G17,"")</f>
        <v>10070.999142502</v>
      </c>
      <c r="L9" s="26"/>
    </row>
    <row r="10" spans="1:14">
      <c r="A10" s="26"/>
      <c r="B10" s="26" t="s">
        <v>29</v>
      </c>
      <c r="C10" s="26" t="s">
        <v>14</v>
      </c>
      <c r="D10" s="35">
        <f>IFERROR('03_Historical_FS'!D13,"")</f>
        <v>674.427746189</v>
      </c>
      <c r="E10" s="35">
        <f>IFERROR('03_Historical_FS'!E13,"")</f>
        <v>1362.1439089999999</v>
      </c>
      <c r="F10" s="35">
        <f>IFERROR('03_Historical_FS'!F13,"")</f>
        <v>1447.718355</v>
      </c>
      <c r="G10" s="35">
        <f>IFERROR('03_Historical_FS'!G13,"")</f>
        <v>1137.23613</v>
      </c>
      <c r="H10" s="35">
        <f>IFERROR('03_Historical_FS'!H13,"")</f>
        <v>1470.675594</v>
      </c>
      <c r="I10" s="35">
        <f>IFERROR('04_Q1_Historical_FS'!D13,"")</f>
        <v>322.79285049999999</v>
      </c>
      <c r="J10" s="35">
        <f>IFERROR('04_Q1_Historical_FS'!E13,"")</f>
        <v>415.44890408499998</v>
      </c>
      <c r="K10" s="35">
        <f>IFERROR('04_Q1_Historical_FS'!G13,"")</f>
        <v>1563.3316475850002</v>
      </c>
      <c r="L10" s="26"/>
    </row>
    <row r="11" spans="1:14">
      <c r="A11" s="26"/>
      <c r="B11" s="26" t="s">
        <v>99</v>
      </c>
      <c r="C11" s="26" t="s">
        <v>14</v>
      </c>
      <c r="D11" s="35">
        <f>IFERROR('03_Historical_FS'!D51,"")</f>
        <v>6268.8321815240033</v>
      </c>
      <c r="E11" s="35">
        <f>IFERROR('03_Historical_FS'!E51,"")</f>
        <v>1459.1184780000021</v>
      </c>
      <c r="F11" s="35">
        <f>IFERROR('03_Historical_FS'!F51,"")</f>
        <v>811.07888699999967</v>
      </c>
      <c r="G11" s="35">
        <f>IFERROR('03_Historical_FS'!G51,"")</f>
        <v>-6921.5265749999999</v>
      </c>
      <c r="H11" s="35">
        <f>IFERROR('03_Historical_FS'!H51,"")</f>
        <v>-8943.2528579999998</v>
      </c>
      <c r="I11" s="35">
        <f>IFERROR('04_Q1_Historical_FS'!D51,"")</f>
        <v>-8826.5471221020016</v>
      </c>
      <c r="J11" s="35">
        <f>IFERROR('04_Q1_Historical_FS'!E51,"")</f>
        <v>-18284.153128744998</v>
      </c>
      <c r="K11" s="35">
        <f>IFERROR('04_Q1_Historical_FS'!G51,"")</f>
        <v>-18284.153128744998</v>
      </c>
      <c r="L11" s="26"/>
    </row>
    <row r="12" spans="1:14">
      <c r="A12" s="26"/>
      <c r="B12" s="26" t="s">
        <v>213</v>
      </c>
      <c r="C12" s="26" t="s">
        <v>14</v>
      </c>
      <c r="D12" s="35">
        <f>IFERROR('03_Historical_FS'!D29+'03_Historical_FS'!D30,"")</f>
        <v>18378.642097262</v>
      </c>
      <c r="E12" s="35">
        <f>IFERROR('03_Historical_FS'!E29+'03_Historical_FS'!E30,"")</f>
        <v>15130.270152999999</v>
      </c>
      <c r="F12" s="35">
        <f>IFERROR('03_Historical_FS'!F29+'03_Historical_FS'!F30,"")</f>
        <v>24302.712931000002</v>
      </c>
      <c r="G12" s="35">
        <f>IFERROR('03_Historical_FS'!G29+'03_Historical_FS'!G30,"")</f>
        <v>34221.773297</v>
      </c>
      <c r="H12" s="35">
        <f>IFERROR('03_Historical_FS'!H29+'03_Historical_FS'!H30,"")</f>
        <v>38874.195820000001</v>
      </c>
      <c r="I12" s="35">
        <f>IFERROR('04_Q1_Historical_FS'!D29+'04_Q1_Historical_FS'!D30,"")</f>
        <v>35048.733151769004</v>
      </c>
      <c r="J12" s="35">
        <f>IFERROR('04_Q1_Historical_FS'!E29+'04_Q1_Historical_FS'!E30,"")</f>
        <v>46384.806297955998</v>
      </c>
      <c r="K12" s="35">
        <f>IFERROR('04_Q1_Historical_FS'!G29+'04_Q1_Historical_FS'!G30,"")</f>
        <v>46384.806297955998</v>
      </c>
      <c r="L12" s="26"/>
    </row>
    <row r="13" spans="1:14" ht="15" customHeight="1">
      <c r="A13" s="327" t="s">
        <v>214</v>
      </c>
      <c r="B13" s="327"/>
      <c r="C13" s="327"/>
      <c r="D13" s="327"/>
      <c r="E13" s="327"/>
      <c r="F13" s="327"/>
      <c r="G13" s="327"/>
      <c r="H13" s="327"/>
      <c r="I13" s="327"/>
      <c r="J13" s="327"/>
      <c r="K13" s="327"/>
      <c r="L13" s="327"/>
    </row>
    <row r="14" spans="1:14">
      <c r="A14" s="26"/>
      <c r="B14" s="26" t="s">
        <v>22</v>
      </c>
      <c r="C14" s="26" t="s">
        <v>23</v>
      </c>
      <c r="D14" s="37">
        <f>IFERROR('03_Historical_FS'!D10,"")</f>
        <v>0.22472802217974891</v>
      </c>
      <c r="E14" s="37">
        <f>IFERROR('03_Historical_FS'!E10,"")</f>
        <v>0.23134135863273664</v>
      </c>
      <c r="F14" s="37">
        <f>IFERROR('03_Historical_FS'!F10,"")</f>
        <v>0.19040119582702883</v>
      </c>
      <c r="G14" s="37">
        <f>IFERROR('03_Historical_FS'!G10,"")</f>
        <v>0.20469684451725095</v>
      </c>
      <c r="H14" s="37">
        <f>IFERROR('03_Historical_FS'!H10,"")</f>
        <v>0.19882156153996097</v>
      </c>
      <c r="I14" s="37">
        <f>IFERROR('04_Q1_Historical_FS'!D10,"")</f>
        <v>0.19926439465823753</v>
      </c>
      <c r="J14" s="37">
        <f>IFERROR('04_Q1_Historical_FS'!E10,"")</f>
        <v>0.20899038924840482</v>
      </c>
      <c r="K14" s="37">
        <f>IFERROR('04_Q1_Historical_FS'!G10,"")</f>
        <v>0.20156711172844763</v>
      </c>
      <c r="L14" s="26"/>
    </row>
    <row r="15" spans="1:14">
      <c r="A15" s="26"/>
      <c r="B15" s="26" t="s">
        <v>38</v>
      </c>
      <c r="C15" s="26" t="s">
        <v>23</v>
      </c>
      <c r="D15" s="37">
        <f>IFERROR('03_Historical_FS'!D18,"")</f>
        <v>5.2583819995818057E-2</v>
      </c>
      <c r="E15" s="37">
        <f>IFERROR('03_Historical_FS'!E18,"")</f>
        <v>4.9283794911431679E-2</v>
      </c>
      <c r="F15" s="37">
        <f>IFERROR('03_Historical_FS'!F18,"")</f>
        <v>8.8524706348993946E-3</v>
      </c>
      <c r="G15" s="37">
        <f>IFERROR('03_Historical_FS'!G18,"")</f>
        <v>3.8908743256619367E-2</v>
      </c>
      <c r="H15" s="37">
        <f>IFERROR('03_Historical_FS'!H18,"")</f>
        <v>5.5564570813085294E-2</v>
      </c>
      <c r="I15" s="37">
        <f>IFERROR('04_Q1_Historical_FS'!D18,"")</f>
        <v>5.3693288972689095E-2</v>
      </c>
      <c r="J15" s="37">
        <f>IFERROR('04_Q1_Historical_FS'!E18,"")</f>
        <v>7.2040094568955493E-2</v>
      </c>
      <c r="K15" s="37">
        <f>IFERROR('04_Q1_Historical_FS'!G18,"")</f>
        <v>6.0575565900054272E-2</v>
      </c>
      <c r="L15" s="26"/>
    </row>
    <row r="16" spans="1:14">
      <c r="A16" s="26"/>
      <c r="B16" s="26" t="s">
        <v>54</v>
      </c>
      <c r="C16" s="26" t="s">
        <v>23</v>
      </c>
      <c r="D16" s="37">
        <f>IFERROR('03_Historical_FS'!D27,"")</f>
        <v>3.984177565413511E-2</v>
      </c>
      <c r="E16" s="37">
        <f>IFERROR('03_Historical_FS'!E27,"")</f>
        <v>3.0731755646482829E-2</v>
      </c>
      <c r="F16" s="37">
        <f>IFERROR('03_Historical_FS'!F27,"")</f>
        <v>1.4175658850099353E-3</v>
      </c>
      <c r="G16" s="37">
        <f>IFERROR('03_Historical_FS'!G27,"")</f>
        <v>2.7704604010532759E-2</v>
      </c>
      <c r="H16" s="37">
        <f>IFERROR('03_Historical_FS'!H27,"")</f>
        <v>4.5108795093263356E-2</v>
      </c>
      <c r="I16" s="37">
        <f>IFERROR('04_Q1_Historical_FS'!D27,"")</f>
        <v>4.2782312713606913E-2</v>
      </c>
      <c r="J16" s="37">
        <f>IFERROR('04_Q1_Historical_FS'!E27,"")</f>
        <v>5.8422660557650496E-2</v>
      </c>
      <c r="K16" s="37">
        <f>IFERROR('04_Q1_Historical_FS'!G27,"")</f>
        <v>4.9335163828758966E-2</v>
      </c>
      <c r="L16" s="26"/>
    </row>
    <row r="17" spans="1:12">
      <c r="A17" s="26"/>
      <c r="B17" s="26" t="s">
        <v>215</v>
      </c>
      <c r="C17" s="26" t="s">
        <v>23</v>
      </c>
      <c r="D17" s="37">
        <f>IFERROR('03_Historical_FS'!D26/'03_Historical_FS'!D48,"")</f>
        <v>0.24039700366052213</v>
      </c>
      <c r="E17" s="37">
        <f>IFERROR('03_Historical_FS'!E26/AVERAGE('03_Historical_FS'!D48,'03_Historical_FS'!E48),"")</f>
        <v>0.18504565392505196</v>
      </c>
      <c r="F17" s="37">
        <f>IFERROR('03_Historical_FS'!F26/AVERAGE('03_Historical_FS'!E48,'03_Historical_FS'!F48),"")</f>
        <v>7.0907933041676396E-3</v>
      </c>
      <c r="G17" s="37">
        <f>IFERROR('03_Historical_FS'!G26/AVERAGE('03_Historical_FS'!F48,'03_Historical_FS'!G48),"")</f>
        <v>0.14459154628621984</v>
      </c>
      <c r="H17" s="37">
        <f>IFERROR('03_Historical_FS'!H26/AVERAGE('03_Historical_FS'!G48,'03_Historical_FS'!H48),"")</f>
        <v>0.2294941387897996</v>
      </c>
      <c r="I17" s="37">
        <f>IFERROR(('04_Q1_Historical_FS'!D26*$N$5)/AVERAGE('03_Historical_FS'!G48,'04_Q1_Historical_FS'!D48),"")</f>
        <v>0.21400492642403504</v>
      </c>
      <c r="J17" s="37">
        <f>IFERROR(('04_Q1_Historical_FS'!E26*$N$5)/AVERAGE('03_Historical_FS'!H48,'04_Q1_Historical_FS'!E48),"")</f>
        <v>0.31421815473481735</v>
      </c>
      <c r="K17" s="37">
        <f>IFERROR('04_Q1_Historical_FS'!G26/AVERAGE('03_Historical_FS'!H48,'04_Q1_Historical_FS'!E48),"")</f>
        <v>0.2373690837347838</v>
      </c>
      <c r="L17" s="26"/>
    </row>
    <row r="18" spans="1:12">
      <c r="A18" s="26"/>
      <c r="B18" s="26" t="s">
        <v>216</v>
      </c>
      <c r="C18" s="26" t="s">
        <v>23</v>
      </c>
      <c r="D18" s="37">
        <f>IFERROR('03_Historical_FS'!D24/'03_Historical_FS'!D38,"")</f>
        <v>7.7835752406892125E-2</v>
      </c>
      <c r="E18" s="37">
        <f>IFERROR('03_Historical_FS'!E24/AVERAGE('03_Historical_FS'!D38,'03_Historical_FS'!E38),"")</f>
        <v>6.904923442417972E-2</v>
      </c>
      <c r="F18" s="37">
        <f>IFERROR('03_Historical_FS'!F24/AVERAGE('03_Historical_FS'!E38,'03_Historical_FS'!F38),"")</f>
        <v>2.8949704297354501E-3</v>
      </c>
      <c r="G18" s="37">
        <f>IFERROR('03_Historical_FS'!G24/AVERAGE('03_Historical_FS'!F38,'03_Historical_FS'!G38),"")</f>
        <v>5.7193664587242704E-2</v>
      </c>
      <c r="H18" s="37">
        <f>IFERROR('03_Historical_FS'!H24/AVERAGE('03_Historical_FS'!G38,'03_Historical_FS'!H38),"")</f>
        <v>9.1624139638835755E-2</v>
      </c>
      <c r="I18" s="37">
        <f>IFERROR(('04_Q1_Historical_FS'!D24*$N$5)/AVERAGE('03_Historical_FS'!G38,'04_Q1_Historical_FS'!D38),"")</f>
        <v>8.6521308521019677E-2</v>
      </c>
      <c r="J18" s="37">
        <f>IFERROR(('04_Q1_Historical_FS'!E24*$N$5)/AVERAGE('03_Historical_FS'!H38,'04_Q1_Historical_FS'!E38),"")</f>
        <v>0.13135901376226294</v>
      </c>
      <c r="K18" s="37">
        <f>IFERROR('04_Q1_Historical_FS'!G24/AVERAGE('03_Historical_FS'!H38,'04_Q1_Historical_FS'!E38),"")</f>
        <v>9.8634480829146498E-2</v>
      </c>
      <c r="L18" s="26"/>
    </row>
    <row r="19" spans="1:12">
      <c r="A19" s="26"/>
      <c r="B19" s="26" t="s">
        <v>217</v>
      </c>
      <c r="C19" s="26" t="s">
        <v>23</v>
      </c>
      <c r="D19" s="37">
        <f>IFERROR(('03_Historical_FS'!D17*(1-$N$4))/('03_Historical_FS'!D50+'03_Historical_FS'!D48-'03_Historical_FS'!D29-'03_Historical_FS'!D30),"")</f>
        <v>0.19411079516782012</v>
      </c>
      <c r="E19" s="37">
        <f>IFERROR(('03_Historical_FS'!E17*(1-$N$4))/AVERAGE(('03_Historical_FS'!D50+'03_Historical_FS'!D48-'03_Historical_FS'!D29-'03_Historical_FS'!D30),('03_Historical_FS'!E50+'03_Historical_FS'!E48-'03_Historical_FS'!E29-'03_Historical_FS'!E30)),"")</f>
        <v>0.20214751934692038</v>
      </c>
      <c r="F19" s="37">
        <f>IFERROR(('03_Historical_FS'!F17*(1-$N$4))/AVERAGE(('03_Historical_FS'!E50+'03_Historical_FS'!E48-'03_Historical_FS'!E29-'03_Historical_FS'!E30),('03_Historical_FS'!F50+'03_Historical_FS'!F48-'03_Historical_FS'!F29-'03_Historical_FS'!F30)),"")</f>
        <v>3.3802065699006678E-2</v>
      </c>
      <c r="G19" s="37">
        <f>IFERROR(('03_Historical_FS'!G17*(1-$N$4))/AVERAGE(('03_Historical_FS'!F50+'03_Historical_FS'!F48-'03_Historical_FS'!F29-'03_Historical_FS'!F30),('03_Historical_FS'!G50+'03_Historical_FS'!G48-'03_Historical_FS'!G29-'03_Historical_FS'!G30)),"")</f>
        <v>0.18433207019796274</v>
      </c>
      <c r="H19" s="37">
        <f>IFERROR(('03_Historical_FS'!H17*(1-$N$4))/AVERAGE(('03_Historical_FS'!G50+'03_Historical_FS'!G48-'03_Historical_FS'!G29-'03_Historical_FS'!G30),('03_Historical_FS'!H50+'03_Historical_FS'!H48-'03_Historical_FS'!H29-'03_Historical_FS'!H30)),"")</f>
        <v>0.30512083263418766</v>
      </c>
      <c r="I19" s="37">
        <f>IFERROR((('04_Q1_Historical_FS'!D17*$N$5)*(1-$N$4))/AVERAGE(('03_Historical_FS'!G50+'03_Historical_FS'!G48-'03_Historical_FS'!G29-'03_Historical_FS'!G30),('04_Q1_Historical_FS'!D50+'04_Q1_Historical_FS'!D48-'04_Q1_Historical_FS'!D29-'04_Q1_Historical_FS'!D30)),"")</f>
        <v>0.29535042198129086</v>
      </c>
      <c r="J19" s="37">
        <f>IFERROR((('04_Q1_Historical_FS'!E17*$N$5)*(1-$N$4))/AVERAGE(('03_Historical_FS'!H50+'03_Historical_FS'!H48-'03_Historical_FS'!H29-'03_Historical_FS'!H30),('04_Q1_Historical_FS'!E50+'04_Q1_Historical_FS'!E48-'04_Q1_Historical_FS'!E29-'04_Q1_Historical_FS'!E30)),"")</f>
        <v>0.51147420226945672</v>
      </c>
      <c r="K19" s="37">
        <f>IFERROR(('04_Q1_Historical_FS'!G17*(1-$N$4))/AVERAGE(('03_Historical_FS'!H50+'03_Historical_FS'!H48-'03_Historical_FS'!H29-'03_Historical_FS'!H30),('04_Q1_Historical_FS'!E50+'04_Q1_Historical_FS'!E48-'04_Q1_Historical_FS'!E29-'04_Q1_Historical_FS'!E30)),"")</f>
        <v>0.38473754993400977</v>
      </c>
      <c r="L19" s="26"/>
    </row>
    <row r="20" spans="1:12" ht="30" customHeight="1">
      <c r="A20" s="327" t="s">
        <v>218</v>
      </c>
      <c r="B20" s="327"/>
      <c r="C20" s="327"/>
      <c r="D20" s="327"/>
      <c r="E20" s="327"/>
      <c r="F20" s="327"/>
      <c r="G20" s="327"/>
      <c r="H20" s="327"/>
      <c r="I20" s="327"/>
      <c r="J20" s="327"/>
      <c r="K20" s="327"/>
      <c r="L20" s="327"/>
    </row>
    <row r="21" spans="1:12">
      <c r="A21" s="26"/>
      <c r="B21" s="26" t="s">
        <v>219</v>
      </c>
      <c r="C21" s="26" t="s">
        <v>220</v>
      </c>
      <c r="D21" s="35">
        <f>IFERROR('03_Historical_FS'!D32/'03_Historical_FS'!D8*$N$6,"")</f>
        <v>111.68036715009337</v>
      </c>
      <c r="E21" s="35">
        <f>IFERROR(AVERAGE('03_Historical_FS'!D32,'03_Historical_FS'!E32)/'03_Historical_FS'!E8*$N$6,"")</f>
        <v>97.642744472339714</v>
      </c>
      <c r="F21" s="35">
        <f>IFERROR(AVERAGE('03_Historical_FS'!E32,'03_Historical_FS'!F32)/'03_Historical_FS'!F8*$N$6,"")</f>
        <v>90.565286949657164</v>
      </c>
      <c r="G21" s="35">
        <f>IFERROR(AVERAGE('03_Historical_FS'!F32,'03_Historical_FS'!G32)/'03_Historical_FS'!G8*$N$6,"")</f>
        <v>75.275460392790734</v>
      </c>
      <c r="H21" s="35">
        <f>IFERROR(AVERAGE('03_Historical_FS'!G32,'03_Historical_FS'!H32)/'03_Historical_FS'!H8*$N$6,"")</f>
        <v>72.329495178868314</v>
      </c>
      <c r="I21" s="35">
        <f>IFERROR(AVERAGE('03_Historical_FS'!G32,'04_Q1_Historical_FS'!D32)/('04_Q1_Historical_FS'!D8*$N$5)*$N$6,"")</f>
        <v>71.041379144918878</v>
      </c>
      <c r="J21" s="35">
        <f>IFERROR(AVERAGE('03_Historical_FS'!H32,'04_Q1_Historical_FS'!E32)/('04_Q1_Historical_FS'!E8*$N$5)*$N$6,"")</f>
        <v>68.114458908876145</v>
      </c>
      <c r="K21" s="35">
        <f>IFERROR(AVERAGE('03_Historical_FS'!H32,'04_Q1_Historical_FS'!E32)/'04_Q1_Historical_FS'!G8*$N$6,"")</f>
        <v>75.433631857938153</v>
      </c>
      <c r="L21" s="26"/>
    </row>
    <row r="22" spans="1:12">
      <c r="A22" s="26"/>
      <c r="B22" s="26" t="s">
        <v>221</v>
      </c>
      <c r="C22" s="26" t="s">
        <v>220</v>
      </c>
      <c r="D22" s="35">
        <f>IFERROR('03_Historical_FS'!D31/'03_Historical_FS'!D7*$N$6,"")</f>
        <v>9.3867298074713634</v>
      </c>
      <c r="E22" s="35">
        <f>IFERROR(AVERAGE('03_Historical_FS'!D31,'03_Historical_FS'!E31)/'03_Historical_FS'!E7*$N$6,"")</f>
        <v>8.4310057530902416</v>
      </c>
      <c r="F22" s="35">
        <f>IFERROR(AVERAGE('03_Historical_FS'!E31,'03_Historical_FS'!F31)/'03_Historical_FS'!F7*$N$6,"")</f>
        <v>12.589977892093955</v>
      </c>
      <c r="G22" s="35">
        <f>IFERROR(AVERAGE('03_Historical_FS'!F31,'03_Historical_FS'!G31)/'03_Historical_FS'!G7*$N$6,"")</f>
        <v>18.998026599609446</v>
      </c>
      <c r="H22" s="35">
        <f>IFERROR(AVERAGE('03_Historical_FS'!G31,'03_Historical_FS'!H31)/'03_Historical_FS'!H7*$N$6,"")</f>
        <v>22.248027213278089</v>
      </c>
      <c r="I22" s="35">
        <f>IFERROR(AVERAGE('03_Historical_FS'!G31,'04_Q1_Historical_FS'!D31)/('04_Q1_Historical_FS'!D7*$N$5)*$N$6,"")</f>
        <v>23.596527664551747</v>
      </c>
      <c r="J22" s="35">
        <f>IFERROR(AVERAGE('03_Historical_FS'!H31,'04_Q1_Historical_FS'!E31)/('04_Q1_Historical_FS'!E7*$N$5)*$N$6,"")</f>
        <v>12.0822139406866</v>
      </c>
      <c r="K22" s="35">
        <f>IFERROR(AVERAGE('03_Historical_FS'!H31,'04_Q1_Historical_FS'!E31)/'04_Q1_Historical_FS'!G7*$N$6,"")</f>
        <v>13.506066569671935</v>
      </c>
      <c r="L22" s="26"/>
    </row>
    <row r="23" spans="1:12">
      <c r="A23" s="26"/>
      <c r="B23" s="26" t="s">
        <v>222</v>
      </c>
      <c r="C23" s="26" t="s">
        <v>220</v>
      </c>
      <c r="D23" s="35">
        <f>IFERROR('03_Historical_FS'!D39/'03_Historical_FS'!D8*$N$6,"")</f>
        <v>46.635954505568613</v>
      </c>
      <c r="E23" s="35">
        <f>IFERROR(AVERAGE('03_Historical_FS'!D39,'03_Historical_FS'!E39)/'03_Historical_FS'!E8*$N$6,"")</f>
        <v>37.242252027222442</v>
      </c>
      <c r="F23" s="35">
        <f>IFERROR(AVERAGE('03_Historical_FS'!E39,'03_Historical_FS'!F39)/'03_Historical_FS'!F8*$N$6,"")</f>
        <v>31.775583949752384</v>
      </c>
      <c r="G23" s="35">
        <f>IFERROR(AVERAGE('03_Historical_FS'!F39,'03_Historical_FS'!G39)/'03_Historical_FS'!G8*$N$6,"")</f>
        <v>29.220488924090155</v>
      </c>
      <c r="H23" s="35">
        <f>IFERROR(AVERAGE('03_Historical_FS'!G39,'03_Historical_FS'!H39)/'03_Historical_FS'!H8*$N$6,"")</f>
        <v>32.567772400057535</v>
      </c>
      <c r="I23" s="35">
        <f>IFERROR(AVERAGE('03_Historical_FS'!G39,'04_Q1_Historical_FS'!D39)/('04_Q1_Historical_FS'!D8*$N$5)*$N$6,"")</f>
        <v>32.307128068419495</v>
      </c>
      <c r="J23" s="35">
        <f>IFERROR(AVERAGE('03_Historical_FS'!H39,'04_Q1_Historical_FS'!E39)/('04_Q1_Historical_FS'!E8*$N$5)*$N$6,"")</f>
        <v>31.04382373721927</v>
      </c>
      <c r="K23" s="35">
        <f>IFERROR(AVERAGE('03_Historical_FS'!H39,'04_Q1_Historical_FS'!E39)/'04_Q1_Historical_FS'!G8*$N$6,"")</f>
        <v>34.379607630575514</v>
      </c>
      <c r="L23" s="26"/>
    </row>
    <row r="24" spans="1:12">
      <c r="A24" s="26"/>
      <c r="B24" s="26" t="s">
        <v>223</v>
      </c>
      <c r="C24" s="26" t="s">
        <v>220</v>
      </c>
      <c r="D24" s="35">
        <f t="shared" ref="D24:K24" si="0">IFERROR(D21+D22-D23,"")</f>
        <v>74.431142451996124</v>
      </c>
      <c r="E24" s="35">
        <f t="shared" si="0"/>
        <v>68.831498198207527</v>
      </c>
      <c r="F24" s="35">
        <f t="shared" si="0"/>
        <v>71.379680891998731</v>
      </c>
      <c r="G24" s="35">
        <f t="shared" si="0"/>
        <v>65.052998068310018</v>
      </c>
      <c r="H24" s="35">
        <f t="shared" si="0"/>
        <v>62.009749992088871</v>
      </c>
      <c r="I24" s="35">
        <f t="shared" si="0"/>
        <v>62.330778741051127</v>
      </c>
      <c r="J24" s="35">
        <f t="shared" si="0"/>
        <v>49.152849112343475</v>
      </c>
      <c r="K24" s="35">
        <f t="shared" si="0"/>
        <v>54.560090797034569</v>
      </c>
      <c r="L24" s="26"/>
    </row>
    <row r="25" spans="1:12" ht="30" customHeight="1">
      <c r="A25" s="327" t="s">
        <v>224</v>
      </c>
      <c r="B25" s="327"/>
      <c r="C25" s="327"/>
      <c r="D25" s="327"/>
      <c r="E25" s="327"/>
      <c r="F25" s="327"/>
      <c r="G25" s="327"/>
      <c r="H25" s="327"/>
      <c r="I25" s="327"/>
      <c r="J25" s="327"/>
      <c r="K25" s="327"/>
      <c r="L25" s="327"/>
    </row>
    <row r="26" spans="1:12">
      <c r="A26" s="26"/>
      <c r="B26" s="26" t="s">
        <v>225</v>
      </c>
      <c r="C26" s="26" t="s">
        <v>226</v>
      </c>
      <c r="D26" s="39">
        <f>IFERROR('03_Historical_FS'!D34/'03_Historical_FS'!D41,"")</f>
        <v>1.219802879523527</v>
      </c>
      <c r="E26" s="39">
        <f>IFERROR('03_Historical_FS'!E34/'03_Historical_FS'!E41,"")</f>
        <v>1.7145059397630513</v>
      </c>
      <c r="F26" s="39">
        <f>IFERROR('03_Historical_FS'!F34/'03_Historical_FS'!F41,"")</f>
        <v>1.6886038681458717</v>
      </c>
      <c r="G26" s="39">
        <f>IFERROR('03_Historical_FS'!G34/'03_Historical_FS'!G41,"")</f>
        <v>1.5558208046685318</v>
      </c>
      <c r="H26" s="39">
        <f>IFERROR('03_Historical_FS'!H34/'03_Historical_FS'!H41,"")</f>
        <v>1.520630445077255</v>
      </c>
      <c r="I26" s="39">
        <f>IFERROR('04_Q1_Historical_FS'!D34/'04_Q1_Historical_FS'!D41,"")</f>
        <v>1.5891666467090539</v>
      </c>
      <c r="J26" s="39">
        <f>IFERROR('04_Q1_Historical_FS'!E34/'04_Q1_Historical_FS'!E41,"")</f>
        <v>1.5986822140394661</v>
      </c>
      <c r="K26" s="39">
        <f>IFERROR('04_Q1_Historical_FS'!G34/'04_Q1_Historical_FS'!G41,"")</f>
        <v>1.5986822140394661</v>
      </c>
      <c r="L26" s="26"/>
    </row>
    <row r="27" spans="1:12">
      <c r="A27" s="26"/>
      <c r="B27" s="26" t="s">
        <v>227</v>
      </c>
      <c r="C27" s="26" t="s">
        <v>226</v>
      </c>
      <c r="D27" s="39">
        <f>IFERROR(('03_Historical_FS'!D29+'03_Historical_FS'!D30+'03_Historical_FS'!D31)/'03_Historical_FS'!D41,"")</f>
        <v>0.50573295496490511</v>
      </c>
      <c r="E27" s="39">
        <f>IFERROR(('03_Historical_FS'!E29+'03_Historical_FS'!E30+'03_Historical_FS'!E31)/'03_Historical_FS'!E41,"")</f>
        <v>0.6973424405250318</v>
      </c>
      <c r="F27" s="39">
        <f>IFERROR(('03_Historical_FS'!F29+'03_Historical_FS'!F30+'03_Historical_FS'!F31)/'03_Historical_FS'!F41,"")</f>
        <v>0.95762446793805889</v>
      </c>
      <c r="G27" s="39">
        <f>IFERROR(('03_Historical_FS'!G29+'03_Historical_FS'!G30+'03_Historical_FS'!G31)/'03_Historical_FS'!G41,"")</f>
        <v>1.0172858300851442</v>
      </c>
      <c r="H27" s="39">
        <f>IFERROR(('03_Historical_FS'!H29+'03_Historical_FS'!H30+'03_Historical_FS'!H31)/'03_Historical_FS'!H41,"")</f>
        <v>0.96626970201508133</v>
      </c>
      <c r="I27" s="39">
        <f>IFERROR(('04_Q1_Historical_FS'!D29+'04_Q1_Historical_FS'!D30+'04_Q1_Historical_FS'!D31)/'04_Q1_Historical_FS'!D41,"")</f>
        <v>1.0442029799107215</v>
      </c>
      <c r="J27" s="39">
        <f>IFERROR(('04_Q1_Historical_FS'!E29+'04_Q1_Historical_FS'!E30+'04_Q1_Historical_FS'!E31)/'04_Q1_Historical_FS'!E41,"")</f>
        <v>1.0092508236347442</v>
      </c>
      <c r="K27" s="39">
        <f>IFERROR(('04_Q1_Historical_FS'!G29+'04_Q1_Historical_FS'!G30+'04_Q1_Historical_FS'!G31)/'04_Q1_Historical_FS'!G41,"")</f>
        <v>1.0092508236347442</v>
      </c>
      <c r="L27" s="26"/>
    </row>
    <row r="28" spans="1:12">
      <c r="A28" s="26"/>
      <c r="B28" s="26" t="s">
        <v>228</v>
      </c>
      <c r="C28" s="26" t="s">
        <v>226</v>
      </c>
      <c r="D28" s="39">
        <f>IFERROR('03_Historical_FS'!D51/'03_Historical_FS'!D69,"")</f>
        <v>0.66786896565569254</v>
      </c>
      <c r="E28" s="39">
        <f>IFERROR('03_Historical_FS'!E51/'03_Historical_FS'!E69,"")</f>
        <v>0.14425267623771057</v>
      </c>
      <c r="F28" s="39">
        <f>IFERROR('03_Historical_FS'!F51/'03_Historical_FS'!F69,"")</f>
        <v>0.18440389495518511</v>
      </c>
      <c r="G28" s="39">
        <f>IFERROR('03_Historical_FS'!G51/'03_Historical_FS'!G69,"")</f>
        <v>-0.85026187017932797</v>
      </c>
      <c r="H28" s="39">
        <f>IFERROR('03_Historical_FS'!H51/'03_Historical_FS'!H69,"")</f>
        <v>-0.84730313110674649</v>
      </c>
      <c r="I28" s="39">
        <f>IFERROR('04_Q1_Historical_FS'!D51/('04_Q1_Historical_FS'!D69*$N$5),"")</f>
        <v>-0.90099013863453403</v>
      </c>
      <c r="J28" s="39">
        <f>IFERROR('04_Q1_Historical_FS'!E51/('04_Q1_Historical_FS'!E69*$N$5),"")</f>
        <v>-1.2218586055408818</v>
      </c>
      <c r="K28" s="39">
        <f>IFERROR('04_Q1_Historical_FS'!G51/'04_Q1_Historical_FS'!G69,"")</f>
        <v>-1.5433713330996757</v>
      </c>
      <c r="L28" s="26"/>
    </row>
    <row r="29" spans="1:12">
      <c r="A29" s="26"/>
      <c r="B29" s="26" t="s">
        <v>229</v>
      </c>
      <c r="C29" s="26" t="s">
        <v>226</v>
      </c>
      <c r="D29" s="39">
        <f>IFERROR('03_Historical_FS'!D17/'03_Historical_FS'!D13,"")</f>
        <v>9.5868044499819476</v>
      </c>
      <c r="E29" s="39">
        <f>IFERROR('03_Historical_FS'!E17/'03_Historical_FS'!E13,"")</f>
        <v>4.8267247355873915</v>
      </c>
      <c r="F29" s="39">
        <f>IFERROR('03_Historical_FS'!F17/'03_Historical_FS'!F13,"")</f>
        <v>0.72325418157732757</v>
      </c>
      <c r="G29" s="39">
        <f>IFERROR('03_Historical_FS'!G17/'03_Historical_FS'!G13,"")</f>
        <v>4.5962709828784636</v>
      </c>
      <c r="H29" s="39">
        <f>IFERROR('03_Historical_FS'!H17/'03_Historical_FS'!H13,"")</f>
        <v>5.8912247706750209</v>
      </c>
      <c r="I29" s="39">
        <f>IFERROR('04_Q1_Historical_FS'!D17/'04_Q1_Historical_FS'!D13,"")</f>
        <v>6.0106807240608324</v>
      </c>
      <c r="J29" s="39">
        <f>IFERROR('04_Q1_Historical_FS'!E17/'04_Q1_Historical_FS'!E13,"")</f>
        <v>8.056642790378346</v>
      </c>
      <c r="K29" s="39">
        <f>IFERROR('04_Q1_Historical_FS'!G17/'04_Q1_Historical_FS'!G13,"")</f>
        <v>6.4420106623309614</v>
      </c>
      <c r="L29" s="26"/>
    </row>
  </sheetData>
  <mergeCells count="2">
    <mergeCell ref="A2:K2"/>
    <mergeCell ref="A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15"/>
  <sheetViews>
    <sheetView showGridLines="0" topLeftCell="A28" workbookViewId="0">
      <selection activeCell="E70" sqref="E70"/>
    </sheetView>
  </sheetViews>
  <sheetFormatPr defaultRowHeight="13.8"/>
  <cols>
    <col min="1" max="1" width="71.59765625" customWidth="1"/>
    <col min="2" max="2" width="30.5" customWidth="1"/>
    <col min="3" max="3" width="23.69921875" customWidth="1"/>
    <col min="4" max="4" width="20.69921875" customWidth="1"/>
    <col min="5" max="5" width="22.09765625" customWidth="1"/>
    <col min="6" max="6" width="17" customWidth="1"/>
    <col min="7" max="7" width="27.3984375" customWidth="1"/>
    <col min="8" max="8" width="15.3984375" customWidth="1"/>
    <col min="9" max="9" width="20.09765625" customWidth="1"/>
    <col min="10" max="10" width="13" customWidth="1"/>
    <col min="11" max="11" width="17" customWidth="1"/>
    <col min="12" max="12" width="13.8984375" customWidth="1"/>
    <col min="13" max="13" width="18" hidden="1" customWidth="1"/>
    <col min="14" max="14" width="9.765625E-2" customWidth="1"/>
  </cols>
  <sheetData>
    <row r="1" spans="1:14" ht="18" customHeight="1">
      <c r="A1" s="457" t="s">
        <v>230</v>
      </c>
      <c r="B1" s="452"/>
      <c r="C1" s="452"/>
      <c r="D1" s="452"/>
      <c r="E1" s="452"/>
      <c r="F1" s="452"/>
      <c r="G1" s="452"/>
      <c r="H1" s="452"/>
      <c r="I1" s="452"/>
      <c r="J1" s="63"/>
      <c r="K1" s="63"/>
      <c r="L1" s="63"/>
      <c r="M1" s="63"/>
      <c r="N1" s="63"/>
    </row>
    <row r="2" spans="1:14" ht="14.4">
      <c r="A2" s="460" t="s">
        <v>231</v>
      </c>
      <c r="B2" s="452"/>
      <c r="C2" s="452"/>
      <c r="D2" s="452"/>
      <c r="E2" s="452"/>
      <c r="F2" s="452"/>
      <c r="G2" s="452"/>
      <c r="H2" s="452"/>
      <c r="I2" s="452"/>
      <c r="J2" s="335"/>
      <c r="K2" s="335"/>
      <c r="L2" s="335"/>
      <c r="M2" s="335"/>
      <c r="N2" s="335"/>
    </row>
    <row r="3" spans="1:14" ht="27.9" customHeight="1">
      <c r="J3" s="461"/>
      <c r="K3" s="462"/>
      <c r="L3" s="462"/>
      <c r="M3" s="462"/>
      <c r="N3" s="462"/>
    </row>
    <row r="4" spans="1:14" ht="30" customHeight="1">
      <c r="A4" s="336" t="s">
        <v>2</v>
      </c>
      <c r="B4" s="336" t="s">
        <v>3</v>
      </c>
      <c r="C4" s="336" t="s">
        <v>4</v>
      </c>
      <c r="D4" s="336" t="s">
        <v>5</v>
      </c>
      <c r="E4" s="336" t="s">
        <v>6</v>
      </c>
      <c r="F4" s="336" t="s">
        <v>7</v>
      </c>
      <c r="G4" s="336" t="s">
        <v>8</v>
      </c>
      <c r="H4" s="336" t="s">
        <v>9</v>
      </c>
      <c r="I4" s="336" t="s">
        <v>232</v>
      </c>
      <c r="J4" s="337" t="s">
        <v>233</v>
      </c>
      <c r="K4" s="337" t="s">
        <v>234</v>
      </c>
      <c r="L4" s="337" t="s">
        <v>235</v>
      </c>
      <c r="M4" s="337"/>
      <c r="N4" s="337"/>
    </row>
    <row r="5" spans="1:14" ht="15" customHeight="1">
      <c r="A5" s="463" t="s">
        <v>236</v>
      </c>
      <c r="B5" s="452"/>
      <c r="C5" s="452"/>
      <c r="D5" s="452"/>
      <c r="E5" s="452"/>
      <c r="F5" s="452"/>
      <c r="G5" s="452"/>
      <c r="H5" s="452"/>
      <c r="I5" s="452"/>
      <c r="J5" s="283"/>
      <c r="K5" s="283"/>
      <c r="L5" s="283"/>
    </row>
    <row r="6" spans="1:14">
      <c r="A6" s="314"/>
      <c r="B6" s="314" t="s">
        <v>237</v>
      </c>
      <c r="C6" s="314" t="s">
        <v>238</v>
      </c>
      <c r="D6" s="290">
        <v>12</v>
      </c>
      <c r="E6" s="290">
        <v>12</v>
      </c>
      <c r="F6" s="290">
        <v>12</v>
      </c>
      <c r="G6" s="290">
        <v>12</v>
      </c>
      <c r="H6" s="290">
        <v>12</v>
      </c>
      <c r="I6" s="290">
        <v>3</v>
      </c>
      <c r="J6" s="291">
        <f>IFERROR(INDEX('96_Raw_Phase4_Drivers'!$E$4:$G$180,MATCH("latest_months",'96_Raw_Phase4_Drivers'!$B$4:$B$180,0),MATCH("Base",'96_Raw_Phase4_Drivers'!$E$3:$G$3,0)),"")</f>
        <v>5</v>
      </c>
      <c r="K6" s="291">
        <f>IFERROR(AVERAGE(D6:H6),"")</f>
        <v>12</v>
      </c>
      <c r="L6" s="291">
        <f>12</f>
        <v>12</v>
      </c>
      <c r="M6" s="2"/>
      <c r="N6" s="2"/>
    </row>
    <row r="7" spans="1:14">
      <c r="A7" s="314"/>
      <c r="B7" s="314" t="s">
        <v>239</v>
      </c>
      <c r="C7" s="314" t="s">
        <v>14</v>
      </c>
      <c r="D7" s="290">
        <v>122958</v>
      </c>
      <c r="E7" s="290">
        <v>133405</v>
      </c>
      <c r="F7" s="290">
        <v>118280</v>
      </c>
      <c r="G7" s="290">
        <v>134341</v>
      </c>
      <c r="H7" s="290">
        <v>155928</v>
      </c>
      <c r="I7" s="290">
        <v>46462</v>
      </c>
      <c r="J7" s="292">
        <f>IFERROR(INDEX('96_Raw_Phase4_Drivers'!$E$4:$G$180,MATCH("group_revenue_5m_2026",'96_Raw_Phase4_Drivers'!$B$4:$B$180,0),MATCH("Base",'96_Raw_Phase4_Drivers'!$E$3:$G$3,0)),"")</f>
        <v>79159</v>
      </c>
      <c r="K7" s="293">
        <f>IFERROR(IF(AND(D7&gt;0,H7&gt;0),(H7/D7)^(1/4)-1,""),"")</f>
        <v>6.1186776329821724E-2</v>
      </c>
      <c r="L7" s="292">
        <f>'07_Revenue_Drivers'!G8</f>
        <v>185000</v>
      </c>
      <c r="M7" s="2"/>
      <c r="N7" s="2"/>
    </row>
    <row r="8" spans="1:14">
      <c r="A8" s="314"/>
      <c r="B8" s="314" t="s">
        <v>240</v>
      </c>
      <c r="C8" s="314" t="s">
        <v>23</v>
      </c>
      <c r="D8" s="294"/>
      <c r="E8" s="294">
        <f>IFERROR(E7/D7-1,"")</f>
        <v>8.4963971437401309E-2</v>
      </c>
      <c r="F8" s="294">
        <f>IFERROR(F7/E7-1,"")</f>
        <v>-0.11337656009894681</v>
      </c>
      <c r="G8" s="294">
        <f>IFERROR(G7/F7-1,"")</f>
        <v>0.13578796077105171</v>
      </c>
      <c r="H8" s="294">
        <f>IFERROR(H7/G7-1,"")</f>
        <v>0.16068809968661846</v>
      </c>
      <c r="I8" s="294"/>
      <c r="J8" s="293">
        <f>IFERROR(IFERROR(INDEX('96_Raw_Phase4_Drivers'!$E$4:$G$180,MATCH("group_revenue_5m_2026",'96_Raw_Phase4_Drivers'!$B$4:$B$180,0),MATCH("Base",'96_Raw_Phase4_Drivers'!$E$3:$G$3,0)),"")/IFERROR(INDEX('96_Raw_Phase4_Drivers'!$E$4:$G$180,MATCH("group_revenue_5m_2025",'96_Raw_Phase4_Drivers'!$B$4:$B$180,0),MATCH("Base",'96_Raw_Phase4_Drivers'!$E$3:$G$3,0)),"")-1,"")</f>
        <v>0.29283509448137313</v>
      </c>
      <c r="K8" s="293">
        <f>IFERROR(AVERAGE(E8:H8),"")</f>
        <v>6.7015867949031166E-2</v>
      </c>
      <c r="L8" s="293">
        <f>IFERROR(L7/H7-1,"")</f>
        <v>0.18644502590939416</v>
      </c>
      <c r="M8" s="2"/>
      <c r="N8" s="2"/>
    </row>
    <row r="9" spans="1:14">
      <c r="A9" s="314"/>
      <c r="B9" s="314" t="s">
        <v>48</v>
      </c>
      <c r="C9" s="314" t="s">
        <v>14</v>
      </c>
      <c r="D9" s="290">
        <v>4901</v>
      </c>
      <c r="E9" s="290">
        <v>4102</v>
      </c>
      <c r="F9" s="290">
        <v>168</v>
      </c>
      <c r="G9" s="290">
        <v>3733</v>
      </c>
      <c r="H9" s="290">
        <f>IFERROR('90_Raw_IS_vnstock'!C22/1000000000,0)</f>
        <v>7072.6228860000001</v>
      </c>
      <c r="I9" s="295">
        <v>2757.6</v>
      </c>
      <c r="J9" s="292"/>
      <c r="K9" s="293">
        <f>IFERROR(IF(AND(D9&gt;0,H9&gt;0),(H9/D9)^(1/4)-1,""),"")</f>
        <v>9.6033806421491397E-2</v>
      </c>
      <c r="L9" s="292">
        <f>IFERROR(INDEX('96_Raw_Phase4_Drivers'!$E$4:$G$180,MATCH("npat_target_2026",'96_Raw_Phase4_Drivers'!$B$4:$B$180,0),MATCH("Base",'96_Raw_Phase4_Drivers'!$E$3:$G$3,0)),"")</f>
        <v>9200</v>
      </c>
      <c r="M9" s="2"/>
      <c r="N9" s="2"/>
    </row>
    <row r="10" spans="1:14">
      <c r="A10" s="314"/>
      <c r="B10" s="314" t="s">
        <v>241</v>
      </c>
      <c r="C10" s="314" t="s">
        <v>14</v>
      </c>
      <c r="D10" s="290">
        <v>14370</v>
      </c>
      <c r="E10" s="290">
        <v>18930</v>
      </c>
      <c r="F10" s="290">
        <v>16899</v>
      </c>
      <c r="G10" s="290">
        <v>9600</v>
      </c>
      <c r="H10" s="290">
        <v>9200</v>
      </c>
      <c r="I10" s="290">
        <v>3000</v>
      </c>
      <c r="J10" s="292">
        <f>IFERROR(INDEX('96_Raw_Phase4_Drivers'!$E$4:$G$180,MATCH("superapp_online_revenue_5m_2026",'96_Raw_Phase4_Drivers'!$B$4:$B$180,0),MATCH("Base",'96_Raw_Phase4_Drivers'!$E$3:$G$3,0)),"")</f>
        <v>6000</v>
      </c>
      <c r="K10" s="293">
        <f>IFERROR(IF(AND(D10&gt;0,H10&gt;0),(H10/D10)^(1/4)-1,""),"")</f>
        <v>-0.1054950158103074</v>
      </c>
      <c r="L10" s="292">
        <f>'07_Revenue_Drivers'!G11</f>
        <v>12950.000000000002</v>
      </c>
      <c r="M10" s="2"/>
      <c r="N10" s="2"/>
    </row>
    <row r="11" spans="1:14">
      <c r="A11" s="314"/>
      <c r="B11" s="314" t="s">
        <v>242</v>
      </c>
      <c r="C11" s="314" t="s">
        <v>23</v>
      </c>
      <c r="D11" s="294">
        <f t="shared" ref="D11:I11" si="0">IF(D10="","",IFERROR(D10/D7,""))</f>
        <v>0.11686917484018933</v>
      </c>
      <c r="E11" s="294">
        <f t="shared" si="0"/>
        <v>0.1418987294329298</v>
      </c>
      <c r="F11" s="294">
        <f t="shared" si="0"/>
        <v>0.14287284409874873</v>
      </c>
      <c r="G11" s="294">
        <f t="shared" si="0"/>
        <v>7.1459941492172899E-2</v>
      </c>
      <c r="H11" s="294">
        <f t="shared" si="0"/>
        <v>5.9001590477656352E-2</v>
      </c>
      <c r="I11" s="294">
        <f t="shared" si="0"/>
        <v>6.4568895010976707E-2</v>
      </c>
      <c r="J11" s="293">
        <f>IFERROR(J10/J7,"")</f>
        <v>7.5796814007251231E-2</v>
      </c>
      <c r="K11" s="293">
        <f>IFERROR(AVERAGE(D11:H11),"")</f>
        <v>0.10642045606833941</v>
      </c>
      <c r="L11" s="293">
        <f>IFERROR(L10/L7,"")</f>
        <v>7.0000000000000007E-2</v>
      </c>
      <c r="M11" s="2"/>
      <c r="N11" s="2"/>
    </row>
    <row r="12" spans="1:14" ht="15" customHeight="1">
      <c r="A12" s="458" t="s">
        <v>243</v>
      </c>
      <c r="B12" s="459"/>
      <c r="C12" s="459"/>
      <c r="D12" s="459"/>
      <c r="E12" s="459"/>
      <c r="F12" s="459"/>
      <c r="G12" s="459"/>
      <c r="H12" s="459"/>
      <c r="I12" s="459"/>
      <c r="J12" s="296"/>
      <c r="K12" s="297"/>
      <c r="L12" s="296"/>
      <c r="M12" s="66"/>
      <c r="N12" s="66"/>
    </row>
    <row r="13" spans="1:14">
      <c r="A13" s="314"/>
      <c r="B13" s="314" t="s">
        <v>244</v>
      </c>
      <c r="C13" s="314" t="s">
        <v>14</v>
      </c>
      <c r="D13" s="284">
        <v>31600.205999999998</v>
      </c>
      <c r="E13" s="284">
        <v>35000</v>
      </c>
      <c r="F13" s="284">
        <v>28000</v>
      </c>
      <c r="G13" s="284">
        <v>30000</v>
      </c>
      <c r="H13" s="284">
        <v>37300</v>
      </c>
      <c r="I13" s="285">
        <v>10872</v>
      </c>
      <c r="J13" s="286">
        <f>IFERROR(J7*IFERROR(INDEX('96_Raw_Phase4_Drivers'!$E$4:$G$180,MATCH("tgd_mix_5m_2026",'96_Raw_Phase4_Drivers'!$B$4:$B$180,0),MATCH("Base",'96_Raw_Phase4_Drivers'!$E$3:$G$3,0)),""),"")</f>
        <v>17810.775000000001</v>
      </c>
      <c r="K13" s="287">
        <f>IFERROR(IF(AND(D13&gt;0,H13&gt;0),(H13/D13)^(1/4)-1,""),"")</f>
        <v>4.232878039490795E-2</v>
      </c>
      <c r="L13" s="286">
        <f>'07_Revenue_Drivers'!G15</f>
        <v>39325.944767441855</v>
      </c>
      <c r="M13" s="2"/>
      <c r="N13" s="2"/>
    </row>
    <row r="14" spans="1:14">
      <c r="A14" s="314"/>
      <c r="B14" s="314" t="s">
        <v>245</v>
      </c>
      <c r="C14" s="314" t="s">
        <v>14</v>
      </c>
      <c r="D14" s="284">
        <v>62708.58</v>
      </c>
      <c r="E14" s="284">
        <v>69000</v>
      </c>
      <c r="F14" s="284">
        <v>55000</v>
      </c>
      <c r="G14" s="284">
        <v>59500</v>
      </c>
      <c r="H14" s="284">
        <v>68400</v>
      </c>
      <c r="I14" s="288">
        <v>21512</v>
      </c>
      <c r="J14" s="286">
        <f>IFERROR(J7*IFERROR(INDEX('96_Raw_Phase4_Drivers'!$E$4:$G$180,MATCH("dmx_mix_5m_2026",'96_Raw_Phase4_Drivers'!$B$4:$B$180,0),MATCH("Base",'96_Raw_Phase4_Drivers'!$E$3:$G$3,0)),""),"")</f>
        <v>36650.616999999998</v>
      </c>
      <c r="K14" s="287">
        <f>IFERROR(IF(AND(D14&gt;0,H14&gt;0),(H14/D14)^(1/4)-1,""),"")</f>
        <v>2.1956202392743318E-2</v>
      </c>
      <c r="L14" s="286">
        <f>'07_Revenue_Drivers'!G16</f>
        <v>80924.055232558138</v>
      </c>
      <c r="M14" s="2"/>
      <c r="N14" s="2"/>
    </row>
    <row r="15" spans="1:14">
      <c r="A15" s="314"/>
      <c r="B15" s="314" t="s">
        <v>246</v>
      </c>
      <c r="C15" s="314" t="s">
        <v>14</v>
      </c>
      <c r="D15" s="284">
        <v>28200</v>
      </c>
      <c r="E15" s="284">
        <v>27000</v>
      </c>
      <c r="F15" s="284">
        <v>31600</v>
      </c>
      <c r="G15" s="284">
        <v>41100</v>
      </c>
      <c r="H15" s="284">
        <v>46900</v>
      </c>
      <c r="I15" s="288">
        <v>13100</v>
      </c>
      <c r="J15" s="286">
        <f>IFERROR(J7*IFERROR(INDEX('96_Raw_Phase4_Drivers'!$E$4:$G$180,MATCH("bhx_mix_5m_2026",'96_Raw_Phase4_Drivers'!$B$4:$B$180,0),MATCH("Base",'96_Raw_Phase4_Drivers'!$E$3:$G$3,0)),""),"")</f>
        <v>23114.428</v>
      </c>
      <c r="K15" s="287">
        <f>IFERROR(IF(AND(D15&gt;0,H15&gt;0),(H15/D15)^(1/4)-1,""),"")</f>
        <v>0.13561451165298766</v>
      </c>
      <c r="L15" s="286">
        <f>'07_Revenue_Drivers'!G17</f>
        <v>55500</v>
      </c>
      <c r="M15" s="2"/>
      <c r="N15" s="2"/>
    </row>
    <row r="16" spans="1:14">
      <c r="A16" s="314"/>
      <c r="B16" s="314" t="s">
        <v>247</v>
      </c>
      <c r="C16" s="314" t="s">
        <v>14</v>
      </c>
      <c r="D16" s="284"/>
      <c r="E16" s="284">
        <v>1500</v>
      </c>
      <c r="F16" s="284">
        <v>2200</v>
      </c>
      <c r="G16" s="284">
        <v>2300</v>
      </c>
      <c r="H16" s="284">
        <v>2200</v>
      </c>
      <c r="I16" s="284"/>
      <c r="J16" s="286"/>
      <c r="K16" s="287">
        <f>IFERROR(IF(AND(E16&gt;0,H16&gt;0),(H16/E16)^(1/3)-1,""),"")</f>
        <v>0.13617128057248995</v>
      </c>
      <c r="L16" s="286">
        <f>'07_Revenue_Drivers'!G18</f>
        <v>2860</v>
      </c>
      <c r="M16" s="2"/>
      <c r="N16" s="2"/>
    </row>
    <row r="17" spans="1:14">
      <c r="A17" s="314"/>
      <c r="B17" s="314" t="s">
        <v>248</v>
      </c>
      <c r="C17" s="314" t="s">
        <v>14</v>
      </c>
      <c r="D17" s="284"/>
      <c r="E17" s="284">
        <v>600</v>
      </c>
      <c r="F17" s="284">
        <v>900</v>
      </c>
      <c r="G17" s="284">
        <v>1200</v>
      </c>
      <c r="H17" s="284">
        <v>1400</v>
      </c>
      <c r="I17" s="284"/>
      <c r="J17" s="286"/>
      <c r="K17" s="287">
        <f>IFERROR(IF(AND(E17&gt;0,H17&gt;0),(H17/E17)^(1/3)-1,""),"")</f>
        <v>0.32635240263213072</v>
      </c>
      <c r="L17" s="286">
        <f>'07_Revenue_Drivers'!G19</f>
        <v>1680</v>
      </c>
      <c r="M17" s="2"/>
      <c r="N17" s="2"/>
    </row>
    <row r="18" spans="1:14">
      <c r="A18" s="314"/>
      <c r="B18" s="314" t="s">
        <v>249</v>
      </c>
      <c r="C18" s="314" t="s">
        <v>14</v>
      </c>
      <c r="D18" s="284"/>
      <c r="E18" s="284"/>
      <c r="F18" s="284"/>
      <c r="G18" s="284"/>
      <c r="H18" s="284"/>
      <c r="I18" s="284"/>
      <c r="J18" s="286"/>
      <c r="K18" s="287"/>
      <c r="L18" s="286"/>
      <c r="M18" s="2"/>
      <c r="N18" s="2"/>
    </row>
    <row r="19" spans="1:14">
      <c r="A19" s="314"/>
      <c r="B19" s="314" t="s">
        <v>250</v>
      </c>
      <c r="C19" s="314" t="s">
        <v>14</v>
      </c>
      <c r="D19" s="289">
        <f t="shared" ref="D19:J19" si="1">IFERROR(D7-SUM(D13:D18),"")</f>
        <v>449.21400000000722</v>
      </c>
      <c r="E19" s="289">
        <f t="shared" si="1"/>
        <v>305</v>
      </c>
      <c r="F19" s="289">
        <f t="shared" si="1"/>
        <v>580</v>
      </c>
      <c r="G19" s="289">
        <f t="shared" si="1"/>
        <v>241</v>
      </c>
      <c r="H19" s="289">
        <f t="shared" si="1"/>
        <v>-272</v>
      </c>
      <c r="I19" s="289">
        <f t="shared" si="1"/>
        <v>978</v>
      </c>
      <c r="J19" s="286">
        <f t="shared" si="1"/>
        <v>1583.179999999993</v>
      </c>
      <c r="K19" s="286">
        <f>IFERROR(AVERAGE(D19:H19),"")</f>
        <v>260.64280000000144</v>
      </c>
      <c r="L19" s="286">
        <f>'07_Revenue_Drivers'!G20</f>
        <v>4710</v>
      </c>
      <c r="M19" s="2"/>
      <c r="N19" s="2"/>
    </row>
    <row r="20" spans="1:14">
      <c r="A20" s="314"/>
      <c r="B20" s="314" t="s">
        <v>251</v>
      </c>
      <c r="C20" s="314" t="s">
        <v>14</v>
      </c>
      <c r="D20" s="298">
        <f t="shared" ref="D20:J20" si="2">IFERROR(SUM(D13:D19)-D7,"")</f>
        <v>0</v>
      </c>
      <c r="E20" s="298">
        <f t="shared" si="2"/>
        <v>0</v>
      </c>
      <c r="F20" s="298">
        <f t="shared" si="2"/>
        <v>0</v>
      </c>
      <c r="G20" s="298">
        <f t="shared" si="2"/>
        <v>0</v>
      </c>
      <c r="H20" s="298">
        <f t="shared" si="2"/>
        <v>0</v>
      </c>
      <c r="I20" s="298">
        <f t="shared" si="2"/>
        <v>0</v>
      </c>
      <c r="J20" s="292">
        <f t="shared" si="2"/>
        <v>0</v>
      </c>
      <c r="K20" s="292">
        <f>IFERROR(AVERAGE(D20:H20),"")</f>
        <v>0</v>
      </c>
      <c r="L20" s="292">
        <f>IFERROR(SUM(L13:L19)-L7,"")</f>
        <v>0</v>
      </c>
      <c r="M20" s="2"/>
      <c r="N20" s="2"/>
    </row>
    <row r="21" spans="1:14" ht="15" customHeight="1">
      <c r="A21" s="458" t="s">
        <v>252</v>
      </c>
      <c r="B21" s="459"/>
      <c r="C21" s="459"/>
      <c r="D21" s="459"/>
      <c r="E21" s="459"/>
      <c r="F21" s="459"/>
      <c r="G21" s="459"/>
      <c r="H21" s="459"/>
      <c r="I21" s="459"/>
      <c r="J21" s="313"/>
      <c r="K21" s="297"/>
      <c r="L21" s="313"/>
      <c r="M21" s="66"/>
      <c r="N21" s="66"/>
    </row>
    <row r="22" spans="1:14">
      <c r="A22" s="314"/>
      <c r="B22" s="314" t="s">
        <v>253</v>
      </c>
      <c r="C22" s="314" t="s">
        <v>23</v>
      </c>
      <c r="D22" s="294">
        <f t="shared" ref="D22:I22" si="3">IF(D13="","",IFERROR(D13/D7,""))</f>
        <v>0.25700000000000001</v>
      </c>
      <c r="E22" s="294">
        <f t="shared" si="3"/>
        <v>0.26235898204714964</v>
      </c>
      <c r="F22" s="294">
        <f t="shared" si="3"/>
        <v>0.23672641190395671</v>
      </c>
      <c r="G22" s="294">
        <f t="shared" si="3"/>
        <v>0.22331231716304031</v>
      </c>
      <c r="H22" s="294">
        <f t="shared" si="3"/>
        <v>0.23921297008875891</v>
      </c>
      <c r="I22" s="294">
        <f t="shared" si="3"/>
        <v>0.2339976755197796</v>
      </c>
      <c r="J22" s="293">
        <f t="shared" ref="J22:J27" si="4">IF(J13&lt;&gt;"",IFERROR(J13/J$7,""),"")</f>
        <v>0.22500000000000001</v>
      </c>
      <c r="K22" s="293">
        <f t="shared" ref="K22:K27" si="5">IFERROR(AVERAGE(D22:H22),"")</f>
        <v>0.24372213624058112</v>
      </c>
      <c r="L22" s="293">
        <f t="shared" ref="L22:L27" si="6">IF(L13&lt;&gt;"",IFERROR(L13/L$7,""),"")</f>
        <v>0.21257267441860461</v>
      </c>
      <c r="M22" s="2"/>
      <c r="N22" s="2"/>
    </row>
    <row r="23" spans="1:14">
      <c r="A23" s="314"/>
      <c r="B23" s="314" t="s">
        <v>254</v>
      </c>
      <c r="C23" s="314" t="s">
        <v>23</v>
      </c>
      <c r="D23" s="294">
        <f t="shared" ref="D23:I23" si="7">IF(D14="","",IFERROR(D14/D7,""))</f>
        <v>0.51</v>
      </c>
      <c r="E23" s="294">
        <f t="shared" si="7"/>
        <v>0.51722199317866646</v>
      </c>
      <c r="F23" s="294">
        <f t="shared" si="7"/>
        <v>0.4649983090970578</v>
      </c>
      <c r="G23" s="294">
        <f t="shared" si="7"/>
        <v>0.44290276237336329</v>
      </c>
      <c r="H23" s="294">
        <f t="shared" si="7"/>
        <v>0.43866399876866247</v>
      </c>
      <c r="I23" s="294">
        <f t="shared" si="7"/>
        <v>0.46300202315871036</v>
      </c>
      <c r="J23" s="293">
        <f t="shared" si="4"/>
        <v>0.46299999999999997</v>
      </c>
      <c r="K23" s="293">
        <f t="shared" si="5"/>
        <v>0.47475741268354998</v>
      </c>
      <c r="L23" s="293">
        <f t="shared" si="6"/>
        <v>0.43742732558139535</v>
      </c>
      <c r="M23" s="2"/>
      <c r="N23" s="2"/>
    </row>
    <row r="24" spans="1:14">
      <c r="A24" s="314"/>
      <c r="B24" s="314" t="s">
        <v>255</v>
      </c>
      <c r="C24" s="314" t="s">
        <v>23</v>
      </c>
      <c r="D24" s="294">
        <f t="shared" ref="D24:I24" si="8">IF(D15="","",IFERROR(D15/D7,""))</f>
        <v>0.22934660615820035</v>
      </c>
      <c r="E24" s="294">
        <f t="shared" si="8"/>
        <v>0.20239121472208688</v>
      </c>
      <c r="F24" s="294">
        <f t="shared" si="8"/>
        <v>0.26716266486303686</v>
      </c>
      <c r="G24" s="294">
        <f t="shared" si="8"/>
        <v>0.30593787451336524</v>
      </c>
      <c r="H24" s="294">
        <f t="shared" si="8"/>
        <v>0.30077984710892208</v>
      </c>
      <c r="I24" s="294">
        <f t="shared" si="8"/>
        <v>0.28195084154793165</v>
      </c>
      <c r="J24" s="293">
        <f t="shared" si="4"/>
        <v>0.29199999999999998</v>
      </c>
      <c r="K24" s="293">
        <f t="shared" si="5"/>
        <v>0.26112364147312228</v>
      </c>
      <c r="L24" s="293">
        <f t="shared" si="6"/>
        <v>0.3</v>
      </c>
      <c r="M24" s="2"/>
      <c r="N24" s="2"/>
    </row>
    <row r="25" spans="1:14">
      <c r="A25" s="314"/>
      <c r="B25" s="314" t="s">
        <v>256</v>
      </c>
      <c r="C25" s="314" t="s">
        <v>23</v>
      </c>
      <c r="D25" s="294" t="str">
        <f t="shared" ref="D25:I25" si="9">IF(D16="","",IFERROR(D16/D7,""))</f>
        <v/>
      </c>
      <c r="E25" s="294">
        <f t="shared" si="9"/>
        <v>1.1243956373449271E-2</v>
      </c>
      <c r="F25" s="294">
        <f t="shared" si="9"/>
        <v>1.8599932363882313E-2</v>
      </c>
      <c r="G25" s="294">
        <f t="shared" si="9"/>
        <v>1.7120610982499757E-2</v>
      </c>
      <c r="H25" s="294">
        <f t="shared" si="9"/>
        <v>1.4109075983787389E-2</v>
      </c>
      <c r="I25" s="294" t="str">
        <f t="shared" si="9"/>
        <v/>
      </c>
      <c r="J25" s="293" t="str">
        <f t="shared" si="4"/>
        <v/>
      </c>
      <c r="K25" s="293">
        <f t="shared" si="5"/>
        <v>1.5268393925904683E-2</v>
      </c>
      <c r="L25" s="293">
        <f t="shared" si="6"/>
        <v>1.545945945945946E-2</v>
      </c>
      <c r="M25" s="2"/>
      <c r="N25" s="2"/>
    </row>
    <row r="26" spans="1:14">
      <c r="A26" s="314"/>
      <c r="B26" s="314" t="s">
        <v>257</v>
      </c>
      <c r="C26" s="314" t="s">
        <v>23</v>
      </c>
      <c r="D26" s="294" t="str">
        <f t="shared" ref="D26:I26" si="10">IF(D17="","",IFERROR(D17/D7,""))</f>
        <v/>
      </c>
      <c r="E26" s="294">
        <f t="shared" si="10"/>
        <v>4.4975825493797084E-3</v>
      </c>
      <c r="F26" s="294">
        <f t="shared" si="10"/>
        <v>7.6090632397700373E-3</v>
      </c>
      <c r="G26" s="294">
        <f t="shared" si="10"/>
        <v>8.9324926865216123E-3</v>
      </c>
      <c r="H26" s="294">
        <f t="shared" si="10"/>
        <v>8.9785028987737926E-3</v>
      </c>
      <c r="I26" s="294" t="str">
        <f t="shared" si="10"/>
        <v/>
      </c>
      <c r="J26" s="293" t="str">
        <f t="shared" si="4"/>
        <v/>
      </c>
      <c r="K26" s="293">
        <f t="shared" si="5"/>
        <v>7.5044103436112865E-3</v>
      </c>
      <c r="L26" s="293">
        <f t="shared" si="6"/>
        <v>9.0810810810810806E-3</v>
      </c>
      <c r="M26" s="2"/>
      <c r="N26" s="2"/>
    </row>
    <row r="27" spans="1:14">
      <c r="A27" s="314"/>
      <c r="B27" s="314" t="s">
        <v>258</v>
      </c>
      <c r="C27" s="314" t="s">
        <v>23</v>
      </c>
      <c r="D27" s="294">
        <f t="shared" ref="D27:I27" si="11">IF(D19="","",IFERROR(D19/D7,""))</f>
        <v>3.6533938417996977E-3</v>
      </c>
      <c r="E27" s="294">
        <f t="shared" si="11"/>
        <v>2.2862711292680185E-3</v>
      </c>
      <c r="F27" s="294">
        <f t="shared" si="11"/>
        <v>4.9036185322962464E-3</v>
      </c>
      <c r="G27" s="294">
        <f t="shared" si="11"/>
        <v>1.7939422812097573E-3</v>
      </c>
      <c r="H27" s="294">
        <f t="shared" si="11"/>
        <v>-1.7443948489046226E-3</v>
      </c>
      <c r="I27" s="294">
        <f t="shared" si="11"/>
        <v>2.1049459773578409E-2</v>
      </c>
      <c r="J27" s="293" t="str">
        <f t="shared" si="4"/>
        <v/>
      </c>
      <c r="K27" s="293">
        <f t="shared" si="5"/>
        <v>2.1785661871338196E-3</v>
      </c>
      <c r="L27" s="293" t="str">
        <f t="shared" si="6"/>
        <v/>
      </c>
      <c r="M27" s="2"/>
      <c r="N27" s="2"/>
    </row>
    <row r="28" spans="1:14" ht="15" customHeight="1">
      <c r="A28" s="458" t="s">
        <v>259</v>
      </c>
      <c r="B28" s="459"/>
      <c r="C28" s="459"/>
      <c r="D28" s="459"/>
      <c r="E28" s="459"/>
      <c r="F28" s="459"/>
      <c r="G28" s="459"/>
      <c r="H28" s="459"/>
      <c r="I28" s="459"/>
      <c r="J28" s="313"/>
      <c r="K28" s="297"/>
      <c r="L28" s="313"/>
      <c r="M28" s="66"/>
      <c r="N28" s="66"/>
    </row>
    <row r="29" spans="1:14">
      <c r="A29" s="314"/>
      <c r="B29" s="314" t="s">
        <v>260</v>
      </c>
      <c r="C29" s="314" t="s">
        <v>261</v>
      </c>
      <c r="D29" s="299">
        <v>970</v>
      </c>
      <c r="E29" s="299">
        <v>1190</v>
      </c>
      <c r="F29" s="299">
        <v>1078</v>
      </c>
      <c r="G29" s="299">
        <v>1021</v>
      </c>
      <c r="H29" s="299">
        <v>1012</v>
      </c>
      <c r="I29" s="299">
        <v>1014</v>
      </c>
      <c r="J29" s="300">
        <f>IFERROR(INDEX('96_Raw_Phase4_Drivers'!$E$4:$G$180,MATCH("tgd_stores_5m_2026",'96_Raw_Phase4_Drivers'!$B$4:$B$180,0),MATCH("Base",'96_Raw_Phase4_Drivers'!$E$3:$G$3,0)),"")</f>
        <v>1012</v>
      </c>
      <c r="K29" s="293">
        <f>IFERROR(IF(AND(D29&gt;0,H29&gt;0),(H29/D29)^(1/4)-1,""),"")</f>
        <v>1.065329106239532E-2</v>
      </c>
      <c r="L29" s="300">
        <f>'07_Revenue_Drivers'!G32</f>
        <v>1012</v>
      </c>
      <c r="M29" s="2"/>
      <c r="N29" s="2"/>
    </row>
    <row r="30" spans="1:14">
      <c r="A30" s="314"/>
      <c r="B30" s="314" t="s">
        <v>262</v>
      </c>
      <c r="C30" s="314" t="s">
        <v>261</v>
      </c>
      <c r="D30" s="299">
        <v>1992</v>
      </c>
      <c r="E30" s="299">
        <v>2284</v>
      </c>
      <c r="F30" s="299">
        <v>2190</v>
      </c>
      <c r="G30" s="299">
        <v>2026</v>
      </c>
      <c r="H30" s="299">
        <v>2008</v>
      </c>
      <c r="I30" s="299">
        <v>2006</v>
      </c>
      <c r="J30" s="300">
        <f>IFERROR(INDEX('96_Raw_Phase4_Drivers'!$E$4:$G$180,MATCH("dmx_stores_5m_2026",'96_Raw_Phase4_Drivers'!$B$4:$B$180,0),MATCH("Base",'96_Raw_Phase4_Drivers'!$E$3:$G$3,0)),"")</f>
        <v>2004</v>
      </c>
      <c r="K30" s="293">
        <f>IFERROR(IF(AND(D30&gt;0,H30&gt;0),(H30/D30)^(1/4)-1,""),"")</f>
        <v>2.0020120221242443E-3</v>
      </c>
      <c r="L30" s="300">
        <f>'07_Revenue_Drivers'!G33</f>
        <v>2004</v>
      </c>
      <c r="M30" s="2"/>
      <c r="N30" s="2"/>
    </row>
    <row r="31" spans="1:14">
      <c r="A31" s="314"/>
      <c r="B31" s="314" t="s">
        <v>263</v>
      </c>
      <c r="C31" s="314" t="s">
        <v>261</v>
      </c>
      <c r="D31" s="299">
        <v>2106</v>
      </c>
      <c r="E31" s="299">
        <v>1728</v>
      </c>
      <c r="F31" s="299">
        <v>1698</v>
      </c>
      <c r="G31" s="299">
        <v>1770</v>
      </c>
      <c r="H31" s="299">
        <v>2559</v>
      </c>
      <c r="I31" s="299">
        <v>2839</v>
      </c>
      <c r="J31" s="300">
        <f>IFERROR(INDEX('96_Raw_Phase4_Drivers'!$E$4:$G$180,MATCH("bhx_stores_5m_2026",'96_Raw_Phase4_Drivers'!$B$4:$B$180,0),MATCH("Base",'96_Raw_Phase4_Drivers'!$E$3:$G$3,0)),"")</f>
        <v>3051</v>
      </c>
      <c r="K31" s="293">
        <f>IFERROR(IF(AND(D31&gt;0,H31&gt;0),(H31/D31)^(1/4)-1,""),"")</f>
        <v>4.9912193953473238E-2</v>
      </c>
      <c r="L31" s="300">
        <f>'07_Revenue_Drivers'!G34</f>
        <v>3559</v>
      </c>
      <c r="M31" s="2"/>
      <c r="N31" s="2"/>
    </row>
    <row r="32" spans="1:14">
      <c r="A32" s="314"/>
      <c r="B32" s="314" t="s">
        <v>264</v>
      </c>
      <c r="C32" s="314" t="s">
        <v>261</v>
      </c>
      <c r="D32" s="299">
        <v>178</v>
      </c>
      <c r="E32" s="299">
        <v>500</v>
      </c>
      <c r="F32" s="299">
        <v>527</v>
      </c>
      <c r="G32" s="299">
        <v>326</v>
      </c>
      <c r="H32" s="299">
        <v>382</v>
      </c>
      <c r="I32" s="299">
        <v>409</v>
      </c>
      <c r="J32" s="300">
        <f>IFERROR(INDEX('96_Raw_Phase4_Drivers'!$E$4:$G$180,MATCH("ak_stores_5m_2026",'96_Raw_Phase4_Drivers'!$B$4:$B$180,0),MATCH("Base",'96_Raw_Phase4_Drivers'!$E$3:$G$3,0)),"")</f>
        <v>416</v>
      </c>
      <c r="K32" s="293">
        <f>IFERROR(IF(AND(D32&gt;0,H32&gt;0),(H32/D32)^(1/4)-1,""),"")</f>
        <v>0.21034962551550973</v>
      </c>
      <c r="L32" s="300">
        <f>'07_Revenue_Drivers'!G35</f>
        <v>482</v>
      </c>
      <c r="M32" s="2"/>
      <c r="N32" s="2"/>
    </row>
    <row r="33" spans="1:14">
      <c r="A33" s="314"/>
      <c r="B33" s="314" t="s">
        <v>265</v>
      </c>
      <c r="C33" s="314" t="s">
        <v>261</v>
      </c>
      <c r="D33" s="299">
        <v>0</v>
      </c>
      <c r="E33" s="299">
        <v>64</v>
      </c>
      <c r="F33" s="299">
        <v>64</v>
      </c>
      <c r="G33" s="299">
        <v>62</v>
      </c>
      <c r="H33" s="299">
        <v>83</v>
      </c>
      <c r="I33" s="299">
        <v>95</v>
      </c>
      <c r="J33" s="300">
        <f>IFERROR(INDEX('96_Raw_Phase4_Drivers'!$E$4:$G$180,MATCH("ava_stores_5m_2026",'96_Raw_Phase4_Drivers'!$B$4:$B$180,0),MATCH("Base",'96_Raw_Phase4_Drivers'!$E$3:$G$3,0)),"")</f>
        <v>95</v>
      </c>
      <c r="K33" s="293">
        <f>IFERROR(IF(AND(E33&gt;0,H33&gt;0),(H33/E33)^(1/3)-1,""),"")</f>
        <v>9.0517667863709406E-2</v>
      </c>
      <c r="L33" s="300">
        <f>'07_Revenue_Drivers'!G36</f>
        <v>95</v>
      </c>
      <c r="M33" s="2"/>
      <c r="N33" s="2"/>
    </row>
    <row r="34" spans="1:14">
      <c r="A34" s="314"/>
      <c r="B34" s="314" t="s">
        <v>266</v>
      </c>
      <c r="C34" s="314" t="s">
        <v>261</v>
      </c>
      <c r="D34" s="299">
        <v>0</v>
      </c>
      <c r="E34" s="299">
        <v>5</v>
      </c>
      <c r="F34" s="299">
        <v>38</v>
      </c>
      <c r="G34" s="299">
        <v>87</v>
      </c>
      <c r="H34" s="299">
        <v>181</v>
      </c>
      <c r="I34" s="299">
        <v>212</v>
      </c>
      <c r="J34" s="300">
        <f>IFERROR(INDEX('96_Raw_Phase4_Drivers'!$E$4:$G$180,MATCH("erablue_stores_5m_2026",'96_Raw_Phase4_Drivers'!$B$4:$B$180,0),MATCH("Base",'96_Raw_Phase4_Drivers'!$E$3:$G$3,0)),"")</f>
        <v>245</v>
      </c>
      <c r="K34" s="293">
        <f>IFERROR(IF(AND(E34&gt;0,H34&gt;0),(H34/E34)^(1/3)-1,""),"")</f>
        <v>2.3080306403236244</v>
      </c>
      <c r="L34" s="300">
        <f>'07_Revenue_Drivers'!G37</f>
        <v>300</v>
      </c>
      <c r="M34" s="2"/>
      <c r="N34" s="2"/>
    </row>
    <row r="35" spans="1:14">
      <c r="A35" s="314"/>
      <c r="B35" s="314" t="s">
        <v>267</v>
      </c>
      <c r="C35" s="314" t="s">
        <v>261</v>
      </c>
      <c r="D35" s="301">
        <f t="shared" ref="D35:J35" si="12">SUM(D29:D34)</f>
        <v>5246</v>
      </c>
      <c r="E35" s="301">
        <f t="shared" si="12"/>
        <v>5771</v>
      </c>
      <c r="F35" s="301">
        <f t="shared" si="12"/>
        <v>5595</v>
      </c>
      <c r="G35" s="301">
        <f t="shared" si="12"/>
        <v>5292</v>
      </c>
      <c r="H35" s="301">
        <f t="shared" si="12"/>
        <v>6225</v>
      </c>
      <c r="I35" s="301">
        <f t="shared" si="12"/>
        <v>6575</v>
      </c>
      <c r="J35" s="300">
        <f t="shared" si="12"/>
        <v>6823</v>
      </c>
      <c r="K35" s="293">
        <f>IFERROR(IF(AND(D35&gt;0,H35&gt;0),(H35/D35)^(1/4)-1,""),"")</f>
        <v>4.3705008083990693E-2</v>
      </c>
      <c r="L35" s="300">
        <f>SUM(L29:L34)</f>
        <v>7452</v>
      </c>
      <c r="M35" s="2"/>
      <c r="N35" s="2"/>
    </row>
    <row r="36" spans="1:14" ht="15" customHeight="1">
      <c r="A36" s="458" t="s">
        <v>268</v>
      </c>
      <c r="B36" s="459"/>
      <c r="C36" s="459"/>
      <c r="D36" s="459"/>
      <c r="E36" s="459"/>
      <c r="F36" s="459"/>
      <c r="G36" s="459"/>
      <c r="H36" s="459"/>
      <c r="I36" s="459"/>
      <c r="J36" s="313"/>
      <c r="K36" s="297"/>
      <c r="L36" s="313"/>
      <c r="M36" s="66"/>
      <c r="N36" s="66"/>
    </row>
    <row r="37" spans="1:14">
      <c r="A37" s="314"/>
      <c r="B37" s="314" t="s">
        <v>269</v>
      </c>
      <c r="C37" s="314" t="s">
        <v>270</v>
      </c>
      <c r="D37" s="302">
        <f>IF(OR(D13="",D29=0),"",IFERROR(D13/D29/D6,""))</f>
        <v>2.7147943298969071</v>
      </c>
      <c r="E37" s="302">
        <f>IF(OR(E13="",E29=0),"",IFERROR(E13/AVERAGE(D29,E29)/E6,""))</f>
        <v>2.7006172839506171</v>
      </c>
      <c r="F37" s="302">
        <f>IF(OR(F13="",F29=0),"",IFERROR(F13/AVERAGE(E29,F29)/F6,""))</f>
        <v>2.0576131687242798</v>
      </c>
      <c r="G37" s="302">
        <f>IF(OR(G13="",G29=0),"",IFERROR(G13/AVERAGE(F29,G29)/G6,""))</f>
        <v>2.3820867079561698</v>
      </c>
      <c r="H37" s="302">
        <f>IF(OR(H13="",H29=0),"",IFERROR(H13/AVERAGE(G29,H29)/H6,""))</f>
        <v>3.0578783407115924</v>
      </c>
      <c r="I37" s="302">
        <f>IF(OR(I13="",I29=0),"",IFERROR(I13/AVERAGE(H29,I29)/I6,""))</f>
        <v>3.5774925962487658</v>
      </c>
      <c r="J37" s="303">
        <f>IF(OR(J13="",J29=0),"",IFERROR(J13/AVERAGE(H29,J29)/J$6,""))</f>
        <v>3.519916007905139</v>
      </c>
      <c r="K37" s="293">
        <f>IFERROR(IF(AND(D37&gt;0,H37&gt;0),(H37/D37)^(1/4)-1,""),"")</f>
        <v>3.0198272593624287E-2</v>
      </c>
      <c r="L37" s="303">
        <f>'07_Revenue_Drivers'!G48</f>
        <v>3.238302434736648</v>
      </c>
      <c r="M37" s="2"/>
      <c r="N37" s="2"/>
    </row>
    <row r="38" spans="1:14">
      <c r="A38" s="314"/>
      <c r="B38" s="314" t="s">
        <v>271</v>
      </c>
      <c r="C38" s="314" t="s">
        <v>270</v>
      </c>
      <c r="D38" s="302">
        <f>IF(OR(D14="",D30=0),"",IFERROR(D14/D30/D6,""))</f>
        <v>2.6233509036144578</v>
      </c>
      <c r="E38" s="302">
        <f>IF(OR(E14="",E30=0),"",IFERROR(E14/AVERAGE(D30,E30)/E6,""))</f>
        <v>2.6894293732460244</v>
      </c>
      <c r="F38" s="302">
        <f>IF(OR(F14="",F30=0),"",IFERROR(F14/AVERAGE(E30,F30)/F6,""))</f>
        <v>2.048874981373864</v>
      </c>
      <c r="G38" s="302">
        <f>IF(OR(G14="",G30=0),"",IFERROR(G14/AVERAGE(F30,G30)/G6,""))</f>
        <v>2.3521505376344085</v>
      </c>
      <c r="H38" s="302">
        <f>IF(OR(H14="",H30=0),"",IFERROR(H14/AVERAGE(G30,H30)/H6,""))</f>
        <v>2.825979176995538</v>
      </c>
      <c r="I38" s="302">
        <f>IF(OR(I14="",I30=0),"",IFERROR(I14/AVERAGE(H30,I30)/I6,""))</f>
        <v>3.5728284338149812</v>
      </c>
      <c r="J38" s="303">
        <f>IF(OR(J14="",J30=0),"",IFERROR(J14/AVERAGE(H30,J30)/J$6,""))</f>
        <v>3.6540994017946162</v>
      </c>
      <c r="K38" s="293">
        <f>IFERROR(IF(AND(D38&gt;0,H38&gt;0),(H38/D38)^(1/4)-1,""),"")</f>
        <v>1.8774680063993188E-2</v>
      </c>
      <c r="L38" s="303">
        <f>'07_Revenue_Drivers'!G49</f>
        <v>3.3617503835393046</v>
      </c>
      <c r="M38" s="2"/>
      <c r="N38" s="2"/>
    </row>
    <row r="39" spans="1:14">
      <c r="A39" s="314"/>
      <c r="B39" s="314" t="s">
        <v>272</v>
      </c>
      <c r="C39" s="314" t="s">
        <v>270</v>
      </c>
      <c r="D39" s="302">
        <f>IF(OR(D15="",D31=0),"",IFERROR(D15/D31/D6,""))</f>
        <v>1.1158594491927825</v>
      </c>
      <c r="E39" s="302">
        <f>IF(OR(E15="",E31=0),"",IFERROR(E15/AVERAGE(D31,E31)/E6,""))</f>
        <v>1.1737089201877935</v>
      </c>
      <c r="F39" s="302">
        <f>IF(OR(F15="",F31=0),"",IFERROR(F15/AVERAGE(E31,F31)/F6,""))</f>
        <v>1.5372640591554776</v>
      </c>
      <c r="G39" s="302">
        <f>IF(OR(G15="",G31=0),"",IFERROR(G15/AVERAGE(F31,G31)/G6,""))</f>
        <v>1.9752018454440599</v>
      </c>
      <c r="H39" s="302">
        <f>IF(OR(H15="",H31=0),"",IFERROR(H15/AVERAGE(G31,H31)/H6,""))</f>
        <v>1.8056518056518056</v>
      </c>
      <c r="I39" s="302">
        <f>IF(OR(I15="",I31=0),"",IFERROR(I15/AVERAGE(H31,I31)/I6,""))</f>
        <v>1.6178831666049154</v>
      </c>
      <c r="J39" s="303">
        <f>IF(OR(J15="",J31=0),"",IFERROR(J15/AVERAGE(H31,J31)/J$6,""))</f>
        <v>1.6480875579322638</v>
      </c>
      <c r="K39" s="293">
        <f>IFERROR(IF(AND(D39&gt;0,H39&gt;0),(H39/D39)^(1/4)-1,""),"")</f>
        <v>0.12786242369709222</v>
      </c>
      <c r="L39" s="303">
        <f>'07_Revenue_Drivers'!G50</f>
        <v>1.5119320039228505</v>
      </c>
      <c r="M39" s="2"/>
      <c r="N39" s="2"/>
    </row>
    <row r="40" spans="1:14">
      <c r="A40" s="314"/>
      <c r="B40" s="314" t="s">
        <v>273</v>
      </c>
      <c r="C40" s="314" t="s">
        <v>270</v>
      </c>
      <c r="D40" s="302" t="str">
        <f>IF(OR(D16="",D32=0),"",IFERROR(D16/D32/D6,""))</f>
        <v/>
      </c>
      <c r="E40" s="302">
        <f>IF(OR(E16="",E32=0),"",IFERROR(E16/AVERAGE(D32,E32)/E6,""))</f>
        <v>0.36873156342182889</v>
      </c>
      <c r="F40" s="302">
        <f>IF(OR(F16="",F32=0),"",IFERROR(F16/AVERAGE(E32,F32)/F6,""))</f>
        <v>0.35702693930542034</v>
      </c>
      <c r="G40" s="302">
        <f>IF(OR(G16="",G32=0),"",IFERROR(G16/AVERAGE(F32,G32)/G6,""))</f>
        <v>0.44939429464634623</v>
      </c>
      <c r="H40" s="302">
        <f>IF(OR(H16="",H32=0),"",IFERROR(H16/AVERAGE(G32,H32)/H6,""))</f>
        <v>0.51789077212806023</v>
      </c>
      <c r="I40" s="302" t="str">
        <f>IF(OR(I16="",I32=0),"",IFERROR(I16/AVERAGE(H32,I32)/I6,""))</f>
        <v/>
      </c>
      <c r="J40" s="303" t="str">
        <f>IF(OR(J16="",J32=0),"",IFERROR(J16/AVERAGE(H32,J32)/J$6,""))</f>
        <v/>
      </c>
      <c r="K40" s="293">
        <f>IFERROR(IF(AND(E40&gt;0,H40&gt;0),(H40/E40)^(1/3)-1,""),"")</f>
        <v>0.11989151107193052</v>
      </c>
      <c r="L40" s="303">
        <f>'07_Revenue_Drivers'!G51</f>
        <v>0.55169753086419748</v>
      </c>
      <c r="M40" s="2"/>
      <c r="N40" s="2"/>
    </row>
    <row r="41" spans="1:14">
      <c r="A41" s="314"/>
      <c r="B41" s="314" t="s">
        <v>274</v>
      </c>
      <c r="C41" s="314" t="s">
        <v>270</v>
      </c>
      <c r="D41" s="302" t="str">
        <f>IF(OR(D17="",D33=0),"",IFERROR(D17/D33/D6,""))</f>
        <v/>
      </c>
      <c r="E41" s="302">
        <f>IF(OR(E17="",E33=0),"",IFERROR(E17/AVERAGE(D33,E33)/E6,""))</f>
        <v>1.5625</v>
      </c>
      <c r="F41" s="302">
        <f>IF(OR(F17="",F33=0),"",IFERROR(F17/AVERAGE(E33,F33)/F6,""))</f>
        <v>1.171875</v>
      </c>
      <c r="G41" s="302">
        <f>IF(OR(G17="",G33=0),"",IFERROR(G17/AVERAGE(F33,G33)/G6,""))</f>
        <v>1.5873015873015872</v>
      </c>
      <c r="H41" s="302">
        <f>IF(OR(H17="",H33=0),"",IFERROR(H17/AVERAGE(G33,H33)/H6,""))</f>
        <v>1.6091954022988506</v>
      </c>
      <c r="I41" s="302" t="str">
        <f>IF(OR(I17="",I33=0),"",IFERROR(I17/AVERAGE(H33,I33)/I6,""))</f>
        <v/>
      </c>
      <c r="J41" s="303" t="str">
        <f>IF(OR(J17="",J33=0),"",IFERROR(J17/AVERAGE(H33,J33)/J$6,""))</f>
        <v/>
      </c>
      <c r="K41" s="293">
        <f>IFERROR(IF(AND(E41&gt;0,H41&gt;0),(H41/E41)^(1/3)-1,""),"")</f>
        <v>9.8640660998463581E-3</v>
      </c>
      <c r="L41" s="303">
        <f>'07_Revenue_Drivers'!G52</f>
        <v>1.5730337078651686</v>
      </c>
      <c r="M41" s="2"/>
      <c r="N41" s="2"/>
    </row>
    <row r="42" spans="1:14" ht="15" customHeight="1">
      <c r="A42" s="458" t="s">
        <v>275</v>
      </c>
      <c r="B42" s="459"/>
      <c r="C42" s="459"/>
      <c r="D42" s="459"/>
      <c r="E42" s="459"/>
      <c r="F42" s="459"/>
      <c r="G42" s="459"/>
      <c r="H42" s="459"/>
      <c r="I42" s="459"/>
      <c r="J42" s="313"/>
      <c r="K42" s="297"/>
      <c r="L42" s="313"/>
      <c r="M42" s="66"/>
      <c r="N42" s="66"/>
    </row>
    <row r="43" spans="1:14">
      <c r="A43" s="314"/>
      <c r="B43" s="314" t="s">
        <v>276</v>
      </c>
      <c r="C43" s="314" t="s">
        <v>14</v>
      </c>
      <c r="D43" s="290">
        <v>13405</v>
      </c>
      <c r="E43" s="290">
        <v>18000</v>
      </c>
      <c r="F43" s="290">
        <v>16000</v>
      </c>
      <c r="G43" s="290">
        <v>8700</v>
      </c>
      <c r="H43" s="290">
        <v>6100</v>
      </c>
      <c r="I43" s="304">
        <v>2000</v>
      </c>
      <c r="J43" s="292">
        <f>IFERROR(INDEX('96_Raw_Phase4_Drivers'!$E$4:$G$180,MATCH("superapp_online_revenue_5m_2026",'96_Raw_Phase4_Drivers'!$B$4:$B$180,0),MATCH("Base",'96_Raw_Phase4_Drivers'!$E$3:$G$3,0)),"")</f>
        <v>6000</v>
      </c>
      <c r="K43" s="293">
        <f>IFERROR(IF(AND(D43&gt;0,H43&gt;0),(H43/D43)^(1/4)-1,""),"")</f>
        <v>-0.17867365382665557</v>
      </c>
      <c r="L43" s="292">
        <f>'07_Revenue_Drivers'!G11</f>
        <v>12950.000000000002</v>
      </c>
      <c r="M43" s="2"/>
      <c r="N43" s="2"/>
    </row>
    <row r="44" spans="1:14">
      <c r="A44" s="314"/>
      <c r="B44" s="314" t="s">
        <v>277</v>
      </c>
      <c r="C44" s="314" t="s">
        <v>14</v>
      </c>
      <c r="D44" s="290">
        <v>1000</v>
      </c>
      <c r="E44" s="290">
        <v>900</v>
      </c>
      <c r="F44" s="290">
        <v>900</v>
      </c>
      <c r="G44" s="290">
        <v>925</v>
      </c>
      <c r="H44" s="290">
        <v>2300</v>
      </c>
      <c r="I44" s="304">
        <v>1000</v>
      </c>
      <c r="J44" s="292"/>
      <c r="K44" s="293">
        <f>IFERROR(IF(AND(D44&gt;0,H44&gt;0),(H44/D44)^(1/4)-1,""),"")</f>
        <v>0.23149303238398788</v>
      </c>
      <c r="L44" s="292"/>
      <c r="M44" s="2"/>
      <c r="N44" s="2"/>
    </row>
    <row r="45" spans="1:14">
      <c r="A45" s="314"/>
      <c r="B45" s="314" t="s">
        <v>278</v>
      </c>
      <c r="C45" s="314" t="s">
        <v>14</v>
      </c>
      <c r="D45" s="290"/>
      <c r="E45" s="290"/>
      <c r="F45" s="290">
        <v>270</v>
      </c>
      <c r="G45" s="290">
        <v>600</v>
      </c>
      <c r="H45" s="290">
        <v>700</v>
      </c>
      <c r="I45" s="290"/>
      <c r="J45" s="292"/>
      <c r="K45" s="293">
        <f>IFERROR(IF(AND(F45&gt;0,H45&gt;0),(H45/F45)^(1/2)-1,""),"")</f>
        <v>0.61015297179882655</v>
      </c>
      <c r="L45" s="292"/>
      <c r="M45" s="2"/>
      <c r="N45" s="2"/>
    </row>
    <row r="46" spans="1:14">
      <c r="A46" s="314"/>
      <c r="B46" s="314" t="s">
        <v>279</v>
      </c>
      <c r="C46" s="314" t="s">
        <v>23</v>
      </c>
      <c r="D46" s="294">
        <f>IF(D43="","",IFERROR(D43/(D13+D14),""))</f>
        <v>0.14213946089816065</v>
      </c>
      <c r="E46" s="294">
        <f>IF(E43="","",IFERROR(E43/(E13+E14),""))</f>
        <v>0.17307692307692307</v>
      </c>
      <c r="F46" s="294">
        <f>IF(F43="","",IFERROR(F43/(F13+F14),""))</f>
        <v>0.19277108433734941</v>
      </c>
      <c r="G46" s="294">
        <f>IF(G43="","",IFERROR(G43/(G13+G14),""))</f>
        <v>9.720670391061452E-2</v>
      </c>
      <c r="H46" s="294">
        <f>IF(H43="","",IFERROR(H43/(H13+H14),""))</f>
        <v>5.7710501419110688E-2</v>
      </c>
      <c r="I46" s="294">
        <f>IF(I43&lt;&gt;"",IFERROR(I43/(I13+I14),""),"")</f>
        <v>6.1758893280632408E-2</v>
      </c>
      <c r="J46" s="293">
        <f>IF(J43&lt;&gt;"",IFERROR(J43/(J13+J14),""),"")</f>
        <v>0.11016978780123725</v>
      </c>
      <c r="K46" s="293">
        <f>IFERROR(AVERAGE(D46:H46),"")</f>
        <v>0.13258093472843166</v>
      </c>
      <c r="L46" s="293">
        <f>IF(L43&lt;&gt;"",IFERROR(L43/(L13+L14),""),"")</f>
        <v>0.10769230769230771</v>
      </c>
      <c r="M46" s="2"/>
      <c r="N46" s="2"/>
    </row>
    <row r="47" spans="1:14">
      <c r="A47" s="314"/>
      <c r="B47" s="314" t="s">
        <v>280</v>
      </c>
      <c r="C47" s="314" t="s">
        <v>23</v>
      </c>
      <c r="D47" s="294">
        <f>IF(D44="","",IFERROR(D44/D15,""))</f>
        <v>3.5460992907801421E-2</v>
      </c>
      <c r="E47" s="294">
        <f>IF(E44="","",IFERROR(E44/E15,""))</f>
        <v>3.3333333333333333E-2</v>
      </c>
      <c r="F47" s="294">
        <f>IF(F44="","",IFERROR(F44/F15,""))</f>
        <v>2.8481012658227847E-2</v>
      </c>
      <c r="G47" s="294">
        <f>IF(G44="","",IFERROR(G44/G15,""))</f>
        <v>2.2506082725060828E-2</v>
      </c>
      <c r="H47" s="294">
        <f>IF(H44="","",IFERROR(H44/H15,""))</f>
        <v>4.9040511727078892E-2</v>
      </c>
      <c r="I47" s="294">
        <f>IF(I44&lt;&gt;"",IFERROR(I44/I15,""),"")</f>
        <v>7.6335877862595422E-2</v>
      </c>
      <c r="J47" s="293"/>
      <c r="K47" s="293">
        <f>IFERROR(AVERAGE(D47:H47),"")</f>
        <v>3.3764386670300461E-2</v>
      </c>
      <c r="L47" s="293"/>
      <c r="M47" s="2"/>
      <c r="N47" s="2"/>
    </row>
    <row r="48" spans="1:14">
      <c r="A48" s="314"/>
      <c r="B48" s="314" t="s">
        <v>281</v>
      </c>
      <c r="C48" s="314" t="s">
        <v>23</v>
      </c>
      <c r="D48" s="294" t="str">
        <f t="shared" ref="D48:I48" si="13">IF(D45="","",IFERROR(D45/D17,""))</f>
        <v/>
      </c>
      <c r="E48" s="294" t="str">
        <f t="shared" si="13"/>
        <v/>
      </c>
      <c r="F48" s="294">
        <f t="shared" si="13"/>
        <v>0.3</v>
      </c>
      <c r="G48" s="294">
        <f t="shared" si="13"/>
        <v>0.5</v>
      </c>
      <c r="H48" s="294">
        <f t="shared" si="13"/>
        <v>0.5</v>
      </c>
      <c r="I48" s="294" t="str">
        <f t="shared" si="13"/>
        <v/>
      </c>
      <c r="J48" s="293"/>
      <c r="K48" s="293">
        <f>IFERROR(AVERAGE(D48:H48),"")</f>
        <v>0.43333333333333335</v>
      </c>
      <c r="L48" s="293"/>
      <c r="M48" s="2"/>
      <c r="N48" s="2"/>
    </row>
    <row r="49" spans="1:14">
      <c r="A49" s="314"/>
      <c r="B49" s="314" t="s">
        <v>282</v>
      </c>
      <c r="C49" s="314" t="s">
        <v>14</v>
      </c>
      <c r="D49" s="290"/>
      <c r="E49" s="290"/>
      <c r="F49" s="290"/>
      <c r="G49" s="290"/>
      <c r="H49" s="290"/>
      <c r="I49" s="290">
        <v>32400</v>
      </c>
      <c r="J49" s="292">
        <f>IFERROR(INDEX('96_Raw_Phase4_Drivers'!$E$4:$G$180,MATCH("core_revenue_5m_2026",'96_Raw_Phase4_Drivers'!$B$4:$B$180,0),MATCH("Base",'96_Raw_Phase4_Drivers'!$E$3:$G$3,0)),"")</f>
        <v>54500</v>
      </c>
      <c r="K49" s="293"/>
      <c r="L49" s="292">
        <f>'07_Revenue_Drivers'!G55</f>
        <v>0</v>
      </c>
      <c r="M49" s="2"/>
      <c r="N49" s="2"/>
    </row>
    <row r="50" spans="1:14">
      <c r="A50" s="314"/>
      <c r="B50" s="314" t="s">
        <v>283</v>
      </c>
      <c r="C50" s="314" t="s">
        <v>23</v>
      </c>
      <c r="D50" s="305"/>
      <c r="E50" s="305"/>
      <c r="F50" s="305"/>
      <c r="G50" s="305">
        <v>0.1</v>
      </c>
      <c r="H50" s="305">
        <v>0.2</v>
      </c>
      <c r="I50" s="305">
        <v>0.34</v>
      </c>
      <c r="J50" s="293">
        <f>IFERROR(INDEX('96_Raw_Phase4_Drivers'!$E$4:$G$180,MATCH("core_sssg_5m_2026",'96_Raw_Phase4_Drivers'!$B$4:$B$180,0),MATCH("Base",'96_Raw_Phase4_Drivers'!$E$3:$G$3,0)),"")</f>
        <v>0.33</v>
      </c>
      <c r="K50" s="293">
        <f>IFERROR(AVERAGE(G50:H50),"")</f>
        <v>0.15000000000000002</v>
      </c>
      <c r="L50" s="293">
        <f>'07_Revenue_Drivers'!G56</f>
        <v>0</v>
      </c>
      <c r="M50" s="2"/>
      <c r="N50" s="2"/>
    </row>
    <row r="51" spans="1:14">
      <c r="A51" s="314"/>
      <c r="B51" s="314" t="s">
        <v>284</v>
      </c>
      <c r="C51" s="314" t="s">
        <v>261</v>
      </c>
      <c r="D51" s="299"/>
      <c r="E51" s="299"/>
      <c r="F51" s="299"/>
      <c r="G51" s="299"/>
      <c r="H51" s="299">
        <v>789</v>
      </c>
      <c r="I51" s="299">
        <v>280</v>
      </c>
      <c r="J51" s="300">
        <f>IFERROR(INDEX('96_Raw_Phase4_Drivers'!$E$4:$G$180,MATCH("bhx_new_stores_5m_2026",'96_Raw_Phase4_Drivers'!$B$4:$B$180,0),MATCH("Base",'96_Raw_Phase4_Drivers'!$E$3:$G$3,0)),"")</f>
        <v>532</v>
      </c>
      <c r="K51" s="292">
        <f>IFERROR(AVERAGE(D51:H51),"")</f>
        <v>789</v>
      </c>
      <c r="L51" s="300">
        <f>'07_Revenue_Drivers'!G57</f>
        <v>0</v>
      </c>
      <c r="M51" s="2"/>
      <c r="N51" s="2"/>
    </row>
    <row r="52" spans="1:14">
      <c r="A52" s="314"/>
      <c r="B52" s="314" t="s">
        <v>285</v>
      </c>
      <c r="C52" s="314" t="s">
        <v>261</v>
      </c>
      <c r="D52" s="299"/>
      <c r="E52" s="299">
        <v>5</v>
      </c>
      <c r="F52" s="299">
        <v>33</v>
      </c>
      <c r="G52" s="299">
        <v>49</v>
      </c>
      <c r="H52" s="299">
        <v>94</v>
      </c>
      <c r="I52" s="299">
        <v>31</v>
      </c>
      <c r="J52" s="300">
        <f>IFERROR(INDEX('96_Raw_Phase4_Drivers'!$E$4:$G$180,MATCH("erablue_new_stores_5m_2026",'96_Raw_Phase4_Drivers'!$B$4:$B$180,0),MATCH("Base",'96_Raw_Phase4_Drivers'!$E$3:$G$3,0)),"")</f>
        <v>64</v>
      </c>
      <c r="K52" s="292">
        <f>IFERROR(AVERAGE(E52:H52),"")</f>
        <v>45.25</v>
      </c>
      <c r="L52" s="300">
        <f>'07_Revenue_Drivers'!G61</f>
        <v>0</v>
      </c>
      <c r="M52" s="2"/>
      <c r="N52" s="2"/>
    </row>
    <row r="53" spans="1:14">
      <c r="A53" s="306"/>
      <c r="B53" s="306" t="s">
        <v>286</v>
      </c>
      <c r="C53" s="306" t="s">
        <v>287</v>
      </c>
      <c r="D53" s="306"/>
      <c r="E53" s="306"/>
      <c r="F53" s="306"/>
      <c r="G53" s="306"/>
      <c r="H53" s="306"/>
      <c r="I53" s="306"/>
      <c r="J53" s="300">
        <f>IFERROR(INDEX('96_Raw_Phase4_Drivers'!$E$4:$G$180,MATCH("erablue_revenue_idr_5m_2026",'96_Raw_Phase4_Drivers'!$B$4:$B$180,0),MATCH("Base",'96_Raw_Phase4_Drivers'!$E$3:$G$3,0)),"")</f>
        <v>1560</v>
      </c>
      <c r="K53" s="292"/>
      <c r="L53" s="307"/>
      <c r="M53" s="2"/>
      <c r="N53" s="2"/>
    </row>
    <row r="54" spans="1:14">
      <c r="J54" s="65"/>
      <c r="K54" s="65"/>
      <c r="L54" s="64"/>
      <c r="M54" s="2"/>
      <c r="N54" s="2"/>
    </row>
    <row r="55" spans="1:14">
      <c r="L55" s="64"/>
      <c r="M55" s="2"/>
      <c r="N55" s="2"/>
    </row>
    <row r="56" spans="1:14">
      <c r="J56" s="64"/>
      <c r="K56" s="65"/>
      <c r="L56" s="64"/>
      <c r="M56" s="2"/>
      <c r="N56" s="2"/>
    </row>
    <row r="115" spans="4:12" ht="15" customHeight="1">
      <c r="D115" s="62"/>
      <c r="E115" s="62"/>
      <c r="F115" s="62"/>
      <c r="G115" s="62"/>
      <c r="H115" s="62"/>
      <c r="I115" s="62"/>
      <c r="J115" s="62"/>
      <c r="K115" s="338"/>
      <c r="L115" s="339"/>
    </row>
  </sheetData>
  <mergeCells count="9">
    <mergeCell ref="A28:I28"/>
    <mergeCell ref="A5:I5"/>
    <mergeCell ref="A42:I42"/>
    <mergeCell ref="A36:I36"/>
    <mergeCell ref="A1:I1"/>
    <mergeCell ref="A12:I12"/>
    <mergeCell ref="A21:I21"/>
    <mergeCell ref="A2:I2"/>
    <mergeCell ref="J3:N3"/>
  </mergeCells>
  <conditionalFormatting sqref="D20:I20">
    <cfRule type="cellIs" dxfId="0" priority="1" operator="notEqual">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23"/>
  <sheetViews>
    <sheetView showGridLines="0" topLeftCell="A66" zoomScale="70" zoomScaleNormal="70" workbookViewId="0">
      <selection activeCell="M89" sqref="M89"/>
    </sheetView>
  </sheetViews>
  <sheetFormatPr defaultColWidth="19.8984375" defaultRowHeight="13.8"/>
  <cols>
    <col min="2" max="2" width="36" customWidth="1"/>
    <col min="12" max="13" width="66.69921875" customWidth="1"/>
  </cols>
  <sheetData>
    <row r="1" spans="1:13" ht="24" customHeight="1">
      <c r="A1" s="455" t="s">
        <v>288</v>
      </c>
      <c r="B1" s="452"/>
      <c r="C1" s="452"/>
      <c r="D1" s="452"/>
      <c r="E1" s="452"/>
      <c r="F1" s="452"/>
      <c r="G1" s="452"/>
      <c r="H1" s="452"/>
      <c r="I1" s="452"/>
      <c r="J1" s="452"/>
      <c r="K1" s="452"/>
      <c r="L1" s="452"/>
      <c r="M1" s="452"/>
    </row>
    <row r="2" spans="1:13" ht="24" customHeight="1">
      <c r="A2" s="456" t="s">
        <v>289</v>
      </c>
      <c r="B2" s="452"/>
      <c r="C2" s="452"/>
      <c r="D2" s="452"/>
      <c r="E2" s="452"/>
      <c r="F2" s="452"/>
      <c r="G2" s="452"/>
      <c r="H2" s="452"/>
      <c r="I2" s="452"/>
      <c r="J2" s="452"/>
      <c r="K2" s="452"/>
      <c r="L2" s="452"/>
      <c r="M2" s="452"/>
    </row>
    <row r="3" spans="1:13" ht="24" customHeight="1">
      <c r="B3" s="464" t="s">
        <v>290</v>
      </c>
      <c r="C3" s="465"/>
      <c r="D3" s="340" t="s">
        <v>291</v>
      </c>
      <c r="E3" s="61"/>
    </row>
    <row r="5" spans="1:13" ht="24" customHeight="1">
      <c r="A5" s="326" t="s">
        <v>2</v>
      </c>
      <c r="B5" s="326" t="s">
        <v>3</v>
      </c>
      <c r="C5" s="326" t="s">
        <v>4</v>
      </c>
      <c r="D5" s="326" t="s">
        <v>9</v>
      </c>
      <c r="E5" s="326" t="s">
        <v>292</v>
      </c>
      <c r="F5" s="326" t="s">
        <v>293</v>
      </c>
      <c r="G5" s="326" t="s">
        <v>294</v>
      </c>
      <c r="H5" s="326" t="s">
        <v>295</v>
      </c>
      <c r="I5" s="326" t="s">
        <v>296</v>
      </c>
      <c r="J5" s="326" t="s">
        <v>297</v>
      </c>
      <c r="K5" s="326" t="s">
        <v>298</v>
      </c>
    </row>
    <row r="6" spans="1:13" ht="24" customHeight="1">
      <c r="A6" s="327" t="s">
        <v>236</v>
      </c>
      <c r="B6" s="327"/>
      <c r="C6" s="327"/>
      <c r="D6" s="327"/>
      <c r="E6" s="327"/>
      <c r="F6" s="327"/>
      <c r="G6" s="327"/>
      <c r="H6" s="327"/>
      <c r="I6" s="327"/>
      <c r="J6" s="327"/>
      <c r="K6" s="327"/>
    </row>
    <row r="7" spans="1:13" ht="24" customHeight="1">
      <c r="A7" s="26" t="s">
        <v>236</v>
      </c>
      <c r="B7" s="26" t="s">
        <v>237</v>
      </c>
      <c r="C7" s="26" t="s">
        <v>238</v>
      </c>
      <c r="D7" s="43">
        <f>'06_Revenue_Drivers_Hist'!H6</f>
        <v>12</v>
      </c>
      <c r="E7" s="43">
        <f>'06_Revenue_Drivers_Hist'!I6</f>
        <v>3</v>
      </c>
      <c r="F7" s="43">
        <f>IFERROR(INDEX('96_Raw_Phase4_Drivers'!$E$4:$G$180,MATCH("latest_months",'96_Raw_Phase4_Drivers'!$B$4:$B$180,0),MATCH($D$3,'96_Raw_Phase4_Drivers'!$E$3:$G$3,0)),"")</f>
        <v>5</v>
      </c>
      <c r="G7" s="45">
        <f>12</f>
        <v>12</v>
      </c>
      <c r="H7" s="45">
        <f>12</f>
        <v>12</v>
      </c>
      <c r="I7" s="45">
        <f>12</f>
        <v>12</v>
      </c>
      <c r="J7" s="45">
        <f>12</f>
        <v>12</v>
      </c>
      <c r="K7" s="45">
        <f>12</f>
        <v>12</v>
      </c>
    </row>
    <row r="8" spans="1:13" ht="24" customHeight="1">
      <c r="A8" s="26" t="s">
        <v>236</v>
      </c>
      <c r="B8" s="26" t="s">
        <v>239</v>
      </c>
      <c r="C8" s="26" t="s">
        <v>14</v>
      </c>
      <c r="D8" s="33">
        <f>'06_Revenue_Drivers_Hist'!H7</f>
        <v>155928</v>
      </c>
      <c r="E8" s="33">
        <f>'06_Revenue_Drivers_Hist'!I7</f>
        <v>46462</v>
      </c>
      <c r="F8" s="33">
        <f>IFERROR(INDEX('96_Raw_Phase4_Drivers'!$E$4:$G$180,MATCH("group_revenue_5m_2026",'96_Raw_Phase4_Drivers'!$B$4:$B$180,0),MATCH($D$3,'96_Raw_Phase4_Drivers'!$E$3:$G$3,0)),"")</f>
        <v>79159</v>
      </c>
      <c r="G8" s="35">
        <f>IFERROR(INDEX('96_Raw_Phase4_Drivers'!$E$4:$G$180,MATCH("group_revenue_target_2026",'96_Raw_Phase4_Drivers'!$B$4:$B$180,0),MATCH($D$3,'96_Raw_Phase4_Drivers'!$E$3:$G$3,0)),"")</f>
        <v>185000</v>
      </c>
      <c r="H8" s="35">
        <f>SUM(H15:H20)</f>
        <v>210702.27006116117</v>
      </c>
      <c r="I8" s="35">
        <f>SUM(I15:I20)</f>
        <v>232016.73569640506</v>
      </c>
      <c r="J8" s="35">
        <f>SUM(J15:J20)</f>
        <v>250797.07281390979</v>
      </c>
      <c r="K8" s="35">
        <f>SUM(K15:K20)</f>
        <v>267230.44217471726</v>
      </c>
    </row>
    <row r="9" spans="1:13" ht="24" customHeight="1">
      <c r="A9" s="26" t="s">
        <v>236</v>
      </c>
      <c r="B9" s="26" t="s">
        <v>240</v>
      </c>
      <c r="C9" s="26" t="s">
        <v>23</v>
      </c>
      <c r="D9" s="36">
        <f>IFERROR(D8/'06_Revenue_Drivers_Hist'!G7-1,"")</f>
        <v>0.16068809968661846</v>
      </c>
      <c r="E9" s="36"/>
      <c r="F9" s="36">
        <f>IFERROR(F8/INDEX('96_Raw_Phase4_Drivers'!$E$4:$G$180,MATCH("group_revenue_5m_2025",'96_Raw_Phase4_Drivers'!$B$4:$B$180,0),MATCH($D$3,'96_Raw_Phase4_Drivers'!$E$3:$G$3,0))-1,"")</f>
        <v>0.29283509448137313</v>
      </c>
      <c r="G9" s="37">
        <f>IFERROR(G8/D8-1,"")</f>
        <v>0.18644502590939416</v>
      </c>
      <c r="H9" s="37">
        <f>IFERROR(H8/G8-1,"")</f>
        <v>0.13893118951979</v>
      </c>
      <c r="I9" s="37">
        <f>IFERROR(I8/H8-1,"")</f>
        <v>0.10115916467846731</v>
      </c>
      <c r="J9" s="37">
        <f>IFERROR(J8/I8-1,"")</f>
        <v>8.0943889935934932E-2</v>
      </c>
      <c r="K9" s="37">
        <f>IFERROR(K8/J8-1,"")</f>
        <v>6.5524566042287624E-2</v>
      </c>
    </row>
    <row r="10" spans="1:13" ht="24" customHeight="1">
      <c r="A10" s="26" t="s">
        <v>236</v>
      </c>
      <c r="B10" s="26" t="s">
        <v>299</v>
      </c>
      <c r="C10" s="26" t="s">
        <v>23</v>
      </c>
      <c r="F10" s="36">
        <f>IFERROR(F8/INDEX('96_Raw_Phase4_Drivers'!$E$4:$G$180,MATCH("group_revenue_target_2026",'96_Raw_Phase4_Drivers'!$B$4:$B$180,0),MATCH($D$3,'96_Raw_Phase4_Drivers'!$E$3:$G$3,0)),"")</f>
        <v>0.42788648648648647</v>
      </c>
      <c r="G10" s="37">
        <f>1</f>
        <v>1</v>
      </c>
      <c r="H10" s="37"/>
      <c r="I10" s="37"/>
      <c r="J10" s="37"/>
      <c r="K10" s="37"/>
    </row>
    <row r="11" spans="1:13" ht="24" customHeight="1">
      <c r="A11" s="26" t="s">
        <v>236</v>
      </c>
      <c r="B11" s="26" t="s">
        <v>300</v>
      </c>
      <c r="C11" s="26" t="s">
        <v>14</v>
      </c>
      <c r="D11" s="33">
        <f>'06_Revenue_Drivers_Hist'!H10</f>
        <v>9200</v>
      </c>
      <c r="E11" s="33">
        <f>'06_Revenue_Drivers_Hist'!I10</f>
        <v>3000</v>
      </c>
      <c r="F11" s="33">
        <f>IFERROR(INDEX('96_Raw_Phase4_Drivers'!$E$4:$G$180,MATCH("superapp_online_revenue_5m_2026",'96_Raw_Phase4_Drivers'!$B$4:$B$180,0),MATCH($D$3,'96_Raw_Phase4_Drivers'!$E$3:$G$3,0)),"")</f>
        <v>6000</v>
      </c>
      <c r="G11" s="35">
        <f>G8*INDEX('96_Raw_Phase4_Drivers'!$E$4:$G$180,MATCH("online_mix_2026",'96_Raw_Phase4_Drivers'!$B$4:$B$180,0),MATCH($D$3,'96_Raw_Phase4_Drivers'!$E$3:$G$3,0))</f>
        <v>12950.000000000002</v>
      </c>
      <c r="H11" s="35">
        <f>H8*INDEX('96_Raw_Phase4_Drivers'!$E$4:$G$180,MATCH("online_mix_2027",'96_Raw_Phase4_Drivers'!$B$4:$B$180,0),MATCH($D$3,'96_Raw_Phase4_Drivers'!$E$3:$G$3,0))</f>
        <v>15802.670254587087</v>
      </c>
      <c r="I11" s="35">
        <f>I8*INDEX('96_Raw_Phase4_Drivers'!$E$4:$G$180,MATCH("online_mix_2028",'96_Raw_Phase4_Drivers'!$B$4:$B$180,0),MATCH($D$3,'96_Raw_Phase4_Drivers'!$E$3:$G$3,0))</f>
        <v>18561.338855712405</v>
      </c>
      <c r="J11" s="35">
        <f>J8*INDEX('96_Raw_Phase4_Drivers'!$E$4:$G$180,MATCH("online_mix_2029",'96_Raw_Phase4_Drivers'!$B$4:$B$180,0),MATCH($D$3,'96_Raw_Phase4_Drivers'!$E$3:$G$3,0))</f>
        <v>21317.751189182334</v>
      </c>
      <c r="K11" s="35">
        <f>K8*INDEX('96_Raw_Phase4_Drivers'!$E$4:$G$180,MATCH("online_mix_2030",'96_Raw_Phase4_Drivers'!$B$4:$B$180,0),MATCH($D$3,'96_Raw_Phase4_Drivers'!$E$3:$G$3,0))</f>
        <v>24050.739795724552</v>
      </c>
    </row>
    <row r="12" spans="1:13" ht="24" customHeight="1">
      <c r="A12" s="26" t="s">
        <v>236</v>
      </c>
      <c r="B12" s="26" t="s">
        <v>301</v>
      </c>
      <c r="C12" s="26" t="s">
        <v>23</v>
      </c>
      <c r="D12" s="36">
        <f t="shared" ref="D12:K12" si="0">IFERROR(D11/D8,"")</f>
        <v>5.9001590477656352E-2</v>
      </c>
      <c r="E12" s="36">
        <f t="shared" si="0"/>
        <v>6.4568895010976707E-2</v>
      </c>
      <c r="F12" s="36">
        <f t="shared" si="0"/>
        <v>7.5796814007251231E-2</v>
      </c>
      <c r="G12" s="37">
        <f t="shared" si="0"/>
        <v>7.0000000000000007E-2</v>
      </c>
      <c r="H12" s="37">
        <f t="shared" si="0"/>
        <v>7.4999999999999997E-2</v>
      </c>
      <c r="I12" s="37">
        <f t="shared" si="0"/>
        <v>0.08</v>
      </c>
      <c r="J12" s="37">
        <f t="shared" si="0"/>
        <v>8.5000000000000006E-2</v>
      </c>
      <c r="K12" s="37">
        <f t="shared" si="0"/>
        <v>0.09</v>
      </c>
    </row>
    <row r="13" spans="1:13" ht="24" customHeight="1">
      <c r="A13" s="26"/>
      <c r="B13" s="26"/>
      <c r="C13" s="26"/>
      <c r="D13" s="33"/>
      <c r="E13" s="33"/>
      <c r="F13" s="33"/>
      <c r="G13" s="35"/>
      <c r="H13" s="35"/>
      <c r="I13" s="35"/>
      <c r="J13" s="35"/>
      <c r="K13" s="35"/>
    </row>
    <row r="14" spans="1:13" ht="24" customHeight="1">
      <c r="A14" s="327" t="s">
        <v>243</v>
      </c>
      <c r="B14" s="327"/>
      <c r="C14" s="327"/>
      <c r="D14" s="328"/>
      <c r="E14" s="328"/>
      <c r="F14" s="328"/>
      <c r="G14" s="330"/>
      <c r="H14" s="330"/>
      <c r="I14" s="330"/>
      <c r="J14" s="330"/>
      <c r="K14" s="330"/>
    </row>
    <row r="15" spans="1:13" ht="24" customHeight="1">
      <c r="A15" s="26" t="s">
        <v>243</v>
      </c>
      <c r="B15" s="26" t="s">
        <v>302</v>
      </c>
      <c r="C15" s="26" t="s">
        <v>14</v>
      </c>
      <c r="D15" s="33">
        <f>'06_Revenue_Drivers_Hist'!H13</f>
        <v>37300</v>
      </c>
      <c r="E15" s="33">
        <f>'06_Revenue_Drivers_Hist'!I13</f>
        <v>10872</v>
      </c>
      <c r="F15" s="33">
        <f>F8*INDEX('96_Raw_Phase4_Drivers'!$E$4:$G$180,MATCH("tgd_mix_5m_2026",'96_Raw_Phase4_Drivers'!$B$4:$B$180,0),MATCH($D$3,'96_Raw_Phase4_Drivers'!$E$3:$G$3,0))</f>
        <v>17810.775000000001</v>
      </c>
      <c r="G15" s="35">
        <f>(G8*INDEX('96_Raw_Phase4_Drivers'!$E$4:$G$180,MATCH("core_revenue_mix_2026",'96_Raw_Phase4_Drivers'!$B$4:$B$180,0),MATCH($D$3,'96_Raw_Phase4_Drivers'!$E$3:$G$3,0)))*INDEX('96_Raw_Phase4_Drivers'!$E$4:$G$180,MATCH("tgd_mix_5m_2026",'96_Raw_Phase4_Drivers'!$B$4:$B$180,0),MATCH($D$3,'96_Raw_Phase4_Drivers'!$E$3:$G$3,0))/(INDEX('96_Raw_Phase4_Drivers'!$E$4:$G$180,MATCH("tgd_mix_5m_2026",'96_Raw_Phase4_Drivers'!$B$4:$B$180,0),MATCH($D$3,'96_Raw_Phase4_Drivers'!$E$3:$G$3,0))+INDEX('96_Raw_Phase4_Drivers'!$E$4:$G$180,MATCH("dmx_mix_5m_2026",'96_Raw_Phase4_Drivers'!$B$4:$B$180,0),MATCH($D$3,'96_Raw_Phase4_Drivers'!$E$3:$G$3,0)))</f>
        <v>39325.944767441855</v>
      </c>
      <c r="H15" s="35">
        <f t="shared" ref="H15:K19" si="1">H41*H48*12</f>
        <v>40898.982558139527</v>
      </c>
      <c r="I15" s="35">
        <f t="shared" si="1"/>
        <v>42125.95203488371</v>
      </c>
      <c r="J15" s="35">
        <f t="shared" si="1"/>
        <v>43389.730595930232</v>
      </c>
      <c r="K15" s="35">
        <f t="shared" si="1"/>
        <v>44474.473860828482</v>
      </c>
    </row>
    <row r="16" spans="1:13" ht="24" customHeight="1">
      <c r="A16" s="26" t="s">
        <v>243</v>
      </c>
      <c r="B16" s="26" t="s">
        <v>303</v>
      </c>
      <c r="C16" s="26" t="s">
        <v>14</v>
      </c>
      <c r="D16" s="33">
        <f>'06_Revenue_Drivers_Hist'!H14</f>
        <v>68400</v>
      </c>
      <c r="E16" s="33">
        <f>'06_Revenue_Drivers_Hist'!I14</f>
        <v>21512</v>
      </c>
      <c r="F16" s="33">
        <f>F8*INDEX('96_Raw_Phase4_Drivers'!$E$4:$G$180,MATCH("dmx_mix_5m_2026",'96_Raw_Phase4_Drivers'!$B$4:$B$180,0),MATCH($D$3,'96_Raw_Phase4_Drivers'!$E$3:$G$3,0))</f>
        <v>36650.616999999998</v>
      </c>
      <c r="G16" s="35">
        <f>(G8*INDEX('96_Raw_Phase4_Drivers'!$E$4:$G$180,MATCH("core_revenue_mix_2026",'96_Raw_Phase4_Drivers'!$B$4:$B$180,0),MATCH($D$3,'96_Raw_Phase4_Drivers'!$E$3:$G$3,0)))*INDEX('96_Raw_Phase4_Drivers'!$E$4:$G$180,MATCH("dmx_mix_5m_2026",'96_Raw_Phase4_Drivers'!$B$4:$B$180,0),MATCH($D$3,'96_Raw_Phase4_Drivers'!$E$3:$G$3,0))/(INDEX('96_Raw_Phase4_Drivers'!$E$4:$G$180,MATCH("tgd_mix_5m_2026",'96_Raw_Phase4_Drivers'!$B$4:$B$180,0),MATCH($D$3,'96_Raw_Phase4_Drivers'!$E$3:$G$3,0))+INDEX('96_Raw_Phase4_Drivers'!$E$4:$G$180,MATCH("dmx_mix_5m_2026",'96_Raw_Phase4_Drivers'!$B$4:$B$180,0),MATCH($D$3,'96_Raw_Phase4_Drivers'!$E$3:$G$3,0)))</f>
        <v>80924.055232558138</v>
      </c>
      <c r="H16" s="35">
        <f t="shared" si="1"/>
        <v>85693.975616754396</v>
      </c>
      <c r="I16" s="35">
        <f t="shared" si="1"/>
        <v>89978.674397592113</v>
      </c>
      <c r="J16" s="35">
        <f t="shared" si="1"/>
        <v>93577.821373495797</v>
      </c>
      <c r="K16" s="35">
        <f t="shared" si="1"/>
        <v>96385.156014700682</v>
      </c>
    </row>
    <row r="17" spans="1:11" ht="24" customHeight="1">
      <c r="A17" s="26" t="s">
        <v>243</v>
      </c>
      <c r="B17" s="26" t="s">
        <v>246</v>
      </c>
      <c r="C17" s="26" t="s">
        <v>14</v>
      </c>
      <c r="D17" s="33">
        <f>'06_Revenue_Drivers_Hist'!H15</f>
        <v>46900</v>
      </c>
      <c r="E17" s="33">
        <f>'06_Revenue_Drivers_Hist'!I15</f>
        <v>13100</v>
      </c>
      <c r="F17" s="33">
        <f>F8*INDEX('96_Raw_Phase4_Drivers'!$E$4:$G$180,MATCH("bhx_mix_5m_2026",'96_Raw_Phase4_Drivers'!$B$4:$B$180,0),MATCH($D$3,'96_Raw_Phase4_Drivers'!$E$3:$G$3,0))</f>
        <v>23114.428</v>
      </c>
      <c r="G17" s="35">
        <f>G8*INDEX('96_Raw_Phase4_Drivers'!$E$4:$G$180,MATCH("bhx_revenue_mix_2026",'96_Raw_Phase4_Drivers'!$B$4:$B$180,0),MATCH($D$3,'96_Raw_Phase4_Drivers'!$E$3:$G$3,0))</f>
        <v>55500</v>
      </c>
      <c r="H17" s="35">
        <f t="shared" si="1"/>
        <v>73515.274599542332</v>
      </c>
      <c r="I17" s="35">
        <f t="shared" si="1"/>
        <v>88192.611556064076</v>
      </c>
      <c r="J17" s="35">
        <f t="shared" si="1"/>
        <v>101081.65469107551</v>
      </c>
      <c r="K17" s="35">
        <f t="shared" si="1"/>
        <v>112697.20371624714</v>
      </c>
    </row>
    <row r="18" spans="1:11" ht="24" customHeight="1">
      <c r="A18" s="26" t="s">
        <v>243</v>
      </c>
      <c r="B18" s="26" t="s">
        <v>247</v>
      </c>
      <c r="C18" s="26" t="s">
        <v>14</v>
      </c>
      <c r="D18" s="33">
        <f>'06_Revenue_Drivers_Hist'!H16</f>
        <v>2200</v>
      </c>
      <c r="E18" s="33"/>
      <c r="F18" s="33">
        <f>D18/12*F7*(1+INDEX('96_Raw_Phase4_Drivers'!$E$4:$G$180,MATCH("ak_yoy_5m_2026",'96_Raw_Phase4_Drivers'!$B$4:$B$180,0),MATCH($D$3,'96_Raw_Phase4_Drivers'!$E$3:$G$3,0)))</f>
        <v>1109.1666666666667</v>
      </c>
      <c r="G18" s="35">
        <f>D18*(1+INDEX('96_Raw_Phase4_Drivers'!$E$4:$G$180,MATCH("ak_revenue_growth_2026",'96_Raw_Phase4_Drivers'!$B$4:$B$180,0),MATCH($D$3,'96_Raw_Phase4_Drivers'!$E$3:$G$3,0)))</f>
        <v>2860</v>
      </c>
      <c r="H18" s="35">
        <f t="shared" si="1"/>
        <v>3525.2148148148144</v>
      </c>
      <c r="I18" s="35">
        <f t="shared" si="1"/>
        <v>4060.0560000000005</v>
      </c>
      <c r="J18" s="35">
        <f t="shared" si="1"/>
        <v>4513.7511466666674</v>
      </c>
      <c r="K18" s="35">
        <f t="shared" si="1"/>
        <v>4915.0472249185195</v>
      </c>
    </row>
    <row r="19" spans="1:11" ht="24" customHeight="1">
      <c r="A19" s="26" t="s">
        <v>243</v>
      </c>
      <c r="B19" s="26" t="s">
        <v>248</v>
      </c>
      <c r="C19" s="26" t="s">
        <v>14</v>
      </c>
      <c r="D19" s="33">
        <f>'06_Revenue_Drivers_Hist'!H17</f>
        <v>1400</v>
      </c>
      <c r="E19" s="33"/>
      <c r="F19" s="33">
        <f>D19/12*F7*(1+INDEX('96_Raw_Phase4_Drivers'!$E$4:$G$180,MATCH("ava_yoy_5m_2026",'96_Raw_Phase4_Drivers'!$B$4:$B$180,0),MATCH($D$3,'96_Raw_Phase4_Drivers'!$E$3:$G$3,0)))</f>
        <v>700</v>
      </c>
      <c r="G19" s="35">
        <f>D19*(1+INDEX('96_Raw_Phase4_Drivers'!$E$4:$G$180,MATCH("ava_revenue_growth_2026",'96_Raw_Phase4_Drivers'!$B$4:$B$180,0),MATCH($D$3,'96_Raw_Phase4_Drivers'!$E$3:$G$3,0)))</f>
        <v>1680</v>
      </c>
      <c r="H19" s="35">
        <f t="shared" si="1"/>
        <v>1982.0224719101122</v>
      </c>
      <c r="I19" s="35">
        <f t="shared" si="1"/>
        <v>2267.4337078651688</v>
      </c>
      <c r="J19" s="35">
        <f t="shared" si="1"/>
        <v>2572.5066067415733</v>
      </c>
      <c r="K19" s="35">
        <f t="shared" si="1"/>
        <v>2870.4886220224726</v>
      </c>
    </row>
    <row r="20" spans="1:11" ht="24" customHeight="1">
      <c r="A20" s="26" t="s">
        <v>243</v>
      </c>
      <c r="B20" s="26" t="s">
        <v>250</v>
      </c>
      <c r="C20" s="26" t="s">
        <v>14</v>
      </c>
      <c r="D20" s="33">
        <f>'06_Revenue_Drivers_Hist'!H19</f>
        <v>-272</v>
      </c>
      <c r="E20" s="33">
        <f>'06_Revenue_Drivers_Hist'!I19</f>
        <v>978</v>
      </c>
      <c r="F20" s="33">
        <f>F8-SUM(F15:F19)</f>
        <v>-225.9866666666785</v>
      </c>
      <c r="G20" s="35">
        <f>G8-SUM(G15:G19)</f>
        <v>4710</v>
      </c>
      <c r="H20" s="35">
        <f>G20*(1+INDEX('96_Raw_Phase4_Drivers'!$E$4:$G$180,MATCH("other_growth_2027",'96_Raw_Phase4_Drivers'!$B$4:$B$180,0),MATCH($D$3,'96_Raw_Phase4_Drivers'!$E$3:$G$3,0)))</f>
        <v>5086.8</v>
      </c>
      <c r="I20" s="35">
        <f>H20*(1+INDEX('96_Raw_Phase4_Drivers'!$E$4:$G$180,MATCH("other_growth_2028",'96_Raw_Phase4_Drivers'!$B$4:$B$180,0),MATCH($D$3,'96_Raw_Phase4_Drivers'!$E$3:$G$3,0)))</f>
        <v>5392.0080000000007</v>
      </c>
      <c r="J20" s="35">
        <f>I20*(1+INDEX('96_Raw_Phase4_Drivers'!$E$4:$G$180,MATCH("other_growth_2029",'96_Raw_Phase4_Drivers'!$B$4:$B$180,0),MATCH($D$3,'96_Raw_Phase4_Drivers'!$E$3:$G$3,0)))</f>
        <v>5661.608400000001</v>
      </c>
      <c r="K20" s="35">
        <f>J20*(1+INDEX('96_Raw_Phase4_Drivers'!$E$4:$G$180,MATCH("other_growth_2030",'96_Raw_Phase4_Drivers'!$B$4:$B$180,0),MATCH($D$3,'96_Raw_Phase4_Drivers'!$E$3:$G$3,0)))</f>
        <v>5888.072736000001</v>
      </c>
    </row>
    <row r="21" spans="1:11" ht="24" customHeight="1">
      <c r="A21" s="26" t="s">
        <v>243</v>
      </c>
      <c r="B21" s="26" t="s">
        <v>251</v>
      </c>
      <c r="C21" s="26" t="s">
        <v>14</v>
      </c>
      <c r="D21" s="33">
        <f t="shared" ref="D21:K21" si="2">SUM(D15:D20)-D8</f>
        <v>0</v>
      </c>
      <c r="E21" s="33">
        <f t="shared" si="2"/>
        <v>0</v>
      </c>
      <c r="F21" s="33">
        <f t="shared" si="2"/>
        <v>0</v>
      </c>
      <c r="G21" s="35">
        <f t="shared" si="2"/>
        <v>0</v>
      </c>
      <c r="H21" s="35">
        <f t="shared" si="2"/>
        <v>0</v>
      </c>
      <c r="I21" s="35">
        <f t="shared" si="2"/>
        <v>0</v>
      </c>
      <c r="J21" s="35">
        <f t="shared" si="2"/>
        <v>0</v>
      </c>
      <c r="K21" s="35">
        <f t="shared" si="2"/>
        <v>0</v>
      </c>
    </row>
    <row r="22" spans="1:11" ht="24" customHeight="1">
      <c r="A22" s="26"/>
      <c r="B22" s="26"/>
      <c r="C22" s="26"/>
      <c r="D22" s="33"/>
      <c r="E22" s="33"/>
      <c r="F22" s="33"/>
      <c r="G22" s="35"/>
      <c r="H22" s="35"/>
      <c r="I22" s="35"/>
      <c r="J22" s="35"/>
      <c r="K22" s="35"/>
    </row>
    <row r="23" spans="1:11" ht="24" customHeight="1">
      <c r="A23" s="327" t="s">
        <v>304</v>
      </c>
      <c r="B23" s="327"/>
      <c r="C23" s="327"/>
      <c r="D23" s="328"/>
      <c r="E23" s="328"/>
      <c r="F23" s="328"/>
      <c r="G23" s="330"/>
      <c r="H23" s="330"/>
      <c r="I23" s="330"/>
      <c r="J23" s="330"/>
      <c r="K23" s="330"/>
    </row>
    <row r="24" spans="1:11" ht="24" customHeight="1">
      <c r="A24" s="26" t="s">
        <v>304</v>
      </c>
      <c r="B24" s="26" t="s">
        <v>305</v>
      </c>
      <c r="C24" s="26" t="s">
        <v>23</v>
      </c>
      <c r="D24" s="36">
        <f>IFERROR(D15/'06_Revenue_Drivers_Hist'!G13-1,"")</f>
        <v>0.2433333333333334</v>
      </c>
      <c r="E24" s="36"/>
      <c r="F24" s="36">
        <f>IFERROR(F15/(D15/12*F$7)-1,"")</f>
        <v>0.1460016085790885</v>
      </c>
      <c r="G24" s="37">
        <f>IFERROR(G15/D15-1,"")</f>
        <v>5.4314873121765528E-2</v>
      </c>
      <c r="H24" s="37">
        <f t="shared" ref="H24:K29" si="3">IFERROR(H15/G15-1,"")</f>
        <v>4.0000000000000036E-2</v>
      </c>
      <c r="I24" s="37">
        <f t="shared" si="3"/>
        <v>3.0000000000000027E-2</v>
      </c>
      <c r="J24" s="37">
        <f t="shared" si="3"/>
        <v>3.0000000000000249E-2</v>
      </c>
      <c r="K24" s="37">
        <f t="shared" si="3"/>
        <v>2.4999999999999911E-2</v>
      </c>
    </row>
    <row r="25" spans="1:11" ht="24" customHeight="1">
      <c r="A25" s="26" t="s">
        <v>304</v>
      </c>
      <c r="B25" s="26" t="s">
        <v>306</v>
      </c>
      <c r="C25" s="26" t="s">
        <v>23</v>
      </c>
      <c r="D25" s="36">
        <f>IFERROR(D16/'06_Revenue_Drivers_Hist'!G14-1,"")</f>
        <v>0.14957983193277302</v>
      </c>
      <c r="E25" s="36"/>
      <c r="F25" s="36">
        <f>IFERROR(F16/(D16/12*F$7)-1,"")</f>
        <v>0.28598656140350864</v>
      </c>
      <c r="G25" s="37">
        <f>IFERROR(G16/D16-1,"")</f>
        <v>0.18310022269821835</v>
      </c>
      <c r="H25" s="37">
        <f t="shared" si="3"/>
        <v>5.8943170488534591E-2</v>
      </c>
      <c r="I25" s="37">
        <f t="shared" si="3"/>
        <v>5.0000000000000044E-2</v>
      </c>
      <c r="J25" s="37">
        <f t="shared" si="3"/>
        <v>4.0000000000000036E-2</v>
      </c>
      <c r="K25" s="37">
        <f t="shared" si="3"/>
        <v>3.0000000000000027E-2</v>
      </c>
    </row>
    <row r="26" spans="1:11" ht="24" customHeight="1">
      <c r="A26" s="26" t="s">
        <v>304</v>
      </c>
      <c r="B26" s="26" t="s">
        <v>307</v>
      </c>
      <c r="C26" s="26" t="s">
        <v>23</v>
      </c>
      <c r="D26" s="36">
        <f>IFERROR(D17/'06_Revenue_Drivers_Hist'!G15-1,"")</f>
        <v>0.14111922141119226</v>
      </c>
      <c r="E26" s="36"/>
      <c r="F26" s="36">
        <f>IFERROR(F17/(D17/12*F$7)-1,"")</f>
        <v>0.18282787206823015</v>
      </c>
      <c r="G26" s="37">
        <f>IFERROR(G17/D17-1,"")</f>
        <v>0.18336886993603407</v>
      </c>
      <c r="H26" s="37">
        <f t="shared" si="3"/>
        <v>0.32459954233409616</v>
      </c>
      <c r="I26" s="37">
        <f t="shared" si="3"/>
        <v>0.19965016843741901</v>
      </c>
      <c r="J26" s="37">
        <f t="shared" si="3"/>
        <v>0.14614651848491711</v>
      </c>
      <c r="K26" s="37">
        <f t="shared" si="3"/>
        <v>0.11491253344309538</v>
      </c>
    </row>
    <row r="27" spans="1:11" ht="24" customHeight="1">
      <c r="A27" s="26" t="s">
        <v>304</v>
      </c>
      <c r="B27" s="26" t="s">
        <v>308</v>
      </c>
      <c r="C27" s="26" t="s">
        <v>23</v>
      </c>
      <c r="D27" s="36">
        <f>IFERROR(D18/'06_Revenue_Drivers_Hist'!G16-1,"")</f>
        <v>-4.3478260869565188E-2</v>
      </c>
      <c r="E27" s="36"/>
      <c r="F27" s="36">
        <f>IFERROR(F18/(D18/12*F$7)-1,"")</f>
        <v>0.20999999999999996</v>
      </c>
      <c r="G27" s="37">
        <f>IFERROR(G18/D18-1,"")</f>
        <v>0.30000000000000004</v>
      </c>
      <c r="H27" s="37">
        <f t="shared" si="3"/>
        <v>0.23259259259259246</v>
      </c>
      <c r="I27" s="37">
        <f t="shared" si="3"/>
        <v>0.15171875000000035</v>
      </c>
      <c r="J27" s="37">
        <f t="shared" si="3"/>
        <v>0.1117460317460317</v>
      </c>
      <c r="K27" s="37">
        <f t="shared" si="3"/>
        <v>8.8905228758169974E-2</v>
      </c>
    </row>
    <row r="28" spans="1:11" ht="24" customHeight="1">
      <c r="A28" s="26" t="s">
        <v>304</v>
      </c>
      <c r="B28" s="26" t="s">
        <v>309</v>
      </c>
      <c r="C28" s="26" t="s">
        <v>23</v>
      </c>
      <c r="D28" s="36">
        <f>IFERROR(D19/'06_Revenue_Drivers_Hist'!G17-1,"")</f>
        <v>0.16666666666666674</v>
      </c>
      <c r="E28" s="36"/>
      <c r="F28" s="36">
        <f>IFERROR(F19/(D19/12*F$7)-1,"")</f>
        <v>0.19999999999999996</v>
      </c>
      <c r="G28" s="37">
        <f>IFERROR(G19/D19-1,"")</f>
        <v>0.19999999999999996</v>
      </c>
      <c r="H28" s="37">
        <f t="shared" si="3"/>
        <v>0.1797752808988764</v>
      </c>
      <c r="I28" s="37">
        <f t="shared" si="3"/>
        <v>0.14400000000000013</v>
      </c>
      <c r="J28" s="37">
        <f t="shared" si="3"/>
        <v>0.13454545454545452</v>
      </c>
      <c r="K28" s="37">
        <f t="shared" si="3"/>
        <v>0.11583333333333345</v>
      </c>
    </row>
    <row r="29" spans="1:11" ht="24" customHeight="1">
      <c r="A29" s="26" t="s">
        <v>304</v>
      </c>
      <c r="B29" s="26" t="s">
        <v>310</v>
      </c>
      <c r="C29" s="26" t="s">
        <v>23</v>
      </c>
      <c r="D29" s="36"/>
      <c r="E29" s="36"/>
      <c r="F29" s="36"/>
      <c r="G29" s="37"/>
      <c r="H29" s="37">
        <f t="shared" si="3"/>
        <v>8.0000000000000071E-2</v>
      </c>
      <c r="I29" s="37">
        <f t="shared" si="3"/>
        <v>6.0000000000000053E-2</v>
      </c>
      <c r="J29" s="37">
        <f t="shared" si="3"/>
        <v>5.0000000000000044E-2</v>
      </c>
      <c r="K29" s="37">
        <f t="shared" si="3"/>
        <v>4.0000000000000036E-2</v>
      </c>
    </row>
    <row r="30" spans="1:11" ht="24" customHeight="1">
      <c r="A30" s="26"/>
      <c r="B30" s="26"/>
      <c r="C30" s="26"/>
      <c r="D30" s="33"/>
      <c r="E30" s="33"/>
      <c r="F30" s="33"/>
      <c r="G30" s="35"/>
      <c r="H30" s="35"/>
      <c r="I30" s="35"/>
      <c r="J30" s="35"/>
      <c r="K30" s="35"/>
    </row>
    <row r="31" spans="1:11" ht="24" customHeight="1">
      <c r="A31" s="327" t="s">
        <v>259</v>
      </c>
      <c r="B31" s="327"/>
      <c r="C31" s="327"/>
      <c r="D31" s="328"/>
      <c r="E31" s="328"/>
      <c r="F31" s="328"/>
      <c r="G31" s="330"/>
      <c r="H31" s="330"/>
      <c r="I31" s="330"/>
      <c r="J31" s="330"/>
      <c r="K31" s="330"/>
    </row>
    <row r="32" spans="1:11" ht="24" customHeight="1">
      <c r="A32" s="26" t="s">
        <v>259</v>
      </c>
      <c r="B32" s="26" t="s">
        <v>311</v>
      </c>
      <c r="C32" s="26" t="s">
        <v>261</v>
      </c>
      <c r="D32" s="43">
        <f>'06_Revenue_Drivers_Hist'!H29</f>
        <v>1012</v>
      </c>
      <c r="E32" s="43">
        <f>'06_Revenue_Drivers_Hist'!I29</f>
        <v>1014</v>
      </c>
      <c r="F32" s="43">
        <f>IFERROR(INDEX('96_Raw_Phase4_Drivers'!$E$4:$G$180,MATCH("tgd_stores_5m_2026",'96_Raw_Phase4_Drivers'!$B$4:$B$180,0),MATCH($D$3,'96_Raw_Phase4_Drivers'!$E$3:$G$3,0)),"")</f>
        <v>1012</v>
      </c>
      <c r="G32" s="45">
        <f>F32</f>
        <v>1012</v>
      </c>
      <c r="H32" s="45">
        <f>G32+INDEX('96_Raw_Phase4_Drivers'!$E$4:$G$180,MATCH("tgd_store_additions_2027",'96_Raw_Phase4_Drivers'!$B$4:$B$180,0),MATCH($D$3,'96_Raw_Phase4_Drivers'!$E$3:$G$3,0))</f>
        <v>1012</v>
      </c>
      <c r="I32" s="45">
        <f>H32+INDEX('96_Raw_Phase4_Drivers'!$E$4:$G$180,MATCH("tgd_store_additions_2028",'96_Raw_Phase4_Drivers'!$B$4:$B$180,0),MATCH($D$3,'96_Raw_Phase4_Drivers'!$E$3:$G$3,0))</f>
        <v>1012</v>
      </c>
      <c r="J32" s="45">
        <f>I32+INDEX('96_Raw_Phase4_Drivers'!$E$4:$G$180,MATCH("tgd_store_additions_2029",'96_Raw_Phase4_Drivers'!$B$4:$B$180,0),MATCH($D$3,'96_Raw_Phase4_Drivers'!$E$3:$G$3,0))</f>
        <v>1012</v>
      </c>
      <c r="K32" s="45">
        <f>J32+INDEX('96_Raw_Phase4_Drivers'!$E$4:$G$180,MATCH("tgd_store_additions_2030",'96_Raw_Phase4_Drivers'!$B$4:$B$180,0),MATCH($D$3,'96_Raw_Phase4_Drivers'!$E$3:$G$3,0))</f>
        <v>1012</v>
      </c>
    </row>
    <row r="33" spans="1:11" ht="24" customHeight="1">
      <c r="A33" s="26" t="s">
        <v>259</v>
      </c>
      <c r="B33" s="26" t="s">
        <v>312</v>
      </c>
      <c r="C33" s="26" t="s">
        <v>261</v>
      </c>
      <c r="D33" s="43">
        <f>'06_Revenue_Drivers_Hist'!H30</f>
        <v>2008</v>
      </c>
      <c r="E33" s="43">
        <f>'06_Revenue_Drivers_Hist'!I30</f>
        <v>2006</v>
      </c>
      <c r="F33" s="43">
        <f>IFERROR(INDEX('96_Raw_Phase4_Drivers'!$E$4:$G$180,MATCH("dmx_stores_5m_2026",'96_Raw_Phase4_Drivers'!$B$4:$B$180,0),MATCH($D$3,'96_Raw_Phase4_Drivers'!$E$3:$G$3,0)),"")</f>
        <v>2004</v>
      </c>
      <c r="G33" s="45">
        <f>F33</f>
        <v>2004</v>
      </c>
      <c r="H33" s="45">
        <f>G33+INDEX('96_Raw_Phase4_Drivers'!$E$4:$G$180,MATCH("dmx_store_additions_2027",'96_Raw_Phase4_Drivers'!$B$4:$B$180,0),MATCH($D$3,'96_Raw_Phase4_Drivers'!$E$3:$G$3,0))</f>
        <v>2004</v>
      </c>
      <c r="I33" s="45">
        <f>H33+INDEX('96_Raw_Phase4_Drivers'!$E$4:$G$180,MATCH("dmx_store_additions_2028",'96_Raw_Phase4_Drivers'!$B$4:$B$180,0),MATCH($D$3,'96_Raw_Phase4_Drivers'!$E$3:$G$3,0))</f>
        <v>2004</v>
      </c>
      <c r="J33" s="45">
        <f>I33+INDEX('96_Raw_Phase4_Drivers'!$E$4:$G$180,MATCH("dmx_store_additions_2029",'96_Raw_Phase4_Drivers'!$B$4:$B$180,0),MATCH($D$3,'96_Raw_Phase4_Drivers'!$E$3:$G$3,0))</f>
        <v>2004</v>
      </c>
      <c r="K33" s="45">
        <f>J33+INDEX('96_Raw_Phase4_Drivers'!$E$4:$G$180,MATCH("dmx_store_additions_2030",'96_Raw_Phase4_Drivers'!$B$4:$B$180,0),MATCH($D$3,'96_Raw_Phase4_Drivers'!$E$3:$G$3,0))</f>
        <v>2004</v>
      </c>
    </row>
    <row r="34" spans="1:11" ht="24" customHeight="1">
      <c r="A34" s="26" t="s">
        <v>259</v>
      </c>
      <c r="B34" s="26" t="s">
        <v>263</v>
      </c>
      <c r="C34" s="26" t="s">
        <v>261</v>
      </c>
      <c r="D34" s="43">
        <f>'06_Revenue_Drivers_Hist'!H31</f>
        <v>2559</v>
      </c>
      <c r="E34" s="43">
        <f>'06_Revenue_Drivers_Hist'!I31</f>
        <v>2839</v>
      </c>
      <c r="F34" s="43">
        <f>IFERROR(INDEX('96_Raw_Phase4_Drivers'!$E$4:$G$180,MATCH("bhx_stores_5m_2026",'96_Raw_Phase4_Drivers'!$B$4:$B$180,0),MATCH($D$3,'96_Raw_Phase4_Drivers'!$E$3:$G$3,0)),"")</f>
        <v>3051</v>
      </c>
      <c r="G34" s="45">
        <f>MAX(F34,D34+INDEX('96_Raw_Phase4_Drivers'!$E$4:$G$180,MATCH("bhx_new_stores_2026",'96_Raw_Phase4_Drivers'!$B$4:$B$180,0),MATCH($D$3,'96_Raw_Phase4_Drivers'!$E$3:$G$3,0)))</f>
        <v>3559</v>
      </c>
      <c r="H34" s="45">
        <f>G34+INDEX('96_Raw_Phase4_Drivers'!$E$4:$G$180,MATCH("bhx_store_additions_2027",'96_Raw_Phase4_Drivers'!$B$4:$B$180,0),MATCH($D$3,'96_Raw_Phase4_Drivers'!$E$3:$G$3,0))</f>
        <v>4159</v>
      </c>
      <c r="I34" s="45">
        <f>H34+INDEX('96_Raw_Phase4_Drivers'!$E$4:$G$180,MATCH("bhx_store_additions_2028",'96_Raw_Phase4_Drivers'!$B$4:$B$180,0),MATCH($D$3,'96_Raw_Phase4_Drivers'!$E$3:$G$3,0))</f>
        <v>4659</v>
      </c>
      <c r="J34" s="45">
        <f>I34+INDEX('96_Raw_Phase4_Drivers'!$E$4:$G$180,MATCH("bhx_store_additions_2029",'96_Raw_Phase4_Drivers'!$B$4:$B$180,0),MATCH($D$3,'96_Raw_Phase4_Drivers'!$E$3:$G$3,0))</f>
        <v>5059</v>
      </c>
      <c r="K34" s="45">
        <f>J34+INDEX('96_Raw_Phase4_Drivers'!$E$4:$G$180,MATCH("bhx_store_additions_2030",'96_Raw_Phase4_Drivers'!$B$4:$B$180,0),MATCH($D$3,'96_Raw_Phase4_Drivers'!$E$3:$G$3,0))</f>
        <v>5359</v>
      </c>
    </row>
    <row r="35" spans="1:11" ht="24" customHeight="1">
      <c r="A35" s="26" t="s">
        <v>259</v>
      </c>
      <c r="B35" s="26" t="s">
        <v>264</v>
      </c>
      <c r="C35" s="26" t="s">
        <v>261</v>
      </c>
      <c r="D35" s="43">
        <f>'06_Revenue_Drivers_Hist'!H32</f>
        <v>382</v>
      </c>
      <c r="E35" s="43">
        <f>'06_Revenue_Drivers_Hist'!I32</f>
        <v>409</v>
      </c>
      <c r="F35" s="43">
        <f>IFERROR(INDEX('96_Raw_Phase4_Drivers'!$E$4:$G$180,MATCH("ak_stores_5m_2026",'96_Raw_Phase4_Drivers'!$B$4:$B$180,0),MATCH($D$3,'96_Raw_Phase4_Drivers'!$E$3:$G$3,0)),"")</f>
        <v>416</v>
      </c>
      <c r="G35" s="45">
        <f>MAX(F35,D35+INDEX('96_Raw_Phase4_Drivers'!$E$4:$G$180,MATCH("ak_new_stores_2026",'96_Raw_Phase4_Drivers'!$B$4:$B$180,0),MATCH($D$3,'96_Raw_Phase4_Drivers'!$E$3:$G$3,0)))</f>
        <v>482</v>
      </c>
      <c r="H35" s="45">
        <f>G35+INDEX('96_Raw_Phase4_Drivers'!$E$4:$G$180,MATCH("ak_store_additions_2027",'96_Raw_Phase4_Drivers'!$B$4:$B$180,0),MATCH($D$3,'96_Raw_Phase4_Drivers'!$E$3:$G$3,0))</f>
        <v>542</v>
      </c>
      <c r="I35" s="45">
        <f>H35+INDEX('96_Raw_Phase4_Drivers'!$E$4:$G$180,MATCH("ak_store_additions_2028",'96_Raw_Phase4_Drivers'!$B$4:$B$180,0),MATCH($D$3,'96_Raw_Phase4_Drivers'!$E$3:$G$3,0))</f>
        <v>592</v>
      </c>
      <c r="J35" s="45">
        <f>I35+INDEX('96_Raw_Phase4_Drivers'!$E$4:$G$180,MATCH("ak_store_additions_2029",'96_Raw_Phase4_Drivers'!$B$4:$B$180,0),MATCH($D$3,'96_Raw_Phase4_Drivers'!$E$3:$G$3,0))</f>
        <v>632</v>
      </c>
      <c r="K35" s="45">
        <f>J35+INDEX('96_Raw_Phase4_Drivers'!$E$4:$G$180,MATCH("ak_store_additions_2030",'96_Raw_Phase4_Drivers'!$B$4:$B$180,0),MATCH($D$3,'96_Raw_Phase4_Drivers'!$E$3:$G$3,0))</f>
        <v>662</v>
      </c>
    </row>
    <row r="36" spans="1:11" ht="24" customHeight="1">
      <c r="A36" s="26" t="s">
        <v>259</v>
      </c>
      <c r="B36" s="26" t="s">
        <v>265</v>
      </c>
      <c r="C36" s="26" t="s">
        <v>261</v>
      </c>
      <c r="D36" s="43">
        <f>'06_Revenue_Drivers_Hist'!H33</f>
        <v>83</v>
      </c>
      <c r="E36" s="43">
        <f>'06_Revenue_Drivers_Hist'!I33</f>
        <v>95</v>
      </c>
      <c r="F36" s="43">
        <f>IFERROR(INDEX('96_Raw_Phase4_Drivers'!$E$4:$G$180,MATCH("ava_stores_5m_2026",'96_Raw_Phase4_Drivers'!$B$4:$B$180,0),MATCH($D$3,'96_Raw_Phase4_Drivers'!$E$3:$G$3,0)),"")</f>
        <v>95</v>
      </c>
      <c r="G36" s="45">
        <f>MAX(F36,D36)</f>
        <v>95</v>
      </c>
      <c r="H36" s="45">
        <f>G36+INDEX('96_Raw_Phase4_Drivers'!$E$4:$G$180,MATCH("ava_store_additions_2027",'96_Raw_Phase4_Drivers'!$B$4:$B$180,0),MATCH($D$3,'96_Raw_Phase4_Drivers'!$E$3:$G$3,0))</f>
        <v>105</v>
      </c>
      <c r="I36" s="45">
        <f>H36+INDEX('96_Raw_Phase4_Drivers'!$E$4:$G$180,MATCH("ava_store_additions_2028",'96_Raw_Phase4_Drivers'!$B$4:$B$180,0),MATCH($D$3,'96_Raw_Phase4_Drivers'!$E$3:$G$3,0))</f>
        <v>115</v>
      </c>
      <c r="J36" s="45">
        <f>I36+INDEX('96_Raw_Phase4_Drivers'!$E$4:$G$180,MATCH("ava_store_additions_2029",'96_Raw_Phase4_Drivers'!$B$4:$B$180,0),MATCH($D$3,'96_Raw_Phase4_Drivers'!$E$3:$G$3,0))</f>
        <v>125</v>
      </c>
      <c r="K36" s="45">
        <f>J36+INDEX('96_Raw_Phase4_Drivers'!$E$4:$G$180,MATCH("ava_store_additions_2030",'96_Raw_Phase4_Drivers'!$B$4:$B$180,0),MATCH($D$3,'96_Raw_Phase4_Drivers'!$E$3:$G$3,0))</f>
        <v>135</v>
      </c>
    </row>
    <row r="37" spans="1:11" ht="24" customHeight="1">
      <c r="A37" s="26" t="s">
        <v>259</v>
      </c>
      <c r="B37" s="26" t="s">
        <v>313</v>
      </c>
      <c r="C37" s="26" t="s">
        <v>261</v>
      </c>
      <c r="D37" s="43">
        <f>'06_Revenue_Drivers_Hist'!H34</f>
        <v>181</v>
      </c>
      <c r="E37" s="43">
        <f>'06_Revenue_Drivers_Hist'!I34</f>
        <v>212</v>
      </c>
      <c r="F37" s="43">
        <f>IFERROR(INDEX('96_Raw_Phase4_Drivers'!$E$4:$G$180,MATCH("erablue_stores_5m_2026",'96_Raw_Phase4_Drivers'!$B$4:$B$180,0),MATCH($D$3,'96_Raw_Phase4_Drivers'!$E$3:$G$3,0)),"")</f>
        <v>245</v>
      </c>
      <c r="G37" s="45">
        <f>IFERROR(INDEX('96_Raw_Phase4_Drivers'!$E$4:$G$180,MATCH("erablue_target_stores_2026",'96_Raw_Phase4_Drivers'!$B$4:$B$180,0),MATCH($D$3,'96_Raw_Phase4_Drivers'!$E$3:$G$3,0)),"")</f>
        <v>300</v>
      </c>
      <c r="H37" s="45">
        <f>G37+INDEX('96_Raw_Phase4_Drivers'!$E$4:$G$180,MATCH("erablue_store_additions_2027",'96_Raw_Phase4_Drivers'!$B$4:$B$180,0),MATCH($D$3,'96_Raw_Phase4_Drivers'!$E$3:$G$3,0))</f>
        <v>420</v>
      </c>
      <c r="I37" s="45">
        <f>H37+INDEX('96_Raw_Phase4_Drivers'!$E$4:$G$180,MATCH("erablue_store_additions_2028",'96_Raw_Phase4_Drivers'!$B$4:$B$180,0),MATCH($D$3,'96_Raw_Phase4_Drivers'!$E$3:$G$3,0))</f>
        <v>550</v>
      </c>
      <c r="J37" s="45">
        <f>I37+INDEX('96_Raw_Phase4_Drivers'!$E$4:$G$180,MATCH("erablue_store_additions_2029",'96_Raw_Phase4_Drivers'!$B$4:$B$180,0),MATCH($D$3,'96_Raw_Phase4_Drivers'!$E$3:$G$3,0))</f>
        <v>700</v>
      </c>
      <c r="K37" s="45">
        <f>J37+INDEX('96_Raw_Phase4_Drivers'!$E$4:$G$180,MATCH("erablue_store_additions_2030",'96_Raw_Phase4_Drivers'!$B$4:$B$180,0),MATCH($D$3,'96_Raw_Phase4_Drivers'!$E$3:$G$3,0))</f>
        <v>850</v>
      </c>
    </row>
    <row r="38" spans="1:11" ht="24" customHeight="1">
      <c r="A38" s="26" t="s">
        <v>259</v>
      </c>
      <c r="B38" s="26" t="s">
        <v>267</v>
      </c>
      <c r="C38" s="26" t="s">
        <v>261</v>
      </c>
      <c r="D38" s="43">
        <f t="shared" ref="D38:K38" si="4">SUM(D32:D37)</f>
        <v>6225</v>
      </c>
      <c r="E38" s="43">
        <f t="shared" si="4"/>
        <v>6575</v>
      </c>
      <c r="F38" s="43">
        <f t="shared" si="4"/>
        <v>6823</v>
      </c>
      <c r="G38" s="45">
        <f t="shared" si="4"/>
        <v>7452</v>
      </c>
      <c r="H38" s="45">
        <f t="shared" si="4"/>
        <v>8242</v>
      </c>
      <c r="I38" s="45">
        <f t="shared" si="4"/>
        <v>8932</v>
      </c>
      <c r="J38" s="45">
        <f t="shared" si="4"/>
        <v>9532</v>
      </c>
      <c r="K38" s="45">
        <f t="shared" si="4"/>
        <v>10022</v>
      </c>
    </row>
    <row r="39" spans="1:11" ht="24" customHeight="1">
      <c r="A39" s="26"/>
      <c r="B39" s="26"/>
      <c r="C39" s="26"/>
      <c r="D39" s="33"/>
      <c r="E39" s="33"/>
      <c r="F39" s="33"/>
      <c r="G39" s="35"/>
      <c r="H39" s="35"/>
      <c r="I39" s="35"/>
      <c r="J39" s="35"/>
      <c r="K39" s="35"/>
    </row>
    <row r="40" spans="1:11" ht="24" customHeight="1">
      <c r="A40" s="327" t="s">
        <v>314</v>
      </c>
      <c r="B40" s="327"/>
      <c r="C40" s="327"/>
      <c r="D40" s="328"/>
      <c r="E40" s="328"/>
      <c r="F40" s="328"/>
      <c r="G40" s="330"/>
      <c r="H40" s="330"/>
      <c r="I40" s="330"/>
      <c r="J40" s="330"/>
      <c r="K40" s="330"/>
    </row>
    <row r="41" spans="1:11" ht="24" customHeight="1">
      <c r="A41" s="26" t="s">
        <v>314</v>
      </c>
      <c r="B41" s="26" t="s">
        <v>315</v>
      </c>
      <c r="C41" s="26" t="s">
        <v>261</v>
      </c>
      <c r="D41" s="43">
        <f>IFERROR(D15/D48/D7,"")</f>
        <v>1016.4999999999999</v>
      </c>
      <c r="E41" s="43">
        <f>AVERAGE(D32,E32)</f>
        <v>1013</v>
      </c>
      <c r="F41" s="43">
        <f>AVERAGE(D32,F32)</f>
        <v>1012</v>
      </c>
      <c r="G41" s="45">
        <f>AVERAGE(D32,G32)</f>
        <v>1012</v>
      </c>
      <c r="H41" s="45">
        <f t="shared" ref="H41:K45" si="5">AVERAGE(G32,H32)</f>
        <v>1012</v>
      </c>
      <c r="I41" s="45">
        <f t="shared" si="5"/>
        <v>1012</v>
      </c>
      <c r="J41" s="45">
        <f t="shared" si="5"/>
        <v>1012</v>
      </c>
      <c r="K41" s="45">
        <f t="shared" si="5"/>
        <v>1012</v>
      </c>
    </row>
    <row r="42" spans="1:11" ht="24" customHeight="1">
      <c r="A42" s="26" t="s">
        <v>314</v>
      </c>
      <c r="B42" s="26" t="s">
        <v>316</v>
      </c>
      <c r="C42" s="26" t="s">
        <v>261</v>
      </c>
      <c r="D42" s="43">
        <f>IFERROR(D16/D49/D7,"")</f>
        <v>2017</v>
      </c>
      <c r="E42" s="43">
        <f>AVERAGE(D33,E33)</f>
        <v>2007</v>
      </c>
      <c r="F42" s="43">
        <f>AVERAGE(D33,F33)</f>
        <v>2006</v>
      </c>
      <c r="G42" s="45">
        <f>AVERAGE(D33,G33)</f>
        <v>2006</v>
      </c>
      <c r="H42" s="45">
        <f t="shared" si="5"/>
        <v>2004</v>
      </c>
      <c r="I42" s="45">
        <f t="shared" si="5"/>
        <v>2004</v>
      </c>
      <c r="J42" s="45">
        <f t="shared" si="5"/>
        <v>2004</v>
      </c>
      <c r="K42" s="45">
        <f t="shared" si="5"/>
        <v>2004</v>
      </c>
    </row>
    <row r="43" spans="1:11" ht="24" customHeight="1">
      <c r="A43" s="26" t="s">
        <v>314</v>
      </c>
      <c r="B43" s="26" t="s">
        <v>317</v>
      </c>
      <c r="C43" s="26" t="s">
        <v>261</v>
      </c>
      <c r="D43" s="43">
        <f>IFERROR(D17/D50/D7,"")</f>
        <v>2164.5</v>
      </c>
      <c r="E43" s="43">
        <f>AVERAGE(D34,E34)</f>
        <v>2699</v>
      </c>
      <c r="F43" s="43">
        <f>AVERAGE(D34,F34)</f>
        <v>2805</v>
      </c>
      <c r="G43" s="45">
        <f>AVERAGE(D34,G34)</f>
        <v>3059</v>
      </c>
      <c r="H43" s="45">
        <f t="shared" si="5"/>
        <v>3859</v>
      </c>
      <c r="I43" s="45">
        <f t="shared" si="5"/>
        <v>4409</v>
      </c>
      <c r="J43" s="45">
        <f t="shared" si="5"/>
        <v>4859</v>
      </c>
      <c r="K43" s="45">
        <f t="shared" si="5"/>
        <v>5209</v>
      </c>
    </row>
    <row r="44" spans="1:11" ht="24" customHeight="1">
      <c r="A44" s="26" t="s">
        <v>314</v>
      </c>
      <c r="B44" s="26" t="s">
        <v>318</v>
      </c>
      <c r="C44" s="26" t="s">
        <v>261</v>
      </c>
      <c r="D44" s="43">
        <f>IFERROR(D18/D51/D7,"")</f>
        <v>354</v>
      </c>
      <c r="E44" s="43">
        <f>AVERAGE(D35,E35)</f>
        <v>395.5</v>
      </c>
      <c r="F44" s="43">
        <f>AVERAGE(D35,F35)</f>
        <v>399</v>
      </c>
      <c r="G44" s="45">
        <f>AVERAGE(D35,G35)</f>
        <v>432</v>
      </c>
      <c r="H44" s="45">
        <f t="shared" si="5"/>
        <v>512</v>
      </c>
      <c r="I44" s="45">
        <f t="shared" si="5"/>
        <v>567</v>
      </c>
      <c r="J44" s="45">
        <f t="shared" si="5"/>
        <v>612</v>
      </c>
      <c r="K44" s="45">
        <f t="shared" si="5"/>
        <v>647</v>
      </c>
    </row>
    <row r="45" spans="1:11" ht="24" customHeight="1">
      <c r="A45" s="26" t="s">
        <v>314</v>
      </c>
      <c r="B45" s="26" t="s">
        <v>319</v>
      </c>
      <c r="C45" s="26" t="s">
        <v>261</v>
      </c>
      <c r="D45" s="43">
        <f>IFERROR(D19/D52/D7,"")</f>
        <v>72.5</v>
      </c>
      <c r="E45" s="43">
        <f>AVERAGE(D36,E36)</f>
        <v>89</v>
      </c>
      <c r="F45" s="43">
        <f>AVERAGE(D36,F36)</f>
        <v>89</v>
      </c>
      <c r="G45" s="45">
        <f>AVERAGE(D36,G36)</f>
        <v>89</v>
      </c>
      <c r="H45" s="45">
        <f t="shared" si="5"/>
        <v>100</v>
      </c>
      <c r="I45" s="45">
        <f t="shared" si="5"/>
        <v>110</v>
      </c>
      <c r="J45" s="45">
        <f t="shared" si="5"/>
        <v>120</v>
      </c>
      <c r="K45" s="45">
        <f t="shared" si="5"/>
        <v>130</v>
      </c>
    </row>
    <row r="46" spans="1:11" ht="24" customHeight="1">
      <c r="A46" s="26"/>
      <c r="B46" s="26"/>
      <c r="C46" s="26"/>
      <c r="D46" s="33"/>
      <c r="E46" s="33"/>
      <c r="F46" s="33"/>
      <c r="G46" s="35"/>
      <c r="H46" s="35"/>
      <c r="I46" s="35"/>
      <c r="J46" s="35"/>
      <c r="K46" s="35"/>
    </row>
    <row r="47" spans="1:11" ht="24" customHeight="1">
      <c r="A47" s="327" t="s">
        <v>268</v>
      </c>
      <c r="B47" s="327"/>
      <c r="C47" s="327"/>
      <c r="D47" s="328"/>
      <c r="E47" s="328"/>
      <c r="F47" s="328"/>
      <c r="G47" s="330"/>
      <c r="H47" s="330"/>
      <c r="I47" s="330"/>
      <c r="J47" s="330"/>
      <c r="K47" s="330"/>
    </row>
    <row r="48" spans="1:11" ht="24" customHeight="1">
      <c r="A48" s="26" t="s">
        <v>268</v>
      </c>
      <c r="B48" s="26" t="s">
        <v>320</v>
      </c>
      <c r="C48" s="26" t="s">
        <v>270</v>
      </c>
      <c r="D48" s="44">
        <f>'06_Revenue_Drivers_Hist'!H37</f>
        <v>3.0578783407115924</v>
      </c>
      <c r="E48" s="44">
        <f>IF(E15="","",IFERROR(E15/E41/E7,""))</f>
        <v>3.5774925962487658</v>
      </c>
      <c r="F48" s="44">
        <f>IF(F15="","",IFERROR(F15/F41/F7,""))</f>
        <v>3.519916007905139</v>
      </c>
      <c r="G48" s="46">
        <f>IF(G15="","",IFERROR(G15/G41/G7,""))</f>
        <v>3.238302434736648</v>
      </c>
      <c r="H48" s="46">
        <f>G48*(1+INDEX('96_Raw_Phase4_Drivers'!$E$4:$G$180,MATCH("tgd_rpsm_growth_2027",'96_Raw_Phase4_Drivers'!$B$4:$B$180,0),MATCH($D$3,'96_Raw_Phase4_Drivers'!$E$3:$G$3,0)))</f>
        <v>3.3678345321261141</v>
      </c>
      <c r="I48" s="46">
        <f>H48*(1+INDEX('96_Raw_Phase4_Drivers'!$E$4:$G$180,MATCH("tgd_rpsm_growth_2028",'96_Raw_Phase4_Drivers'!$B$4:$B$180,0),MATCH($D$3,'96_Raw_Phase4_Drivers'!$E$3:$G$3,0)))</f>
        <v>3.4688695680898975</v>
      </c>
      <c r="J48" s="46">
        <f>I48*(1+INDEX('96_Raw_Phase4_Drivers'!$E$4:$G$180,MATCH("tgd_rpsm_growth_2029",'96_Raw_Phase4_Drivers'!$B$4:$B$180,0),MATCH($D$3,'96_Raw_Phase4_Drivers'!$E$3:$G$3,0)))</f>
        <v>3.5729356551325946</v>
      </c>
      <c r="K48" s="46">
        <f>J48*(1+INDEX('96_Raw_Phase4_Drivers'!$E$4:$G$180,MATCH("tgd_rpsm_growth_2030",'96_Raw_Phase4_Drivers'!$B$4:$B$180,0),MATCH($D$3,'96_Raw_Phase4_Drivers'!$E$3:$G$3,0)))</f>
        <v>3.6622590465109091</v>
      </c>
    </row>
    <row r="49" spans="1:11" ht="24" customHeight="1">
      <c r="A49" s="26" t="s">
        <v>268</v>
      </c>
      <c r="B49" s="26" t="s">
        <v>321</v>
      </c>
      <c r="C49" s="26" t="s">
        <v>270</v>
      </c>
      <c r="D49" s="44">
        <f>'06_Revenue_Drivers_Hist'!H38</f>
        <v>2.825979176995538</v>
      </c>
      <c r="E49" s="44">
        <f>IF(E16="","",IFERROR(E16/E42/E7,""))</f>
        <v>3.5728284338149812</v>
      </c>
      <c r="F49" s="44">
        <f>IF(F16="","",IFERROR(F16/F42/F7,""))</f>
        <v>3.6540994017946162</v>
      </c>
      <c r="G49" s="46">
        <f>IF(G16="","",IFERROR(G16/G42/G7,""))</f>
        <v>3.3617503835393046</v>
      </c>
      <c r="H49" s="46">
        <f>G49*(1+INDEX('96_Raw_Phase4_Drivers'!$E$4:$G$180,MATCH("dmx_rpsm_growth_2027",'96_Raw_Phase4_Drivers'!$B$4:$B$180,0),MATCH($D$3,'96_Raw_Phase4_Drivers'!$E$3:$G$3,0)))</f>
        <v>3.5634554065516628</v>
      </c>
      <c r="I49" s="46">
        <f>H49*(1+INDEX('96_Raw_Phase4_Drivers'!$E$4:$G$180,MATCH("dmx_rpsm_growth_2028",'96_Raw_Phase4_Drivers'!$B$4:$B$180,0),MATCH($D$3,'96_Raw_Phase4_Drivers'!$E$3:$G$3,0)))</f>
        <v>3.7416281768792463</v>
      </c>
      <c r="J49" s="46">
        <f>I49*(1+INDEX('96_Raw_Phase4_Drivers'!$E$4:$G$180,MATCH("dmx_rpsm_growth_2029",'96_Raw_Phase4_Drivers'!$B$4:$B$180,0),MATCH($D$3,'96_Raw_Phase4_Drivers'!$E$3:$G$3,0)))</f>
        <v>3.8912933039544164</v>
      </c>
      <c r="K49" s="46">
        <f>J49*(1+INDEX('96_Raw_Phase4_Drivers'!$E$4:$G$180,MATCH("dmx_rpsm_growth_2030",'96_Raw_Phase4_Drivers'!$B$4:$B$180,0),MATCH($D$3,'96_Raw_Phase4_Drivers'!$E$3:$G$3,0)))</f>
        <v>4.0080321030730488</v>
      </c>
    </row>
    <row r="50" spans="1:11" ht="24" customHeight="1">
      <c r="A50" s="26" t="s">
        <v>268</v>
      </c>
      <c r="B50" s="26" t="s">
        <v>272</v>
      </c>
      <c r="C50" s="26" t="s">
        <v>270</v>
      </c>
      <c r="D50" s="44">
        <f>'06_Revenue_Drivers_Hist'!H39</f>
        <v>1.8056518056518056</v>
      </c>
      <c r="E50" s="44">
        <f>IF(E17="","",IFERROR(E17/E43/E7,""))</f>
        <v>1.6178831666049154</v>
      </c>
      <c r="F50" s="44">
        <f>IF(F17="","",IFERROR(F17/F43/F7,""))</f>
        <v>1.6480875579322638</v>
      </c>
      <c r="G50" s="46">
        <f>IF(G17="","",IFERROR(G17/G43/G7,""))</f>
        <v>1.5119320039228505</v>
      </c>
      <c r="H50" s="46">
        <f>G50*(1+INDEX('96_Raw_Phase4_Drivers'!$E$4:$G$180,MATCH("bhx_rpsm_growth_2027",'96_Raw_Phase4_Drivers'!$B$4:$B$180,0),MATCH($D$3,'96_Raw_Phase4_Drivers'!$E$3:$G$3,0)))</f>
        <v>1.5875286041189931</v>
      </c>
      <c r="I50" s="46">
        <f>H50*(1+INDEX('96_Raw_Phase4_Drivers'!$E$4:$G$180,MATCH("bhx_rpsm_growth_2028",'96_Raw_Phase4_Drivers'!$B$4:$B$180,0),MATCH($D$3,'96_Raw_Phase4_Drivers'!$E$3:$G$3,0)))</f>
        <v>1.6669050343249427</v>
      </c>
      <c r="J50" s="46">
        <f>I50*(1+INDEX('96_Raw_Phase4_Drivers'!$E$4:$G$180,MATCH("bhx_rpsm_growth_2029",'96_Raw_Phase4_Drivers'!$B$4:$B$180,0),MATCH($D$3,'96_Raw_Phase4_Drivers'!$E$3:$G$3,0)))</f>
        <v>1.7335812356979405</v>
      </c>
      <c r="K50" s="46">
        <f>J50*(1+INDEX('96_Raw_Phase4_Drivers'!$E$4:$G$180,MATCH("bhx_rpsm_growth_2030",'96_Raw_Phase4_Drivers'!$B$4:$B$180,0),MATCH($D$3,'96_Raw_Phase4_Drivers'!$E$3:$G$3,0)))</f>
        <v>1.8029244851258581</v>
      </c>
    </row>
    <row r="51" spans="1:11" ht="24" customHeight="1">
      <c r="A51" s="26" t="s">
        <v>268</v>
      </c>
      <c r="B51" s="26" t="s">
        <v>273</v>
      </c>
      <c r="C51" s="26" t="s">
        <v>270</v>
      </c>
      <c r="D51" s="44">
        <f>'06_Revenue_Drivers_Hist'!H40</f>
        <v>0.51789077212806023</v>
      </c>
      <c r="E51" s="44" t="str">
        <f>IF(E18="","",IFERROR(E18/E44/E7,""))</f>
        <v/>
      </c>
      <c r="F51" s="44">
        <f>IF(F18="","",IFERROR(F18/F44/F7,""))</f>
        <v>0.55597326649958234</v>
      </c>
      <c r="G51" s="46">
        <f>IF(G18="","",IFERROR(G18/G44/G7,""))</f>
        <v>0.55169753086419748</v>
      </c>
      <c r="H51" s="46">
        <f>G51*(1+INDEX('96_Raw_Phase4_Drivers'!$E$4:$G$180,MATCH("ak_rpsm_growth_2027",'96_Raw_Phase4_Drivers'!$B$4:$B$180,0),MATCH($D$3,'96_Raw_Phase4_Drivers'!$E$3:$G$3,0)))</f>
        <v>0.5737654320987654</v>
      </c>
      <c r="I51" s="46">
        <f>H51*(1+INDEX('96_Raw_Phase4_Drivers'!$E$4:$G$180,MATCH("ak_rpsm_growth_2028",'96_Raw_Phase4_Drivers'!$B$4:$B$180,0),MATCH($D$3,'96_Raw_Phase4_Drivers'!$E$3:$G$3,0)))</f>
        <v>0.59671604938271605</v>
      </c>
      <c r="J51" s="46">
        <f>I51*(1+INDEX('96_Raw_Phase4_Drivers'!$E$4:$G$180,MATCH("ak_rpsm_growth_2029",'96_Raw_Phase4_Drivers'!$B$4:$B$180,0),MATCH($D$3,'96_Raw_Phase4_Drivers'!$E$3:$G$3,0)))</f>
        <v>0.61461753086419757</v>
      </c>
      <c r="K51" s="46">
        <f>J51*(1+INDEX('96_Raw_Phase4_Drivers'!$E$4:$G$180,MATCH("ak_rpsm_growth_2030",'96_Raw_Phase4_Drivers'!$B$4:$B$180,0),MATCH($D$3,'96_Raw_Phase4_Drivers'!$E$3:$G$3,0)))</f>
        <v>0.63305605679012356</v>
      </c>
    </row>
    <row r="52" spans="1:11" ht="24" customHeight="1">
      <c r="A52" s="26" t="s">
        <v>268</v>
      </c>
      <c r="B52" s="26" t="s">
        <v>274</v>
      </c>
      <c r="C52" s="26" t="s">
        <v>270</v>
      </c>
      <c r="D52" s="44">
        <f>'06_Revenue_Drivers_Hist'!H41</f>
        <v>1.6091954022988506</v>
      </c>
      <c r="E52" s="44" t="str">
        <f>IF(E19="","",IFERROR(E19/E45/E7,""))</f>
        <v/>
      </c>
      <c r="F52" s="44">
        <f>IF(F19="","",IFERROR(F19/F45/F7,""))</f>
        <v>1.5730337078651684</v>
      </c>
      <c r="G52" s="46">
        <f>IF(G19="","",IFERROR(G19/G45/G7,""))</f>
        <v>1.5730337078651686</v>
      </c>
      <c r="H52" s="46">
        <f>G52*(1+INDEX('96_Raw_Phase4_Drivers'!$E$4:$G$180,MATCH("ava_rpsm_growth_2027",'96_Raw_Phase4_Drivers'!$B$4:$B$180,0),MATCH($D$3,'96_Raw_Phase4_Drivers'!$E$3:$G$3,0)))</f>
        <v>1.651685393258427</v>
      </c>
      <c r="I52" s="46">
        <f>H52*(1+INDEX('96_Raw_Phase4_Drivers'!$E$4:$G$180,MATCH("ava_rpsm_growth_2028",'96_Raw_Phase4_Drivers'!$B$4:$B$180,0),MATCH($D$3,'96_Raw_Phase4_Drivers'!$E$3:$G$3,0)))</f>
        <v>1.7177528089887641</v>
      </c>
      <c r="J52" s="46">
        <f>I52*(1+INDEX('96_Raw_Phase4_Drivers'!$E$4:$G$180,MATCH("ava_rpsm_growth_2029",'96_Raw_Phase4_Drivers'!$B$4:$B$180,0),MATCH($D$3,'96_Raw_Phase4_Drivers'!$E$3:$G$3,0)))</f>
        <v>1.7864629213483147</v>
      </c>
      <c r="K52" s="46">
        <f>J52*(1+INDEX('96_Raw_Phase4_Drivers'!$E$4:$G$180,MATCH("ava_rpsm_growth_2030",'96_Raw_Phase4_Drivers'!$B$4:$B$180,0),MATCH($D$3,'96_Raw_Phase4_Drivers'!$E$3:$G$3,0)))</f>
        <v>1.8400568089887643</v>
      </c>
    </row>
    <row r="53" spans="1:11" ht="24" customHeight="1">
      <c r="A53" s="26"/>
      <c r="B53" s="26"/>
      <c r="C53" s="26"/>
      <c r="D53" s="33"/>
      <c r="E53" s="33"/>
      <c r="F53" s="33"/>
      <c r="G53" s="35"/>
      <c r="H53" s="35"/>
      <c r="I53" s="35"/>
      <c r="J53" s="35"/>
      <c r="K53" s="35"/>
    </row>
    <row r="54" spans="1:11" ht="5.0999999999999996" customHeight="1"/>
    <row r="55" spans="1:11" ht="5.0999999999999996" customHeight="1"/>
    <row r="56" spans="1:11" ht="5.0999999999999996" customHeight="1"/>
    <row r="57" spans="1:11" ht="5.0999999999999996" customHeight="1"/>
    <row r="58" spans="1:11" ht="5.0999999999999996" customHeight="1"/>
    <row r="59" spans="1:11" ht="5.0999999999999996" customHeight="1"/>
    <row r="60" spans="1:11" ht="5.0999999999999996" customHeight="1"/>
    <row r="61" spans="1:11" ht="5.0999999999999996" customHeight="1"/>
    <row r="62" spans="1:11" ht="5.0999999999999996" customHeight="1"/>
    <row r="63" spans="1:11" ht="24" customHeight="1">
      <c r="A63" s="327" t="s">
        <v>134</v>
      </c>
      <c r="B63" s="327"/>
      <c r="C63" s="327"/>
      <c r="D63" s="328"/>
      <c r="E63" s="328"/>
      <c r="F63" s="328"/>
      <c r="G63" s="330"/>
      <c r="H63" s="330"/>
      <c r="I63" s="330"/>
      <c r="J63" s="330"/>
      <c r="K63" s="330"/>
    </row>
    <row r="64" spans="1:11" ht="24" customHeight="1">
      <c r="A64" s="26" t="s">
        <v>134</v>
      </c>
      <c r="B64" s="26" t="s">
        <v>322</v>
      </c>
      <c r="C64" s="26" t="s">
        <v>14</v>
      </c>
      <c r="D64" s="33">
        <f t="shared" ref="D64:K64" si="6">D21</f>
        <v>0</v>
      </c>
      <c r="E64" s="33">
        <f t="shared" si="6"/>
        <v>0</v>
      </c>
      <c r="F64" s="33">
        <f t="shared" si="6"/>
        <v>0</v>
      </c>
      <c r="G64" s="35">
        <f t="shared" si="6"/>
        <v>0</v>
      </c>
      <c r="H64" s="35">
        <f t="shared" si="6"/>
        <v>0</v>
      </c>
      <c r="I64" s="35">
        <f t="shared" si="6"/>
        <v>0</v>
      </c>
      <c r="J64" s="35">
        <f t="shared" si="6"/>
        <v>0</v>
      </c>
      <c r="K64" s="35">
        <f t="shared" si="6"/>
        <v>0</v>
      </c>
    </row>
    <row r="65" spans="1:13" ht="24" customHeight="1">
      <c r="A65" s="26" t="s">
        <v>134</v>
      </c>
      <c r="B65" s="26" t="s">
        <v>323</v>
      </c>
      <c r="C65" s="26" t="s">
        <v>14</v>
      </c>
      <c r="D65" s="33"/>
      <c r="E65" s="33"/>
      <c r="F65" s="33"/>
      <c r="G65" s="35">
        <f>G8-INDEX('96_Raw_Phase4_Drivers'!$E$4:$G$180,MATCH("group_revenue_target_2026",'96_Raw_Phase4_Drivers'!$B$4:$B$180,0),MATCH($D$3,'96_Raw_Phase4_Drivers'!$E$3:$G$3,0))</f>
        <v>0</v>
      </c>
      <c r="H65" s="35"/>
      <c r="I65" s="35"/>
      <c r="J65" s="35"/>
      <c r="K65" s="35"/>
    </row>
    <row r="66" spans="1:13" ht="24" customHeight="1">
      <c r="A66" s="26" t="s">
        <v>134</v>
      </c>
      <c r="B66" s="26" t="s">
        <v>324</v>
      </c>
      <c r="C66" s="26" t="s">
        <v>325</v>
      </c>
      <c r="D66" s="36"/>
      <c r="E66" s="36"/>
      <c r="F66" s="36"/>
      <c r="G66" s="37">
        <f>(G15+G16)/G8-INDEX('96_Raw_Phase4_Drivers'!$E$4:$G$180,MATCH("core_revenue_mix_2026",'96_Raw_Phase4_Drivers'!$B$4:$B$180,0),MATCH($D$3,'96_Raw_Phase4_Drivers'!$E$3:$G$3,0))</f>
        <v>0</v>
      </c>
      <c r="H66" s="37"/>
      <c r="I66" s="37"/>
      <c r="J66" s="37"/>
      <c r="K66" s="37"/>
    </row>
    <row r="67" spans="1:13" ht="24" customHeight="1">
      <c r="A67" s="26" t="s">
        <v>134</v>
      </c>
      <c r="B67" s="26" t="s">
        <v>326</v>
      </c>
      <c r="C67" s="26" t="s">
        <v>325</v>
      </c>
      <c r="D67" s="36"/>
      <c r="E67" s="36"/>
      <c r="F67" s="36"/>
      <c r="G67" s="37">
        <f>G17/G8-INDEX('96_Raw_Phase4_Drivers'!$E$4:$G$180,MATCH("bhx_revenue_mix_2026",'96_Raw_Phase4_Drivers'!$B$4:$B$180,0),MATCH($D$3,'96_Raw_Phase4_Drivers'!$E$3:$G$3,0))</f>
        <v>0</v>
      </c>
      <c r="H67" s="37"/>
      <c r="I67" s="37"/>
      <c r="J67" s="37"/>
      <c r="K67" s="37"/>
    </row>
    <row r="68" spans="1:13" ht="24" customHeight="1">
      <c r="A68" s="26" t="s">
        <v>134</v>
      </c>
      <c r="B68" s="26" t="s">
        <v>327</v>
      </c>
      <c r="C68" s="26" t="s">
        <v>23</v>
      </c>
      <c r="D68" s="36"/>
      <c r="E68" s="36"/>
      <c r="F68" s="36"/>
      <c r="G68" s="37">
        <f>IFERROR(G8/(F8/F7*12)-1,"")</f>
        <v>-2.6221486712397324E-2</v>
      </c>
      <c r="H68" s="37"/>
      <c r="I68" s="37"/>
      <c r="J68" s="37"/>
      <c r="K68" s="37"/>
    </row>
    <row r="69" spans="1:13" ht="24" customHeight="1">
      <c r="A69" s="26" t="s">
        <v>134</v>
      </c>
      <c r="B69" s="26" t="s">
        <v>328</v>
      </c>
      <c r="C69" s="26" t="s">
        <v>329</v>
      </c>
      <c r="D69" s="33"/>
      <c r="E69" s="33"/>
      <c r="F69" s="33"/>
      <c r="G69" s="341" t="str">
        <f>IF(AND(ABS(G64)&lt;0.1,ABS(G65)&lt;0.1,ABS(G66)&lt;0.001,ABS(G67)&lt;0.001),"OK","CHECK")</f>
        <v>OK</v>
      </c>
      <c r="H69" s="35"/>
      <c r="I69" s="35"/>
      <c r="J69" s="35"/>
      <c r="K69" s="35"/>
    </row>
    <row r="70" spans="1:13" ht="5.0999999999999996" customHeight="1"/>
    <row r="71" spans="1:13" ht="5.0999999999999996" customHeight="1"/>
    <row r="72" spans="1:13" ht="45" customHeight="1">
      <c r="A72" s="342" t="s">
        <v>330</v>
      </c>
      <c r="B72" s="342"/>
      <c r="C72" s="342"/>
      <c r="D72" s="342"/>
      <c r="E72" s="342"/>
      <c r="F72" s="342"/>
      <c r="G72" s="342"/>
      <c r="H72" s="342"/>
      <c r="I72" s="342"/>
      <c r="J72" s="342"/>
      <c r="K72" s="342"/>
      <c r="L72" s="342"/>
      <c r="M72" s="342"/>
    </row>
    <row r="73" spans="1:13" ht="30" customHeight="1">
      <c r="A73" s="326" t="s">
        <v>2</v>
      </c>
      <c r="B73" s="326" t="s">
        <v>331</v>
      </c>
      <c r="C73" s="326" t="s">
        <v>4</v>
      </c>
      <c r="D73" s="326" t="s">
        <v>332</v>
      </c>
      <c r="E73" s="326" t="s">
        <v>295</v>
      </c>
      <c r="F73" s="326" t="s">
        <v>296</v>
      </c>
      <c r="G73" s="326" t="s">
        <v>297</v>
      </c>
      <c r="H73" s="326" t="s">
        <v>298</v>
      </c>
      <c r="I73" s="326" t="s">
        <v>333</v>
      </c>
      <c r="J73" s="326" t="s">
        <v>334</v>
      </c>
      <c r="K73" s="326" t="s">
        <v>335</v>
      </c>
      <c r="L73" s="326" t="s">
        <v>336</v>
      </c>
      <c r="M73" s="326"/>
    </row>
    <row r="74" spans="1:13" ht="29.25" customHeight="1">
      <c r="A74" s="26" t="s">
        <v>337</v>
      </c>
      <c r="B74" s="26" t="s">
        <v>338</v>
      </c>
      <c r="C74" s="26" t="s">
        <v>23</v>
      </c>
      <c r="D74" s="75">
        <f>'06_Revenue_Drivers_Hist'!K37</f>
        <v>3.0198272593624287E-2</v>
      </c>
      <c r="E74" s="37">
        <f t="shared" ref="E74:H78" si="7">IFERROR(H48/G48-1,"")</f>
        <v>4.0000000000000036E-2</v>
      </c>
      <c r="F74" s="37">
        <f t="shared" si="7"/>
        <v>3.0000000000000027E-2</v>
      </c>
      <c r="G74" s="37">
        <f t="shared" si="7"/>
        <v>3.0000000000000027E-2</v>
      </c>
      <c r="H74" s="37">
        <f t="shared" si="7"/>
        <v>2.4999999999999911E-2</v>
      </c>
      <c r="I74" s="37">
        <f>IFERROR(AVERAGE(E74:H74),"")</f>
        <v>3.125E-2</v>
      </c>
      <c r="J74" s="37">
        <f>IFERROR(I74-D74,"")</f>
        <v>1.0517274063757132E-3</v>
      </c>
      <c r="K74" s="50">
        <v>0.03</v>
      </c>
      <c r="L74" s="52" t="str">
        <f>IF(COUNT(D74,I74,K74)&lt;3,"NM",IF(ABS(J74)&lt;=K74,"OK","CHECK"))</f>
        <v>OK</v>
      </c>
      <c r="M74" s="26"/>
    </row>
    <row r="75" spans="1:13" ht="29.25" customHeight="1">
      <c r="A75" s="26" t="s">
        <v>337</v>
      </c>
      <c r="B75" s="26" t="s">
        <v>339</v>
      </c>
      <c r="C75" s="26" t="s">
        <v>23</v>
      </c>
      <c r="D75" s="75">
        <f>'06_Revenue_Drivers_Hist'!K38</f>
        <v>1.8774680063993188E-2</v>
      </c>
      <c r="E75" s="37">
        <f t="shared" si="7"/>
        <v>6.0000000000000053E-2</v>
      </c>
      <c r="F75" s="37">
        <f t="shared" si="7"/>
        <v>5.0000000000000044E-2</v>
      </c>
      <c r="G75" s="37">
        <f t="shared" si="7"/>
        <v>4.0000000000000036E-2</v>
      </c>
      <c r="H75" s="37">
        <f t="shared" si="7"/>
        <v>3.0000000000000027E-2</v>
      </c>
      <c r="I75" s="37">
        <f>IFERROR(AVERAGE(E75:H75),"")</f>
        <v>4.500000000000004E-2</v>
      </c>
      <c r="J75" s="37">
        <f>IFERROR(I75-D75,"")</f>
        <v>2.6225319936006852E-2</v>
      </c>
      <c r="K75" s="50">
        <v>0.03</v>
      </c>
      <c r="L75" s="52" t="str">
        <f>IF(COUNT(D75,I75,K75)&lt;3,"NM",IF(ABS(J75)&lt;=K75,"OK","CHECK"))</f>
        <v>OK</v>
      </c>
      <c r="M75" s="26"/>
    </row>
    <row r="76" spans="1:13" ht="29.25" customHeight="1">
      <c r="A76" s="26" t="s">
        <v>337</v>
      </c>
      <c r="B76" s="26" t="s">
        <v>340</v>
      </c>
      <c r="C76" s="26" t="s">
        <v>23</v>
      </c>
      <c r="D76" s="75">
        <f>'06_Revenue_Drivers_Hist'!K39</f>
        <v>0.12786242369709222</v>
      </c>
      <c r="E76" s="37">
        <f t="shared" si="7"/>
        <v>5.0000000000000044E-2</v>
      </c>
      <c r="F76" s="37">
        <f t="shared" si="7"/>
        <v>5.0000000000000044E-2</v>
      </c>
      <c r="G76" s="37">
        <f t="shared" si="7"/>
        <v>4.0000000000000036E-2</v>
      </c>
      <c r="H76" s="37">
        <f t="shared" si="7"/>
        <v>4.0000000000000036E-2</v>
      </c>
      <c r="I76" s="37">
        <f>IFERROR(AVERAGE(E76:H76),"")</f>
        <v>4.500000000000004E-2</v>
      </c>
      <c r="J76" s="37">
        <f>IFERROR(I76-D76,"")</f>
        <v>-8.286242369709218E-2</v>
      </c>
      <c r="K76" s="50">
        <v>0.05</v>
      </c>
      <c r="L76" s="52" t="str">
        <f>IF(COUNT(D76,I76,K76)&lt;3,"NM",IF(ABS(J76)&lt;=K76,"OK","CHECK"))</f>
        <v>CHECK</v>
      </c>
      <c r="M76" s="26"/>
    </row>
    <row r="77" spans="1:13" ht="29.25" customHeight="1">
      <c r="A77" s="26" t="s">
        <v>337</v>
      </c>
      <c r="B77" s="26" t="s">
        <v>341</v>
      </c>
      <c r="C77" s="26" t="s">
        <v>23</v>
      </c>
      <c r="D77" s="75">
        <f>'06_Revenue_Drivers_Hist'!K40</f>
        <v>0.11989151107193052</v>
      </c>
      <c r="E77" s="37">
        <f t="shared" si="7"/>
        <v>4.0000000000000036E-2</v>
      </c>
      <c r="F77" s="37">
        <f t="shared" si="7"/>
        <v>4.0000000000000036E-2</v>
      </c>
      <c r="G77" s="37">
        <f t="shared" si="7"/>
        <v>3.0000000000000027E-2</v>
      </c>
      <c r="H77" s="37">
        <f t="shared" si="7"/>
        <v>3.0000000000000027E-2</v>
      </c>
      <c r="I77" s="37">
        <f>IFERROR(AVERAGE(E77:H77),"")</f>
        <v>3.5000000000000031E-2</v>
      </c>
      <c r="J77" s="37">
        <f>IFERROR(I77-D77,"")</f>
        <v>-8.4891511071930492E-2</v>
      </c>
      <c r="K77" s="50">
        <v>0.05</v>
      </c>
      <c r="L77" s="52" t="str">
        <f>IF(COUNT(D77,I77,K77)&lt;3,"NM",IF(ABS(J77)&lt;=K77,"OK","CHECK"))</f>
        <v>CHECK</v>
      </c>
      <c r="M77" s="26"/>
    </row>
    <row r="78" spans="1:13" ht="29.25" customHeight="1">
      <c r="A78" s="26" t="s">
        <v>337</v>
      </c>
      <c r="B78" s="26" t="s">
        <v>342</v>
      </c>
      <c r="C78" s="26" t="s">
        <v>23</v>
      </c>
      <c r="D78" s="75">
        <f>'06_Revenue_Drivers_Hist'!K41</f>
        <v>9.8640660998463581E-3</v>
      </c>
      <c r="E78" s="37">
        <f t="shared" si="7"/>
        <v>5.0000000000000044E-2</v>
      </c>
      <c r="F78" s="37">
        <f t="shared" si="7"/>
        <v>4.0000000000000036E-2</v>
      </c>
      <c r="G78" s="37">
        <f t="shared" si="7"/>
        <v>4.0000000000000036E-2</v>
      </c>
      <c r="H78" s="37">
        <f t="shared" si="7"/>
        <v>3.0000000000000027E-2</v>
      </c>
      <c r="I78" s="37">
        <f>IFERROR(AVERAGE(E78:H78),"")</f>
        <v>4.0000000000000036E-2</v>
      </c>
      <c r="J78" s="37">
        <f>IFERROR(I78-D78,"")</f>
        <v>3.0135933900153677E-2</v>
      </c>
      <c r="K78" s="50">
        <v>0.05</v>
      </c>
      <c r="L78" s="52" t="str">
        <f>IF(COUNT(D78,I78,K78)&lt;3,"NM",IF(ABS(J78)&lt;=K78,"OK","CHECK"))</f>
        <v>OK</v>
      </c>
      <c r="M78" s="26"/>
    </row>
    <row r="79" spans="1:13" ht="15" customHeight="1">
      <c r="A79" s="26"/>
      <c r="B79" s="26"/>
      <c r="C79" s="26"/>
      <c r="D79" s="49"/>
      <c r="E79" s="49"/>
      <c r="F79" s="49"/>
      <c r="G79" s="49"/>
      <c r="H79" s="49"/>
      <c r="I79" s="49"/>
      <c r="J79" s="49"/>
      <c r="K79" s="47"/>
      <c r="L79" s="52"/>
      <c r="M79" s="26"/>
    </row>
    <row r="80" spans="1:13" ht="30" customHeight="1">
      <c r="A80" s="327" t="s">
        <v>343</v>
      </c>
      <c r="B80" s="327"/>
      <c r="C80" s="327"/>
      <c r="D80" s="343"/>
      <c r="E80" s="343"/>
      <c r="F80" s="343"/>
      <c r="G80" s="343"/>
      <c r="H80" s="343"/>
      <c r="I80" s="343"/>
      <c r="J80" s="343"/>
      <c r="K80" s="344"/>
      <c r="L80" s="345"/>
      <c r="M80" s="327"/>
    </row>
    <row r="81" spans="1:14" ht="30" customHeight="1">
      <c r="A81" s="326" t="s">
        <v>2</v>
      </c>
      <c r="B81" s="326" t="s">
        <v>331</v>
      </c>
      <c r="C81" s="326" t="s">
        <v>4</v>
      </c>
      <c r="D81" s="326" t="s">
        <v>344</v>
      </c>
      <c r="E81" s="326" t="s">
        <v>345</v>
      </c>
      <c r="F81" s="326" t="s">
        <v>346</v>
      </c>
      <c r="G81" s="326" t="s">
        <v>347</v>
      </c>
      <c r="H81" s="326" t="s">
        <v>348</v>
      </c>
      <c r="I81" s="326" t="s">
        <v>349</v>
      </c>
      <c r="J81" s="326" t="s">
        <v>334</v>
      </c>
      <c r="K81" s="326" t="s">
        <v>335</v>
      </c>
      <c r="L81" s="326" t="s">
        <v>336</v>
      </c>
      <c r="M81" s="326"/>
    </row>
    <row r="82" spans="1:14" ht="29.25" customHeight="1">
      <c r="A82" s="26" t="s">
        <v>343</v>
      </c>
      <c r="B82" s="26" t="s">
        <v>350</v>
      </c>
      <c r="C82" s="26" t="s">
        <v>261</v>
      </c>
      <c r="D82" s="76">
        <f>IFERROR(AVERAGE('06_Revenue_Drivers_Hist'!E29-'06_Revenue_Drivers_Hist'!D29,'06_Revenue_Drivers_Hist'!F29-'06_Revenue_Drivers_Hist'!E29,'06_Revenue_Drivers_Hist'!G29-'06_Revenue_Drivers_Hist'!F29,'06_Revenue_Drivers_Hist'!H29-'06_Revenue_Drivers_Hist'!G29),"")</f>
        <v>10.5</v>
      </c>
      <c r="E82" s="45">
        <f t="shared" ref="E82:H87" si="8">IFERROR(H32-G32,"")</f>
        <v>0</v>
      </c>
      <c r="F82" s="45">
        <f t="shared" si="8"/>
        <v>0</v>
      </c>
      <c r="G82" s="45">
        <f t="shared" si="8"/>
        <v>0</v>
      </c>
      <c r="H82" s="45">
        <f t="shared" si="8"/>
        <v>0</v>
      </c>
      <c r="I82" s="45">
        <f t="shared" ref="I82:I87" si="9">IFERROR(AVERAGE(E82:H82),"")</f>
        <v>0</v>
      </c>
      <c r="J82" s="45">
        <f t="shared" ref="J82:J87" si="10">IFERROR(I82-D82,"")</f>
        <v>-10.5</v>
      </c>
      <c r="K82" s="51">
        <v>50</v>
      </c>
      <c r="L82" s="52" t="str">
        <f t="shared" ref="L82:L87" si="11">IF(COUNT(D82,I82,K82)&lt;3,"NM",IF(ABS(J82)&lt;=K82,"OK","CHECK"))</f>
        <v>OK</v>
      </c>
      <c r="M82" s="26"/>
    </row>
    <row r="83" spans="1:14" ht="29.25" customHeight="1">
      <c r="A83" s="26" t="s">
        <v>343</v>
      </c>
      <c r="B83" s="26" t="s">
        <v>351</v>
      </c>
      <c r="C83" s="26" t="s">
        <v>261</v>
      </c>
      <c r="D83" s="76">
        <f>IFERROR(AVERAGE('06_Revenue_Drivers_Hist'!E30-'06_Revenue_Drivers_Hist'!D30,'06_Revenue_Drivers_Hist'!F30-'06_Revenue_Drivers_Hist'!E30,'06_Revenue_Drivers_Hist'!G30-'06_Revenue_Drivers_Hist'!F30,'06_Revenue_Drivers_Hist'!H30-'06_Revenue_Drivers_Hist'!G30),"")</f>
        <v>4</v>
      </c>
      <c r="E83" s="45">
        <f t="shared" si="8"/>
        <v>0</v>
      </c>
      <c r="F83" s="45">
        <f t="shared" si="8"/>
        <v>0</v>
      </c>
      <c r="G83" s="45">
        <f t="shared" si="8"/>
        <v>0</v>
      </c>
      <c r="H83" s="45">
        <f t="shared" si="8"/>
        <v>0</v>
      </c>
      <c r="I83" s="45">
        <f t="shared" si="9"/>
        <v>0</v>
      </c>
      <c r="J83" s="45">
        <f t="shared" si="10"/>
        <v>-4</v>
      </c>
      <c r="K83" s="51">
        <v>50</v>
      </c>
      <c r="L83" s="52" t="str">
        <f t="shared" si="11"/>
        <v>OK</v>
      </c>
      <c r="M83" s="26"/>
    </row>
    <row r="84" spans="1:14" ht="29.25" customHeight="1">
      <c r="A84" s="26" t="s">
        <v>343</v>
      </c>
      <c r="B84" s="26" t="s">
        <v>352</v>
      </c>
      <c r="C84" s="26" t="s">
        <v>261</v>
      </c>
      <c r="D84" s="76">
        <f>IFERROR(AVERAGE('06_Revenue_Drivers_Hist'!E31-'06_Revenue_Drivers_Hist'!D31,'06_Revenue_Drivers_Hist'!F31-'06_Revenue_Drivers_Hist'!E31,'06_Revenue_Drivers_Hist'!G31-'06_Revenue_Drivers_Hist'!F31,'06_Revenue_Drivers_Hist'!H31-'06_Revenue_Drivers_Hist'!G31),"")</f>
        <v>113.25</v>
      </c>
      <c r="E84" s="45">
        <f t="shared" si="8"/>
        <v>600</v>
      </c>
      <c r="F84" s="45">
        <f t="shared" si="8"/>
        <v>500</v>
      </c>
      <c r="G84" s="45">
        <f t="shared" si="8"/>
        <v>400</v>
      </c>
      <c r="H84" s="45">
        <f t="shared" si="8"/>
        <v>300</v>
      </c>
      <c r="I84" s="45">
        <f t="shared" si="9"/>
        <v>450</v>
      </c>
      <c r="J84" s="45">
        <f t="shared" si="10"/>
        <v>336.75</v>
      </c>
      <c r="K84" s="51">
        <v>250</v>
      </c>
      <c r="L84" s="52" t="str">
        <f t="shared" si="11"/>
        <v>CHECK</v>
      </c>
      <c r="M84" s="26"/>
    </row>
    <row r="85" spans="1:14" ht="29.25" customHeight="1">
      <c r="A85" s="26" t="s">
        <v>343</v>
      </c>
      <c r="B85" s="26" t="s">
        <v>353</v>
      </c>
      <c r="C85" s="26" t="s">
        <v>261</v>
      </c>
      <c r="D85" s="76">
        <f>IFERROR(AVERAGE('06_Revenue_Drivers_Hist'!E32-'06_Revenue_Drivers_Hist'!D32,'06_Revenue_Drivers_Hist'!F32-'06_Revenue_Drivers_Hist'!E32,'06_Revenue_Drivers_Hist'!G32-'06_Revenue_Drivers_Hist'!F32,'06_Revenue_Drivers_Hist'!H32-'06_Revenue_Drivers_Hist'!G32),"")</f>
        <v>51</v>
      </c>
      <c r="E85" s="45">
        <f t="shared" si="8"/>
        <v>60</v>
      </c>
      <c r="F85" s="45">
        <f t="shared" si="8"/>
        <v>50</v>
      </c>
      <c r="G85" s="45">
        <f t="shared" si="8"/>
        <v>40</v>
      </c>
      <c r="H85" s="45">
        <f t="shared" si="8"/>
        <v>30</v>
      </c>
      <c r="I85" s="45">
        <f t="shared" si="9"/>
        <v>45</v>
      </c>
      <c r="J85" s="45">
        <f t="shared" si="10"/>
        <v>-6</v>
      </c>
      <c r="K85" s="51">
        <v>75</v>
      </c>
      <c r="L85" s="52" t="str">
        <f t="shared" si="11"/>
        <v>OK</v>
      </c>
      <c r="M85" s="26"/>
    </row>
    <row r="86" spans="1:14" ht="29.25" customHeight="1">
      <c r="A86" s="26" t="s">
        <v>343</v>
      </c>
      <c r="B86" s="26" t="s">
        <v>354</v>
      </c>
      <c r="C86" s="26" t="s">
        <v>261</v>
      </c>
      <c r="D86" s="76">
        <f>IFERROR(AVERAGE('06_Revenue_Drivers_Hist'!E33-'06_Revenue_Drivers_Hist'!D33,'06_Revenue_Drivers_Hist'!F33-'06_Revenue_Drivers_Hist'!E33,'06_Revenue_Drivers_Hist'!G33-'06_Revenue_Drivers_Hist'!F33,'06_Revenue_Drivers_Hist'!H33-'06_Revenue_Drivers_Hist'!G33),"")</f>
        <v>20.75</v>
      </c>
      <c r="E86" s="45">
        <f t="shared" si="8"/>
        <v>10</v>
      </c>
      <c r="F86" s="45">
        <f t="shared" si="8"/>
        <v>10</v>
      </c>
      <c r="G86" s="45">
        <f t="shared" si="8"/>
        <v>10</v>
      </c>
      <c r="H86" s="45">
        <f t="shared" si="8"/>
        <v>10</v>
      </c>
      <c r="I86" s="45">
        <f t="shared" si="9"/>
        <v>10</v>
      </c>
      <c r="J86" s="45">
        <f t="shared" si="10"/>
        <v>-10.75</v>
      </c>
      <c r="K86" s="51">
        <v>30</v>
      </c>
      <c r="L86" s="52" t="str">
        <f t="shared" si="11"/>
        <v>OK</v>
      </c>
      <c r="M86" s="26"/>
    </row>
    <row r="87" spans="1:14" ht="29.25" customHeight="1">
      <c r="A87" s="26" t="s">
        <v>343</v>
      </c>
      <c r="B87" s="26" t="s">
        <v>355</v>
      </c>
      <c r="C87" s="26" t="s">
        <v>261</v>
      </c>
      <c r="D87" s="76">
        <f>IFERROR(AVERAGE('06_Revenue_Drivers_Hist'!E34-'06_Revenue_Drivers_Hist'!D34,'06_Revenue_Drivers_Hist'!F34-'06_Revenue_Drivers_Hist'!E34,'06_Revenue_Drivers_Hist'!G34-'06_Revenue_Drivers_Hist'!F34,'06_Revenue_Drivers_Hist'!H34-'06_Revenue_Drivers_Hist'!G34),"")</f>
        <v>45.25</v>
      </c>
      <c r="E87" s="45">
        <f t="shared" si="8"/>
        <v>120</v>
      </c>
      <c r="F87" s="45">
        <f t="shared" si="8"/>
        <v>130</v>
      </c>
      <c r="G87" s="45">
        <f t="shared" si="8"/>
        <v>150</v>
      </c>
      <c r="H87" s="45">
        <f t="shared" si="8"/>
        <v>150</v>
      </c>
      <c r="I87" s="45">
        <f t="shared" si="9"/>
        <v>137.5</v>
      </c>
      <c r="J87" s="45">
        <f t="shared" si="10"/>
        <v>92.25</v>
      </c>
      <c r="K87" s="51">
        <v>100</v>
      </c>
      <c r="L87" s="52" t="str">
        <f t="shared" si="11"/>
        <v>OK</v>
      </c>
      <c r="M87" s="26"/>
    </row>
    <row r="88" spans="1:14" ht="15" customHeight="1">
      <c r="A88" s="26"/>
      <c r="B88" s="26"/>
      <c r="C88" s="26"/>
      <c r="D88" s="49"/>
      <c r="E88" s="49"/>
      <c r="F88" s="49"/>
      <c r="G88" s="49"/>
      <c r="H88" s="49"/>
      <c r="I88" s="49"/>
      <c r="J88" s="49"/>
      <c r="K88" s="26"/>
      <c r="L88" s="52"/>
      <c r="M88" s="26"/>
    </row>
    <row r="89" spans="1:14" ht="90" customHeight="1">
      <c r="A89" s="346" t="s">
        <v>356</v>
      </c>
      <c r="B89" s="346" t="s">
        <v>357</v>
      </c>
      <c r="C89" s="346" t="s">
        <v>358</v>
      </c>
      <c r="D89" s="347">
        <f>COUNTIF(L74:L78,"CHECK")+COUNTIF(L82:L87,"CHECK")</f>
        <v>3</v>
      </c>
      <c r="E89" s="348"/>
      <c r="F89" s="348"/>
      <c r="G89" s="348"/>
      <c r="H89" s="348"/>
      <c r="I89" s="348"/>
      <c r="J89" s="348"/>
      <c r="K89" s="346"/>
      <c r="L89" s="349" t="str">
        <f>IF(D89=0,"OK","REVIEW")</f>
        <v>REVIEW</v>
      </c>
      <c r="M89" s="346"/>
      <c r="N89" s="346"/>
    </row>
    <row r="106" ht="24" customHeight="1"/>
    <row r="107" ht="24" customHeight="1"/>
    <row r="108" ht="24" customHeight="1"/>
    <row r="109" ht="24" customHeight="1"/>
    <row r="110" ht="24" customHeight="1"/>
    <row r="111" ht="24" customHeight="1"/>
    <row r="112" ht="24" customHeight="1"/>
    <row r="113" ht="24" customHeight="1"/>
    <row r="114" ht="24" customHeight="1"/>
    <row r="115" ht="24" customHeight="1"/>
    <row r="116" ht="24" customHeight="1"/>
    <row r="117" ht="24" customHeight="1"/>
    <row r="118" ht="24" customHeight="1"/>
    <row r="119" ht="24" customHeight="1"/>
    <row r="120" ht="24" customHeight="1"/>
    <row r="121" ht="24" customHeight="1"/>
    <row r="122" ht="24" customHeight="1"/>
    <row r="123" ht="24" customHeight="1"/>
  </sheetData>
  <mergeCells count="3">
    <mergeCell ref="B3:C3"/>
    <mergeCell ref="A2:M2"/>
    <mergeCell ref="A1:M1"/>
  </mergeCells>
  <dataValidations count="1">
    <dataValidation type="list" sqref="D3" xr:uid="{00000000-0002-0000-0400-000000000000}">
      <formula1>"Base,Bull,Bear"</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90"/>
  <sheetViews>
    <sheetView showGridLines="0" topLeftCell="A15" workbookViewId="0">
      <selection sqref="A1:O1"/>
    </sheetView>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359</v>
      </c>
      <c r="B1" s="467"/>
      <c r="C1" s="467"/>
      <c r="D1" s="467"/>
      <c r="E1" s="467"/>
      <c r="F1" s="467"/>
      <c r="G1" s="467"/>
      <c r="H1" s="467"/>
      <c r="I1" s="467"/>
      <c r="J1" s="467"/>
      <c r="K1" s="467"/>
      <c r="L1" s="467"/>
      <c r="M1" s="467"/>
      <c r="N1" s="467"/>
      <c r="O1" s="468"/>
    </row>
    <row r="2" spans="1:15" ht="14.4">
      <c r="A2" s="469" t="s">
        <v>360</v>
      </c>
      <c r="B2" s="470"/>
      <c r="C2" s="470"/>
      <c r="D2" s="470"/>
      <c r="E2" s="470"/>
      <c r="F2" s="470"/>
      <c r="G2" s="470"/>
      <c r="H2" s="470"/>
      <c r="I2" s="470"/>
      <c r="J2" s="470"/>
      <c r="K2" s="470"/>
      <c r="L2" s="470"/>
      <c r="M2" s="470"/>
      <c r="N2" s="470"/>
      <c r="O2" s="465"/>
    </row>
    <row r="3" spans="1:15" ht="28.5" customHeight="1">
      <c r="A3" s="25"/>
      <c r="B3" s="26"/>
      <c r="C3" s="26"/>
      <c r="D3" s="26"/>
      <c r="E3" s="77"/>
      <c r="F3" s="26"/>
      <c r="G3" s="26"/>
      <c r="H3" s="26"/>
      <c r="I3" s="26"/>
      <c r="J3" s="26"/>
      <c r="K3" s="26"/>
      <c r="L3" s="26"/>
      <c r="M3" s="26"/>
      <c r="N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row>
    <row r="5" spans="1:15" ht="45" customHeight="1">
      <c r="A5" s="352" t="s">
        <v>361</v>
      </c>
      <c r="B5" s="327"/>
      <c r="C5" s="327"/>
      <c r="D5" s="353"/>
      <c r="E5" s="353"/>
      <c r="F5" s="353"/>
      <c r="G5" s="353"/>
      <c r="H5" s="353"/>
      <c r="I5" s="353"/>
      <c r="J5" s="353"/>
      <c r="K5" s="353"/>
      <c r="L5" s="353"/>
      <c r="M5" s="353"/>
    </row>
    <row r="6" spans="1:15">
      <c r="A6" s="25" t="s">
        <v>17</v>
      </c>
      <c r="B6" s="26" t="s">
        <v>17</v>
      </c>
      <c r="C6" s="26" t="s">
        <v>14</v>
      </c>
      <c r="D6" s="43">
        <f>'03_Historical_FS'!D7</f>
        <v>122958.106103174</v>
      </c>
      <c r="E6" s="43">
        <f>'03_Historical_FS'!E7</f>
        <v>133404.77759099999</v>
      </c>
      <c r="F6" s="43">
        <f>'03_Historical_FS'!F7</f>
        <v>118279.788455</v>
      </c>
      <c r="G6" s="43">
        <f>'03_Historical_FS'!G7</f>
        <v>134341.15284900001</v>
      </c>
      <c r="H6" s="43">
        <f>'03_Historical_FS'!H7</f>
        <v>155928.14561899999</v>
      </c>
      <c r="I6" s="48">
        <f>'07_Revenue_Drivers'!G8</f>
        <v>185000</v>
      </c>
      <c r="J6" s="48">
        <f>'07_Revenue_Drivers'!H8</f>
        <v>210702.27006116117</v>
      </c>
      <c r="K6" s="48">
        <f>'07_Revenue_Drivers'!I8</f>
        <v>232016.73569640506</v>
      </c>
      <c r="L6" s="48">
        <f>'07_Revenue_Drivers'!J8</f>
        <v>250797.07281390979</v>
      </c>
      <c r="M6" s="48">
        <f>'07_Revenue_Drivers'!K8</f>
        <v>267230.44217471726</v>
      </c>
    </row>
    <row r="7" spans="1:15">
      <c r="A7" s="25" t="s">
        <v>17</v>
      </c>
      <c r="B7" s="26" t="s">
        <v>362</v>
      </c>
      <c r="C7" s="26" t="s">
        <v>23</v>
      </c>
      <c r="D7" s="36"/>
      <c r="E7" s="36">
        <f t="shared" ref="E7:M7" si="0">IFERROR(E6/D6-1,"")</f>
        <v>8.4961226379497212E-2</v>
      </c>
      <c r="F7" s="36">
        <f t="shared" si="0"/>
        <v>-0.11337666768105603</v>
      </c>
      <c r="G7" s="36">
        <f t="shared" si="0"/>
        <v>0.13579128440959809</v>
      </c>
      <c r="H7" s="36">
        <f t="shared" si="0"/>
        <v>0.16068786304271065</v>
      </c>
      <c r="I7" s="34">
        <f t="shared" si="0"/>
        <v>0.18644391790584836</v>
      </c>
      <c r="J7" s="34">
        <f t="shared" si="0"/>
        <v>0.13893118951979</v>
      </c>
      <c r="K7" s="34">
        <f t="shared" si="0"/>
        <v>0.10115916467846731</v>
      </c>
      <c r="L7" s="34">
        <f t="shared" si="0"/>
        <v>8.0943889935934932E-2</v>
      </c>
      <c r="M7" s="34">
        <f t="shared" si="0"/>
        <v>6.5524566042287624E-2</v>
      </c>
    </row>
    <row r="8" spans="1:15">
      <c r="A8" s="25" t="s">
        <v>363</v>
      </c>
      <c r="B8" s="26" t="s">
        <v>22</v>
      </c>
      <c r="C8" s="26" t="s">
        <v>23</v>
      </c>
      <c r="D8" s="36">
        <f>'03_Historical_FS'!D10</f>
        <v>0.22472802217974891</v>
      </c>
      <c r="E8" s="36">
        <f>'03_Historical_FS'!E10</f>
        <v>0.23134135863273664</v>
      </c>
      <c r="F8" s="36">
        <f>'03_Historical_FS'!F10</f>
        <v>0.19040119582702883</v>
      </c>
      <c r="G8" s="36">
        <f>'03_Historical_FS'!G10</f>
        <v>0.20469684451725095</v>
      </c>
      <c r="H8" s="36">
        <f>'03_Historical_FS'!H10</f>
        <v>0.19882156153996097</v>
      </c>
      <c r="I8" s="50">
        <v>0.20499999999999999</v>
      </c>
      <c r="J8" s="50">
        <v>0.20799999999999999</v>
      </c>
      <c r="K8" s="50">
        <v>0.21</v>
      </c>
      <c r="L8" s="50">
        <v>0.21099999999999999</v>
      </c>
      <c r="M8" s="50">
        <v>0.21199999999999999</v>
      </c>
    </row>
    <row r="9" spans="1:15">
      <c r="A9" s="25" t="s">
        <v>364</v>
      </c>
      <c r="B9" s="26" t="s">
        <v>365</v>
      </c>
      <c r="C9" s="26" t="s">
        <v>23</v>
      </c>
      <c r="D9" s="36">
        <f>IFERROR('03_Historical_FS'!D14/'03_Historical_FS'!D7,"")</f>
        <v>0.14569330864053193</v>
      </c>
      <c r="E9" s="36">
        <f>IFERROR('03_Historical_FS'!E14/'03_Historical_FS'!E7,"")</f>
        <v>0.16743656765038475</v>
      </c>
      <c r="F9" s="36">
        <f>IFERROR('03_Historical_FS'!F14/'03_Historical_FS'!F7,"")</f>
        <v>0.17684095506273112</v>
      </c>
      <c r="G9" s="36">
        <f>IFERROR('03_Historical_FS'!G14/'03_Historical_FS'!G7,"")</f>
        <v>0.14775693962006783</v>
      </c>
      <c r="H9" s="36">
        <f>IFERROR('03_Historical_FS'!H14/'03_Historical_FS'!H7,"")</f>
        <v>0.12397315096809892</v>
      </c>
      <c r="I9" s="50">
        <v>0.122</v>
      </c>
      <c r="J9" s="50">
        <v>0.12</v>
      </c>
      <c r="K9" s="50">
        <v>0.11799999999999999</v>
      </c>
      <c r="L9" s="50">
        <v>0.11600000000000001</v>
      </c>
      <c r="M9" s="50">
        <v>0.115</v>
      </c>
    </row>
    <row r="10" spans="1:15">
      <c r="A10" s="25" t="s">
        <v>364</v>
      </c>
      <c r="B10" s="26" t="s">
        <v>366</v>
      </c>
      <c r="C10" s="26" t="s">
        <v>23</v>
      </c>
      <c r="D10" s="36">
        <f>IFERROR('03_Historical_FS'!D15/'03_Historical_FS'!D7,"")</f>
        <v>3.1095063155549892E-2</v>
      </c>
      <c r="E10" s="36">
        <f>IFERROR('03_Historical_FS'!E15/'03_Historical_FS'!E7,"")</f>
        <v>1.4100151538552555E-2</v>
      </c>
      <c r="F10" s="36">
        <f>IFERROR('03_Historical_FS'!F15/'03_Historical_FS'!F7,"")</f>
        <v>9.8719458180654227E-3</v>
      </c>
      <c r="G10" s="36">
        <f>IFERROR('03_Historical_FS'!G15/'03_Historical_FS'!G7,"")</f>
        <v>2.6542630514775595E-2</v>
      </c>
      <c r="H10" s="36">
        <f>IFERROR('03_Historical_FS'!H15/'03_Historical_FS'!H7,"")</f>
        <v>2.9475592714545588E-2</v>
      </c>
      <c r="I10" s="50">
        <v>2.8000000000000001E-2</v>
      </c>
      <c r="J10" s="50">
        <v>2.7E-2</v>
      </c>
      <c r="K10" s="50">
        <v>2.5999999999999999E-2</v>
      </c>
      <c r="L10" s="50">
        <v>2.5000000000000001E-2</v>
      </c>
      <c r="M10" s="50">
        <v>2.5000000000000001E-2</v>
      </c>
    </row>
    <row r="11" spans="1:15">
      <c r="A11" s="25" t="s">
        <v>367</v>
      </c>
      <c r="B11" s="26" t="s">
        <v>368</v>
      </c>
      <c r="C11" s="26" t="s">
        <v>23</v>
      </c>
      <c r="D11" s="36">
        <f>IFERROR('03_Historical_FS'!D11/'03_Historical_FS'!D7,"")</f>
        <v>1.0474754914346823E-2</v>
      </c>
      <c r="E11" s="36">
        <f>IFERROR('03_Historical_FS'!E11/'03_Historical_FS'!E7,"")</f>
        <v>9.843255449410452E-3</v>
      </c>
      <c r="F11" s="36">
        <f>IFERROR('03_Historical_FS'!F11/'03_Historical_FS'!F7,"")</f>
        <v>1.8320659373046052E-2</v>
      </c>
      <c r="G11" s="36">
        <f>IFERROR('03_Historical_FS'!G11/'03_Historical_FS'!G7,"")</f>
        <v>1.7690056655023635E-2</v>
      </c>
      <c r="H11" s="36">
        <f>IFERROR('03_Historical_FS'!H11/'03_Historical_FS'!H7,"")</f>
        <v>1.9928081114955341E-2</v>
      </c>
      <c r="I11" s="50">
        <v>1.7000000000000001E-2</v>
      </c>
      <c r="J11" s="50">
        <v>1.6E-2</v>
      </c>
      <c r="K11" s="50">
        <v>1.4999999999999999E-2</v>
      </c>
      <c r="L11" s="50">
        <v>1.4E-2</v>
      </c>
      <c r="M11" s="50">
        <v>1.2999999999999999E-2</v>
      </c>
    </row>
    <row r="12" spans="1:15">
      <c r="A12" s="25" t="s">
        <v>367</v>
      </c>
      <c r="B12" s="26" t="s">
        <v>369</v>
      </c>
      <c r="C12" s="26" t="s">
        <v>23</v>
      </c>
      <c r="D12" s="36">
        <f>IFERROR('03_Historical_FS'!D13/'03_Historical_FS'!D50,"")</f>
        <v>2.7362955674913828E-2</v>
      </c>
      <c r="E12" s="36">
        <f>IFERROR('03_Historical_FS'!E13/AVERAGE('03_Historical_FS'!D50,'03_Historical_FS'!E50),"")</f>
        <v>6.6064380890465207E-2</v>
      </c>
      <c r="F12" s="36">
        <f>IFERROR('03_Historical_FS'!F13/AVERAGE('03_Historical_FS'!E50,'03_Historical_FS'!F50),"")</f>
        <v>6.9429637711706682E-2</v>
      </c>
      <c r="G12" s="36">
        <f>IFERROR('03_Historical_FS'!G13/AVERAGE('03_Historical_FS'!F50,'03_Historical_FS'!G50),"")</f>
        <v>4.3394333338085116E-2</v>
      </c>
      <c r="H12" s="36">
        <f>IFERROR('03_Historical_FS'!H13/AVERAGE('03_Historical_FS'!G50,'03_Historical_FS'!H50),"")</f>
        <v>5.1394199635558288E-2</v>
      </c>
      <c r="I12" s="50">
        <v>5.1999999999999998E-2</v>
      </c>
      <c r="J12" s="50">
        <v>5.1999999999999998E-2</v>
      </c>
      <c r="K12" s="50">
        <v>5.0999999999999997E-2</v>
      </c>
      <c r="L12" s="50">
        <v>0.05</v>
      </c>
      <c r="M12" s="50">
        <v>0.05</v>
      </c>
    </row>
    <row r="13" spans="1:15">
      <c r="A13" s="25" t="s">
        <v>370</v>
      </c>
      <c r="B13" s="26" t="s">
        <v>371</v>
      </c>
      <c r="C13" s="26" t="s">
        <v>23</v>
      </c>
      <c r="D13" s="36">
        <f>IFERROR('03_Historical_FS'!D19/'03_Historical_FS'!D7,"")</f>
        <v>4.8608687758941635E-5</v>
      </c>
      <c r="E13" s="36">
        <f>IFERROR('03_Historical_FS'!E19/'03_Historical_FS'!E7,"")</f>
        <v>-3.8854554863780918E-3</v>
      </c>
      <c r="F13" s="36">
        <f>IFERROR('03_Historical_FS'!F19/'03_Historical_FS'!F7,"")</f>
        <v>-3.021445934830743E-3</v>
      </c>
      <c r="G13" s="36">
        <f>IFERROR('03_Historical_FS'!G19/'03_Historical_FS'!G7,"")</f>
        <v>-2.9870401101220493E-3</v>
      </c>
      <c r="H13" s="36">
        <f>IFERROR('03_Historical_FS'!H19/'03_Historical_FS'!H7,"")</f>
        <v>-1.9889229027181512E-4</v>
      </c>
      <c r="I13" s="50">
        <v>0</v>
      </c>
      <c r="J13" s="50">
        <v>0</v>
      </c>
      <c r="K13" s="50">
        <v>0</v>
      </c>
      <c r="L13" s="50">
        <v>0</v>
      </c>
      <c r="M13" s="50">
        <v>0</v>
      </c>
    </row>
    <row r="14" spans="1:15">
      <c r="A14" s="25" t="s">
        <v>372</v>
      </c>
      <c r="B14" s="26" t="s">
        <v>373</v>
      </c>
      <c r="C14" s="26" t="s">
        <v>23</v>
      </c>
      <c r="D14" s="36">
        <f>IFERROR('03_Historical_FS'!D23/'03_Historical_FS'!D20,"")</f>
        <v>0.24262331095093309</v>
      </c>
      <c r="E14" s="36">
        <f>IFERROR('03_Historical_FS'!E23/'03_Historical_FS'!E20,"")</f>
        <v>0.32274211605733955</v>
      </c>
      <c r="F14" s="36">
        <f>IFERROR('03_Historical_FS'!F23/'03_Historical_FS'!F20,"")</f>
        <v>0.75666084940641243</v>
      </c>
      <c r="G14" s="36">
        <f>IFERROR('03_Historical_FS'!G23/'03_Historical_FS'!G20,"")</f>
        <v>0.22638384459763358</v>
      </c>
      <c r="H14" s="36">
        <f>IFERROR('03_Historical_FS'!H23/'03_Historical_FS'!H20,"")</f>
        <v>0.18075205389018206</v>
      </c>
      <c r="I14" s="50">
        <v>0.2</v>
      </c>
      <c r="J14" s="50">
        <v>0.2</v>
      </c>
      <c r="K14" s="50">
        <v>0.2</v>
      </c>
      <c r="L14" s="50">
        <v>0.2</v>
      </c>
      <c r="M14" s="50">
        <v>0.2</v>
      </c>
    </row>
    <row r="15" spans="1:15">
      <c r="A15" s="25" t="s">
        <v>374</v>
      </c>
      <c r="B15" s="26" t="s">
        <v>375</v>
      </c>
      <c r="C15" s="26" t="s">
        <v>23</v>
      </c>
      <c r="D15" s="36">
        <f>IFERROR('03_Historical_FS'!D25/'03_Historical_FS'!D24,"")</f>
        <v>5.2176556748738064E-4</v>
      </c>
      <c r="E15" s="36">
        <f>IFERROR('03_Historical_FS'!E25/'03_Historical_FS'!E24,"")</f>
        <v>4.7575179493389519E-4</v>
      </c>
      <c r="F15" s="36">
        <f>IFERROR('03_Historical_FS'!F25/'03_Historical_FS'!F24,"")</f>
        <v>9.519323385737121E-4</v>
      </c>
      <c r="G15" s="36">
        <f>IFERROR('03_Historical_FS'!G25/'03_Historical_FS'!G24,"")</f>
        <v>3.0589084741144963E-3</v>
      </c>
      <c r="H15" s="36">
        <f>IFERROR('03_Historical_FS'!H25/'03_Historical_FS'!H24,"")</f>
        <v>5.498966455144319E-3</v>
      </c>
      <c r="I15" s="50">
        <v>6.0000000000000001E-3</v>
      </c>
      <c r="J15" s="50">
        <v>6.4999999999999997E-3</v>
      </c>
      <c r="K15" s="50">
        <v>7.0000000000000001E-3</v>
      </c>
      <c r="L15" s="50">
        <v>7.4999999999999997E-3</v>
      </c>
      <c r="M15" s="50">
        <v>8.0000000000000002E-3</v>
      </c>
    </row>
    <row r="16" spans="1:15">
      <c r="A16" s="25" t="s">
        <v>376</v>
      </c>
      <c r="B16" s="26" t="s">
        <v>377</v>
      </c>
      <c r="C16" s="26" t="s">
        <v>23</v>
      </c>
      <c r="D16" s="36">
        <f>IFERROR(ABS('03_Historical_FS'!D63)/'03_Historical_FS'!D26,"")</f>
        <v>4.8892801064908023E-2</v>
      </c>
      <c r="E16" s="36">
        <f>IFERROR(ABS('03_Historical_FS'!E63)/'03_Historical_FS'!E26,"")</f>
        <v>0.17851149204970868</v>
      </c>
      <c r="F16" s="36">
        <f>IFERROR(ABS('03_Historical_FS'!F63)/'03_Historical_FS'!F26,"")</f>
        <v>4.3614401586102236</v>
      </c>
      <c r="G16" s="36">
        <f>IFERROR(ABS('03_Historical_FS'!G63)/'03_Historical_FS'!G26,"")</f>
        <v>0.1963953603924832</v>
      </c>
      <c r="H16" s="36">
        <f>IFERROR(ABS('03_Historical_FS'!H63)/'03_Historical_FS'!H26,"")</f>
        <v>0.2101952450761774</v>
      </c>
      <c r="I16" s="50">
        <v>0.2</v>
      </c>
      <c r="J16" s="50">
        <v>0.2</v>
      </c>
      <c r="K16" s="50">
        <v>0.2</v>
      </c>
      <c r="L16" s="50">
        <v>0.2</v>
      </c>
      <c r="M16" s="50">
        <v>0.2</v>
      </c>
    </row>
    <row r="17" spans="1:13">
      <c r="A17" s="25"/>
      <c r="B17" s="26"/>
      <c r="C17" s="26"/>
      <c r="D17" s="55"/>
      <c r="E17" s="55"/>
      <c r="F17" s="55"/>
      <c r="G17" s="55"/>
      <c r="H17" s="55"/>
      <c r="I17" s="53"/>
      <c r="J17" s="53"/>
      <c r="K17" s="53"/>
      <c r="L17" s="53"/>
      <c r="M17" s="53"/>
    </row>
    <row r="18" spans="1:13">
      <c r="A18" s="25"/>
      <c r="B18" s="26"/>
      <c r="C18" s="26"/>
      <c r="D18" s="55"/>
      <c r="E18" s="55"/>
      <c r="F18" s="55"/>
      <c r="G18" s="55"/>
      <c r="H18" s="55"/>
      <c r="I18" s="53"/>
      <c r="J18" s="53"/>
      <c r="K18" s="53"/>
      <c r="L18" s="53"/>
      <c r="M18" s="53"/>
    </row>
    <row r="19" spans="1:13" ht="45" customHeight="1">
      <c r="A19" s="352" t="s">
        <v>378</v>
      </c>
      <c r="B19" s="327"/>
      <c r="C19" s="327"/>
      <c r="D19" s="353"/>
      <c r="E19" s="353"/>
      <c r="F19" s="353"/>
      <c r="G19" s="353"/>
      <c r="H19" s="353"/>
      <c r="I19" s="353"/>
      <c r="J19" s="353"/>
      <c r="K19" s="353"/>
      <c r="L19" s="353"/>
      <c r="M19" s="353"/>
    </row>
    <row r="20" spans="1:13">
      <c r="A20" s="25" t="s">
        <v>379</v>
      </c>
      <c r="B20" s="26" t="s">
        <v>219</v>
      </c>
      <c r="C20" s="26" t="s">
        <v>220</v>
      </c>
      <c r="D20" s="33">
        <f>'05_Ratio_Analysis'!D21</f>
        <v>111.68036715009337</v>
      </c>
      <c r="E20" s="33">
        <f>'05_Ratio_Analysis'!E21</f>
        <v>97.642744472339714</v>
      </c>
      <c r="F20" s="33">
        <f>'05_Ratio_Analysis'!F21</f>
        <v>90.565286949657164</v>
      </c>
      <c r="G20" s="33">
        <f>'05_Ratio_Analysis'!G21</f>
        <v>75.275460392790734</v>
      </c>
      <c r="H20" s="33">
        <f>'05_Ratio_Analysis'!H21</f>
        <v>72.329495178868314</v>
      </c>
      <c r="I20" s="57">
        <v>73</v>
      </c>
      <c r="J20" s="57">
        <v>72</v>
      </c>
      <c r="K20" s="57">
        <v>70</v>
      </c>
      <c r="L20" s="57">
        <v>69</v>
      </c>
      <c r="M20" s="57">
        <v>68</v>
      </c>
    </row>
    <row r="21" spans="1:13">
      <c r="A21" s="25" t="s">
        <v>379</v>
      </c>
      <c r="B21" s="26" t="s">
        <v>221</v>
      </c>
      <c r="C21" s="26" t="s">
        <v>220</v>
      </c>
      <c r="D21" s="33">
        <f>'05_Ratio_Analysis'!D22</f>
        <v>9.3867298074713634</v>
      </c>
      <c r="E21" s="33">
        <f>'05_Ratio_Analysis'!E22</f>
        <v>8.4310057530902416</v>
      </c>
      <c r="F21" s="33">
        <f>'05_Ratio_Analysis'!F22</f>
        <v>12.589977892093955</v>
      </c>
      <c r="G21" s="33">
        <f>'05_Ratio_Analysis'!G22</f>
        <v>18.998026599609446</v>
      </c>
      <c r="H21" s="33">
        <f>'05_Ratio_Analysis'!H22</f>
        <v>22.248027213278089</v>
      </c>
      <c r="I21" s="57">
        <v>18</v>
      </c>
      <c r="J21" s="57">
        <v>17</v>
      </c>
      <c r="K21" s="57">
        <v>16</v>
      </c>
      <c r="L21" s="57">
        <v>15</v>
      </c>
      <c r="M21" s="57">
        <v>15</v>
      </c>
    </row>
    <row r="22" spans="1:13">
      <c r="A22" s="25" t="s">
        <v>379</v>
      </c>
      <c r="B22" s="26" t="s">
        <v>222</v>
      </c>
      <c r="C22" s="26" t="s">
        <v>220</v>
      </c>
      <c r="D22" s="33">
        <f>'05_Ratio_Analysis'!D23</f>
        <v>46.635954505568613</v>
      </c>
      <c r="E22" s="33">
        <f>'05_Ratio_Analysis'!E23</f>
        <v>37.242252027222442</v>
      </c>
      <c r="F22" s="33">
        <f>'05_Ratio_Analysis'!F23</f>
        <v>31.775583949752384</v>
      </c>
      <c r="G22" s="33">
        <f>'05_Ratio_Analysis'!G23</f>
        <v>29.220488924090155</v>
      </c>
      <c r="H22" s="33">
        <f>'05_Ratio_Analysis'!H23</f>
        <v>32.567772400057535</v>
      </c>
      <c r="I22" s="57">
        <v>33</v>
      </c>
      <c r="J22" s="57">
        <v>34</v>
      </c>
      <c r="K22" s="57">
        <v>34</v>
      </c>
      <c r="L22" s="57">
        <v>34</v>
      </c>
      <c r="M22" s="57">
        <v>34</v>
      </c>
    </row>
    <row r="23" spans="1:13">
      <c r="A23" s="25" t="s">
        <v>380</v>
      </c>
      <c r="B23" s="26" t="s">
        <v>381</v>
      </c>
      <c r="C23" s="26" t="s">
        <v>23</v>
      </c>
      <c r="D23" s="36">
        <f>IFERROR('03_Historical_FS'!D50/'03_Historical_FS'!D7,"")</f>
        <v>0.20045424461974337</v>
      </c>
      <c r="E23" s="36">
        <f>IFERROR('03_Historical_FS'!E50/'03_Historical_FS'!E7,"")</f>
        <v>0.12435378200517451</v>
      </c>
      <c r="F23" s="36">
        <f>IFERROR('03_Historical_FS'!F50/'03_Historical_FS'!F7,"")</f>
        <v>0.2123253021166388</v>
      </c>
      <c r="G23" s="36">
        <f>IFERROR('03_Historical_FS'!G50/'03_Historical_FS'!G7,"")</f>
        <v>0.20321581394113528</v>
      </c>
      <c r="H23" s="36">
        <f>IFERROR('03_Historical_FS'!H50/'03_Historical_FS'!H7,"")</f>
        <v>0.19195343369973925</v>
      </c>
      <c r="I23" s="50">
        <v>0.19</v>
      </c>
      <c r="J23" s="50">
        <v>0.18</v>
      </c>
      <c r="K23" s="50">
        <v>0.17</v>
      </c>
      <c r="L23" s="50">
        <v>0.16</v>
      </c>
      <c r="M23" s="50">
        <v>0.15</v>
      </c>
    </row>
    <row r="24" spans="1:13">
      <c r="A24" s="25" t="s">
        <v>382</v>
      </c>
      <c r="B24" s="26" t="s">
        <v>383</v>
      </c>
      <c r="C24" s="26" t="s">
        <v>23</v>
      </c>
      <c r="D24" s="36">
        <f>IFERROR('03_Historical_FS'!D33/'03_Historical_FS'!D7,"")</f>
        <v>1.0143791632903198E-2</v>
      </c>
      <c r="E24" s="36">
        <f>IFERROR('03_Historical_FS'!E33/'03_Historical_FS'!E7,"")</f>
        <v>5.6252998397159932E-3</v>
      </c>
      <c r="F24" s="36">
        <f>IFERROR('03_Historical_FS'!F33/'03_Historical_FS'!F7,"")</f>
        <v>5.6183401211680837E-3</v>
      </c>
      <c r="G24" s="36">
        <f>IFERROR('03_Historical_FS'!G33/'03_Historical_FS'!G7,"")</f>
        <v>4.0499635477413577E-3</v>
      </c>
      <c r="H24" s="36">
        <f>IFERROR('03_Historical_FS'!H33/'03_Historical_FS'!H7,"")</f>
        <v>5.6293044883940655E-3</v>
      </c>
      <c r="I24" s="50">
        <v>6.0000000000000001E-3</v>
      </c>
      <c r="J24" s="50">
        <v>6.0000000000000001E-3</v>
      </c>
      <c r="K24" s="50">
        <v>6.0000000000000001E-3</v>
      </c>
      <c r="L24" s="50">
        <v>6.0000000000000001E-3</v>
      </c>
      <c r="M24" s="50">
        <v>6.0000000000000001E-3</v>
      </c>
    </row>
    <row r="25" spans="1:13">
      <c r="A25" s="25" t="s">
        <v>81</v>
      </c>
      <c r="B25" s="26" t="s">
        <v>384</v>
      </c>
      <c r="C25" s="26" t="s">
        <v>23</v>
      </c>
      <c r="D25" s="36">
        <f>IFERROR(('03_Historical_FS'!D41-'03_Historical_FS'!D39-'03_Historical_FS'!D40)/'03_Historical_FS'!D7,"")</f>
        <v>4.6893287049638105E-2</v>
      </c>
      <c r="E25" s="36">
        <f>IFERROR(('03_Historical_FS'!E41-'03_Historical_FS'!E39-'03_Historical_FS'!E40)/'03_Historical_FS'!E7,"")</f>
        <v>4.9220861887955256E-2</v>
      </c>
      <c r="F25" s="36">
        <f>IFERROR(('03_Historical_FS'!F41-'03_Historical_FS'!F39-'03_Historical_FS'!F40)/'03_Historical_FS'!F7,"")</f>
        <v>3.136333820390072E-2</v>
      </c>
      <c r="G25" s="36">
        <f>IFERROR(('03_Historical_FS'!G41-'03_Historical_FS'!G39-'03_Historical_FS'!G40)/'03_Historical_FS'!G7,"")</f>
        <v>4.3443993126663451E-2</v>
      </c>
      <c r="H25" s="36">
        <f>IFERROR(('03_Historical_FS'!H41-'03_Historical_FS'!H39-'03_Historical_FS'!H40)/'03_Historical_FS'!H7,"")</f>
        <v>4.953986704795868E-2</v>
      </c>
      <c r="I25" s="50">
        <v>0.05</v>
      </c>
      <c r="J25" s="50">
        <v>0.05</v>
      </c>
      <c r="K25" s="50">
        <v>4.8000000000000001E-2</v>
      </c>
      <c r="L25" s="50">
        <v>4.7E-2</v>
      </c>
      <c r="M25" s="50">
        <v>4.5999999999999999E-2</v>
      </c>
    </row>
    <row r="26" spans="1:13">
      <c r="A26" s="25" t="s">
        <v>385</v>
      </c>
      <c r="B26" s="26" t="s">
        <v>386</v>
      </c>
      <c r="C26" s="26" t="s">
        <v>23</v>
      </c>
      <c r="D26" s="36">
        <f>IFERROR('03_Historical_FS'!D36/'03_Historical_FS'!D7,"")</f>
        <v>0</v>
      </c>
      <c r="E26" s="36">
        <f>IFERROR('03_Historical_FS'!E36/'03_Historical_FS'!E7,"")</f>
        <v>1.7318333284008752E-3</v>
      </c>
      <c r="F26" s="36">
        <f>IFERROR('03_Historical_FS'!F36/'03_Historical_FS'!F7,"")</f>
        <v>6.312424656424365E-3</v>
      </c>
      <c r="G26" s="36">
        <f>IFERROR('03_Historical_FS'!G36/'03_Historical_FS'!G7,"")</f>
        <v>1.8016504463978303E-3</v>
      </c>
      <c r="H26" s="36">
        <f>IFERROR('03_Historical_FS'!H36/'03_Historical_FS'!H7,"")</f>
        <v>2.0113851495825376E-2</v>
      </c>
      <c r="I26" s="50">
        <v>1.7999999999999999E-2</v>
      </c>
      <c r="J26" s="50">
        <v>1.7000000000000001E-2</v>
      </c>
      <c r="K26" s="50">
        <v>1.6E-2</v>
      </c>
      <c r="L26" s="50">
        <v>1.4999999999999999E-2</v>
      </c>
      <c r="M26" s="50">
        <v>1.4999999999999999E-2</v>
      </c>
    </row>
    <row r="27" spans="1:13">
      <c r="A27" s="25" t="s">
        <v>385</v>
      </c>
      <c r="B27" s="26" t="s">
        <v>387</v>
      </c>
      <c r="C27" s="26" t="s">
        <v>23</v>
      </c>
      <c r="D27" s="36">
        <f>IFERROR('03_Historical_FS'!D37/'03_Historical_FS'!D7,"")</f>
        <v>6.5623249901062943E-3</v>
      </c>
      <c r="E27" s="36">
        <f>IFERROR('03_Historical_FS'!E37/'03_Historical_FS'!E7,"")</f>
        <v>5.0267321314078689E-3</v>
      </c>
      <c r="F27" s="36">
        <f>IFERROR('03_Historical_FS'!F37/'03_Historical_FS'!F7,"")</f>
        <v>3.8220184268590472E-3</v>
      </c>
      <c r="G27" s="36">
        <f>IFERROR('03_Historical_FS'!G37/'03_Historical_FS'!G7,"")</f>
        <v>2.6682398237486034E-3</v>
      </c>
      <c r="H27" s="36">
        <f>IFERROR('03_Historical_FS'!H37/'03_Historical_FS'!H7,"")</f>
        <v>3.3011409964287964E-3</v>
      </c>
      <c r="I27" s="50">
        <v>3.0000000000000001E-3</v>
      </c>
      <c r="J27" s="50">
        <v>3.0000000000000001E-3</v>
      </c>
      <c r="K27" s="50">
        <v>3.0000000000000001E-3</v>
      </c>
      <c r="L27" s="50">
        <v>3.0000000000000001E-3</v>
      </c>
      <c r="M27" s="50">
        <v>3.0000000000000001E-3</v>
      </c>
    </row>
    <row r="28" spans="1:13">
      <c r="A28" s="25" t="s">
        <v>85</v>
      </c>
      <c r="B28" s="26" t="s">
        <v>388</v>
      </c>
      <c r="C28" s="26" t="s">
        <v>23</v>
      </c>
      <c r="D28" s="36">
        <f>IFERROR(('03_Historical_FS'!D43-'03_Historical_FS'!D42)/'03_Historical_FS'!D7,"")</f>
        <v>0</v>
      </c>
      <c r="E28" s="36">
        <f>IFERROR(('03_Historical_FS'!E43-'03_Historical_FS'!E42)/'03_Historical_FS'!E7,"")</f>
        <v>0</v>
      </c>
      <c r="F28" s="36">
        <f>IFERROR(('03_Historical_FS'!F43-'03_Historical_FS'!F42)/'03_Historical_FS'!F7,"")</f>
        <v>9.8807329237360473E-6</v>
      </c>
      <c r="G28" s="36">
        <f>IFERROR(('03_Historical_FS'!G43-'03_Historical_FS'!G42)/'03_Historical_FS'!G7,"")</f>
        <v>0</v>
      </c>
      <c r="H28" s="36">
        <f>IFERROR(('03_Historical_FS'!H43-'03_Historical_FS'!H42)/'03_Historical_FS'!H7,"")</f>
        <v>0</v>
      </c>
      <c r="I28" s="50">
        <v>1E-3</v>
      </c>
      <c r="J28" s="50">
        <v>1E-3</v>
      </c>
      <c r="K28" s="50">
        <v>1E-3</v>
      </c>
      <c r="L28" s="50">
        <v>1E-3</v>
      </c>
      <c r="M28" s="50">
        <v>1E-3</v>
      </c>
    </row>
    <row r="29" spans="1:13">
      <c r="A29" s="25"/>
      <c r="B29" s="26"/>
      <c r="C29" s="26"/>
      <c r="D29" s="55"/>
      <c r="E29" s="55"/>
      <c r="F29" s="55"/>
      <c r="G29" s="55"/>
      <c r="H29" s="55"/>
      <c r="I29" s="53"/>
      <c r="J29" s="53"/>
      <c r="K29" s="53"/>
      <c r="L29" s="53"/>
      <c r="M29" s="53"/>
    </row>
    <row r="30" spans="1:13">
      <c r="A30" s="25"/>
      <c r="B30" s="26"/>
      <c r="C30" s="26"/>
      <c r="D30" s="55"/>
      <c r="E30" s="55"/>
      <c r="F30" s="55"/>
      <c r="G30" s="55"/>
      <c r="H30" s="55"/>
      <c r="I30" s="53"/>
      <c r="J30" s="53"/>
      <c r="K30" s="53"/>
      <c r="L30" s="53"/>
      <c r="M30" s="53"/>
    </row>
    <row r="31" spans="1:13" ht="15" customHeight="1">
      <c r="A31" s="352" t="s">
        <v>389</v>
      </c>
      <c r="B31" s="327"/>
      <c r="C31" s="327"/>
      <c r="D31" s="353"/>
      <c r="E31" s="353"/>
      <c r="F31" s="353"/>
      <c r="G31" s="353"/>
      <c r="H31" s="353"/>
      <c r="I31" s="353"/>
      <c r="J31" s="353"/>
      <c r="K31" s="353"/>
      <c r="L31" s="353"/>
      <c r="M31" s="353"/>
    </row>
    <row r="32" spans="1:13">
      <c r="A32" s="25" t="s">
        <v>112</v>
      </c>
      <c r="B32" s="26" t="s">
        <v>390</v>
      </c>
      <c r="C32" s="26" t="s">
        <v>23</v>
      </c>
      <c r="D32" s="36">
        <f>IFERROR(ABS('03_Historical_FS'!D59)/'03_Historical_FS'!D7,"")</f>
        <v>4.0476197525683329E-2</v>
      </c>
      <c r="E32" s="36">
        <f>IFERROR(ABS('03_Historical_FS'!E59)/'03_Historical_FS'!E7,"")</f>
        <v>3.3472260923744092E-2</v>
      </c>
      <c r="F32" s="36">
        <f>IFERROR(ABS('03_Historical_FS'!F59)/'03_Historical_FS'!F7,"")</f>
        <v>4.4249599854426797E-3</v>
      </c>
      <c r="G32" s="36">
        <f>IFERROR(ABS('03_Historical_FS'!G59)/'03_Historical_FS'!G7,"")</f>
        <v>2.2610184635039848E-3</v>
      </c>
      <c r="H32" s="36">
        <f>IFERROR(ABS('03_Historical_FS'!H59)/'03_Historical_FS'!H7,"")</f>
        <v>5.6978930036845135E-3</v>
      </c>
      <c r="I32" s="50">
        <v>1.2E-2</v>
      </c>
      <c r="J32" s="50">
        <v>1.2E-2</v>
      </c>
      <c r="K32" s="50">
        <v>1.0999999999999999E-2</v>
      </c>
      <c r="L32" s="50">
        <v>0.01</v>
      </c>
      <c r="M32" s="50">
        <v>0.01</v>
      </c>
    </row>
    <row r="33" spans="1:13">
      <c r="A33" s="25" t="s">
        <v>104</v>
      </c>
      <c r="B33" s="26" t="s">
        <v>391</v>
      </c>
      <c r="C33" s="26" t="s">
        <v>23</v>
      </c>
      <c r="D33" s="36">
        <f>IFERROR('03_Historical_FS'!D55/'03_Historical_FS'!D7,"")</f>
        <v>2.3753729631775824E-2</v>
      </c>
      <c r="E33" s="36">
        <f>IFERROR('03_Historical_FS'!E55/'03_Historical_FS'!E7,"")</f>
        <v>2.6538215421745465E-2</v>
      </c>
      <c r="F33" s="36">
        <f>IFERROR('03_Historical_FS'!F55/'03_Historical_FS'!F7,"")</f>
        <v>2.8333786454775581E-2</v>
      </c>
      <c r="G33" s="36">
        <f>IFERROR('03_Historical_FS'!G55/'03_Historical_FS'!G7,"")</f>
        <v>2.1686720853696221E-2</v>
      </c>
      <c r="H33" s="36">
        <f>IFERROR('03_Historical_FS'!H55/'03_Historical_FS'!H7,"")</f>
        <v>1.2126624744324506E-2</v>
      </c>
      <c r="I33" s="50">
        <v>1.15E-2</v>
      </c>
      <c r="J33" s="50">
        <v>1.0999999999999999E-2</v>
      </c>
      <c r="K33" s="50">
        <v>1.0500000000000001E-2</v>
      </c>
      <c r="L33" s="50">
        <v>0.01</v>
      </c>
      <c r="M33" s="50">
        <v>9.4999999999999998E-3</v>
      </c>
    </row>
    <row r="34" spans="1:13">
      <c r="A34" s="25"/>
      <c r="B34" s="26"/>
      <c r="C34" s="26"/>
      <c r="D34" s="55"/>
      <c r="E34" s="55"/>
      <c r="F34" s="55"/>
      <c r="G34" s="55"/>
      <c r="H34" s="55"/>
      <c r="I34" s="53"/>
      <c r="J34" s="53"/>
      <c r="K34" s="53"/>
      <c r="L34" s="53"/>
      <c r="M34" s="53"/>
    </row>
    <row r="35" spans="1:13">
      <c r="A35" s="25"/>
      <c r="B35" s="26"/>
      <c r="C35" s="26"/>
      <c r="D35" s="55"/>
      <c r="E35" s="55"/>
      <c r="F35" s="55"/>
      <c r="G35" s="55"/>
      <c r="H35" s="55"/>
      <c r="I35" s="53"/>
      <c r="J35" s="53"/>
      <c r="K35" s="53"/>
      <c r="L35" s="53"/>
      <c r="M35" s="53"/>
    </row>
    <row r="36" spans="1:13" ht="15" customHeight="1"/>
    <row r="70" spans="1:15">
      <c r="A70" s="25"/>
      <c r="B70" s="26"/>
      <c r="C70" s="26"/>
      <c r="D70" s="55"/>
      <c r="E70" s="55"/>
      <c r="G70" s="55"/>
      <c r="H70" s="55"/>
      <c r="I70" s="53"/>
      <c r="J70" s="53"/>
      <c r="K70" s="53"/>
      <c r="L70" s="53"/>
      <c r="M70" s="53"/>
      <c r="N70" s="26"/>
      <c r="O70" s="28"/>
    </row>
    <row r="71" spans="1:15">
      <c r="A71" s="25"/>
      <c r="B71" s="26"/>
      <c r="C71" s="26"/>
      <c r="D71" s="55"/>
      <c r="E71" s="55"/>
      <c r="F71" s="55"/>
      <c r="G71" s="55"/>
      <c r="H71" s="55"/>
      <c r="I71" s="53"/>
      <c r="J71" s="53"/>
      <c r="K71" s="53"/>
      <c r="L71" s="53"/>
      <c r="M71" s="53"/>
      <c r="N71" s="26"/>
      <c r="O71" s="28"/>
    </row>
    <row r="72" spans="1:15">
      <c r="A72" s="25"/>
      <c r="B72" s="26"/>
      <c r="C72" s="26"/>
      <c r="D72" s="55"/>
      <c r="E72" s="55"/>
      <c r="F72" s="55"/>
      <c r="G72" s="55"/>
      <c r="H72" s="55"/>
      <c r="I72" s="53"/>
      <c r="J72" s="53"/>
      <c r="K72" s="53"/>
      <c r="L72" s="53"/>
      <c r="M72" s="53"/>
      <c r="N72" s="26"/>
      <c r="O72" s="28"/>
    </row>
    <row r="73" spans="1:15">
      <c r="A73" s="25"/>
      <c r="B73" s="26"/>
      <c r="C73" s="26"/>
      <c r="D73" s="55"/>
      <c r="E73" s="55"/>
      <c r="F73" s="55"/>
      <c r="G73" s="55"/>
      <c r="H73" s="55"/>
      <c r="I73" s="53"/>
      <c r="J73" s="53"/>
      <c r="K73" s="53"/>
      <c r="L73" s="53"/>
      <c r="M73" s="53"/>
      <c r="N73" s="26"/>
      <c r="O73" s="28"/>
    </row>
    <row r="74" spans="1:15">
      <c r="A74" s="25"/>
      <c r="B74" s="26"/>
      <c r="C74" s="26"/>
      <c r="D74" s="55"/>
      <c r="E74" s="55"/>
      <c r="F74" s="55"/>
      <c r="G74" s="55"/>
      <c r="H74" s="55"/>
      <c r="I74" s="53"/>
      <c r="J74" s="53"/>
      <c r="K74" s="53"/>
      <c r="L74" s="53"/>
      <c r="M74" s="53"/>
      <c r="N74" s="26"/>
      <c r="O74" s="28"/>
    </row>
    <row r="75" spans="1:15">
      <c r="A75" s="25"/>
      <c r="B75" s="26"/>
      <c r="C75" s="26"/>
      <c r="D75" s="55"/>
      <c r="E75" s="55"/>
      <c r="F75" s="55"/>
      <c r="G75" s="55"/>
      <c r="H75" s="55"/>
      <c r="I75" s="53"/>
      <c r="J75" s="53"/>
      <c r="K75" s="53"/>
      <c r="L75" s="53"/>
      <c r="M75" s="53"/>
      <c r="N75" s="26"/>
      <c r="O75" s="28"/>
    </row>
    <row r="76" spans="1:15">
      <c r="A76" s="25"/>
      <c r="B76" s="26"/>
      <c r="C76" s="26"/>
      <c r="D76" s="55"/>
      <c r="E76" s="55"/>
      <c r="F76" s="55"/>
      <c r="G76" s="55"/>
      <c r="H76" s="55"/>
      <c r="I76" s="53"/>
      <c r="J76" s="53"/>
      <c r="K76" s="53"/>
      <c r="L76" s="53"/>
      <c r="M76" s="53"/>
      <c r="N76" s="26"/>
      <c r="O76" s="28"/>
    </row>
    <row r="77" spans="1:15">
      <c r="A77" s="25"/>
      <c r="B77" s="26"/>
      <c r="C77" s="26"/>
      <c r="D77" s="55"/>
      <c r="E77" s="55"/>
      <c r="F77" s="55"/>
      <c r="G77" s="55"/>
      <c r="H77" s="55"/>
      <c r="I77" s="53"/>
      <c r="J77" s="53"/>
      <c r="K77" s="53"/>
      <c r="L77" s="53"/>
      <c r="M77" s="53"/>
      <c r="N77" s="26"/>
      <c r="O77" s="28"/>
    </row>
    <row r="78" spans="1:15">
      <c r="A78" s="25"/>
      <c r="B78" s="26"/>
      <c r="C78" s="26"/>
      <c r="D78" s="55"/>
      <c r="E78" s="55"/>
      <c r="F78" s="55"/>
      <c r="G78" s="55"/>
      <c r="H78" s="55"/>
      <c r="I78" s="53"/>
      <c r="J78" s="53"/>
      <c r="K78" s="53"/>
      <c r="L78" s="53"/>
      <c r="M78" s="53"/>
      <c r="N78" s="26"/>
      <c r="O78" s="28"/>
    </row>
    <row r="79" spans="1:15">
      <c r="A79" s="25"/>
      <c r="B79" s="26"/>
      <c r="C79" s="26"/>
      <c r="D79" s="55"/>
      <c r="E79" s="55"/>
      <c r="F79" s="55"/>
      <c r="G79" s="55"/>
      <c r="H79" s="55"/>
      <c r="I79" s="53"/>
      <c r="J79" s="53"/>
      <c r="K79" s="53"/>
      <c r="L79" s="53"/>
      <c r="M79" s="53"/>
      <c r="N79" s="26"/>
      <c r="O79" s="28"/>
    </row>
    <row r="80" spans="1:15">
      <c r="A80" s="25"/>
      <c r="B80" s="26"/>
      <c r="C80" s="26"/>
      <c r="D80" s="55"/>
      <c r="E80" s="55"/>
      <c r="F80" s="55"/>
      <c r="G80" s="55"/>
      <c r="H80" s="55"/>
      <c r="I80" s="53"/>
      <c r="J80" s="53"/>
      <c r="K80" s="53"/>
      <c r="L80" s="53"/>
      <c r="M80" s="53"/>
      <c r="N80" s="26"/>
      <c r="O80" s="28"/>
    </row>
    <row r="81" spans="1:15">
      <c r="A81" s="25"/>
      <c r="B81" s="26"/>
      <c r="C81" s="26"/>
      <c r="D81" s="55"/>
      <c r="E81" s="55"/>
      <c r="F81" s="55"/>
      <c r="G81" s="55"/>
      <c r="H81" s="55"/>
      <c r="I81" s="53"/>
      <c r="J81" s="53"/>
      <c r="K81" s="53"/>
      <c r="L81" s="53"/>
      <c r="M81" s="53"/>
      <c r="N81" s="26"/>
      <c r="O81" s="28"/>
    </row>
    <row r="82" spans="1:15">
      <c r="A82" s="25"/>
      <c r="B82" s="26"/>
      <c r="C82" s="26"/>
      <c r="D82" s="55"/>
      <c r="E82" s="55"/>
      <c r="F82" s="55"/>
      <c r="G82" s="55"/>
      <c r="H82" s="55"/>
      <c r="I82" s="53"/>
      <c r="J82" s="53"/>
      <c r="K82" s="53"/>
      <c r="L82" s="53"/>
      <c r="M82" s="53"/>
      <c r="N82" s="26"/>
      <c r="O82" s="28"/>
    </row>
    <row r="83" spans="1:15">
      <c r="A83" s="25"/>
      <c r="B83" s="26"/>
      <c r="C83" s="26"/>
      <c r="D83" s="55"/>
      <c r="E83" s="55"/>
      <c r="F83" s="55"/>
      <c r="G83" s="55"/>
      <c r="H83" s="55"/>
      <c r="I83" s="53"/>
      <c r="J83" s="53"/>
      <c r="K83" s="53"/>
      <c r="L83" s="53"/>
      <c r="M83" s="53"/>
      <c r="N83" s="26"/>
      <c r="O83" s="28"/>
    </row>
    <row r="84" spans="1:15">
      <c r="A84" s="25"/>
      <c r="B84" s="26"/>
      <c r="C84" s="26"/>
      <c r="D84" s="55"/>
      <c r="E84" s="55"/>
      <c r="F84" s="55"/>
      <c r="G84" s="55"/>
      <c r="H84" s="55"/>
      <c r="I84" s="53"/>
      <c r="J84" s="53"/>
      <c r="K84" s="53"/>
      <c r="L84" s="53"/>
      <c r="M84" s="53"/>
      <c r="N84" s="26"/>
      <c r="O84" s="28"/>
    </row>
    <row r="85" spans="1:15">
      <c r="A85" s="25"/>
      <c r="B85" s="26"/>
      <c r="C85" s="26"/>
      <c r="D85" s="55"/>
      <c r="E85" s="55"/>
      <c r="F85" s="55"/>
      <c r="G85" s="55"/>
      <c r="H85" s="55"/>
      <c r="I85" s="53"/>
      <c r="J85" s="53"/>
      <c r="K85" s="53"/>
      <c r="L85" s="53"/>
      <c r="M85" s="53"/>
      <c r="N85" s="26"/>
      <c r="O85" s="28"/>
    </row>
    <row r="86" spans="1:15">
      <c r="A86" s="25"/>
      <c r="B86" s="26"/>
      <c r="C86" s="26"/>
      <c r="D86" s="55"/>
      <c r="E86" s="55"/>
      <c r="F86" s="55"/>
      <c r="G86" s="55"/>
      <c r="H86" s="55"/>
      <c r="I86" s="53"/>
      <c r="J86" s="53"/>
      <c r="K86" s="53"/>
      <c r="L86" s="53"/>
      <c r="M86" s="53"/>
      <c r="N86" s="26"/>
      <c r="O86" s="28"/>
    </row>
    <row r="87" spans="1:15">
      <c r="A87" s="25"/>
      <c r="B87" s="26"/>
      <c r="C87" s="26"/>
      <c r="D87" s="55"/>
      <c r="E87" s="55"/>
      <c r="F87" s="55"/>
      <c r="G87" s="55"/>
      <c r="H87" s="55"/>
      <c r="I87" s="53"/>
      <c r="J87" s="53"/>
      <c r="K87" s="53"/>
      <c r="L87" s="53"/>
      <c r="M87" s="53"/>
      <c r="N87" s="26"/>
      <c r="O87" s="28"/>
    </row>
    <row r="88" spans="1:15">
      <c r="A88" s="25"/>
      <c r="B88" s="26"/>
      <c r="C88" s="26"/>
      <c r="D88" s="55"/>
      <c r="E88" s="55"/>
      <c r="F88" s="55"/>
      <c r="G88" s="55"/>
      <c r="H88" s="55"/>
      <c r="I88" s="53"/>
      <c r="J88" s="53"/>
      <c r="K88" s="53"/>
      <c r="L88" s="53"/>
      <c r="M88" s="53"/>
      <c r="N88" s="26"/>
      <c r="O88" s="28"/>
    </row>
    <row r="89" spans="1:15">
      <c r="A89" s="25"/>
      <c r="B89" s="26"/>
      <c r="C89" s="26"/>
      <c r="D89" s="55"/>
      <c r="E89" s="55"/>
      <c r="F89" s="55"/>
      <c r="G89" s="55"/>
      <c r="H89" s="55"/>
      <c r="I89" s="53"/>
      <c r="J89" s="53"/>
      <c r="K89" s="53"/>
      <c r="L89" s="53"/>
      <c r="M89" s="53"/>
      <c r="N89" s="26"/>
      <c r="O89" s="28"/>
    </row>
    <row r="90" spans="1:15">
      <c r="A90" s="29"/>
      <c r="B90" s="30"/>
      <c r="C90" s="30"/>
      <c r="D90" s="56"/>
      <c r="E90" s="56"/>
      <c r="F90" s="56"/>
      <c r="G90" s="56"/>
      <c r="H90" s="56"/>
      <c r="I90" s="54"/>
      <c r="J90" s="54"/>
      <c r="K90" s="54"/>
      <c r="L90" s="54"/>
      <c r="M90" s="54"/>
      <c r="N90" s="30"/>
      <c r="O90" s="32"/>
    </row>
  </sheetData>
  <mergeCells count="2">
    <mergeCell ref="A1:O1"/>
    <mergeCell ref="A2:O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5"/>
  <sheetViews>
    <sheetView showGridLines="0" workbookViewId="0"/>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350"/>
      <c r="B1" s="354"/>
      <c r="C1" s="471" t="s">
        <v>392</v>
      </c>
      <c r="D1" s="467"/>
      <c r="E1" s="467"/>
      <c r="F1" s="467"/>
      <c r="G1" s="467"/>
      <c r="H1" s="467"/>
      <c r="I1" s="467"/>
      <c r="J1" s="467"/>
      <c r="K1" s="467"/>
      <c r="L1" s="467"/>
      <c r="M1" s="467"/>
      <c r="N1" s="467"/>
      <c r="O1" s="467"/>
    </row>
    <row r="2" spans="1:15" ht="14.25" customHeight="1">
      <c r="A2" s="351"/>
      <c r="B2" s="355"/>
      <c r="C2" s="472" t="s">
        <v>393</v>
      </c>
      <c r="D2" s="470"/>
      <c r="E2" s="470"/>
      <c r="F2" s="470"/>
      <c r="G2" s="470"/>
      <c r="H2" s="470"/>
      <c r="I2" s="470"/>
      <c r="J2" s="470"/>
      <c r="K2" s="470"/>
      <c r="L2" s="470"/>
      <c r="M2" s="470"/>
      <c r="N2" s="470"/>
      <c r="O2" s="470"/>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30" customHeight="1">
      <c r="A5" s="352" t="s">
        <v>396</v>
      </c>
      <c r="B5" s="327"/>
      <c r="C5" s="327"/>
      <c r="D5" s="353"/>
      <c r="E5" s="353"/>
      <c r="F5" s="353"/>
      <c r="G5" s="353"/>
      <c r="H5" s="353"/>
      <c r="I5" s="353"/>
      <c r="J5" s="353"/>
      <c r="K5" s="353"/>
      <c r="L5" s="353"/>
      <c r="M5" s="353"/>
      <c r="N5" s="327"/>
      <c r="O5" s="356"/>
    </row>
    <row r="6" spans="1:15">
      <c r="A6" s="25" t="s">
        <v>397</v>
      </c>
      <c r="B6" s="26" t="s">
        <v>17</v>
      </c>
      <c r="C6" s="26" t="s">
        <v>14</v>
      </c>
      <c r="D6" s="33">
        <f>'03_Historical_FS'!D7</f>
        <v>122958.106103174</v>
      </c>
      <c r="E6" s="33">
        <f>'03_Historical_FS'!E7</f>
        <v>133404.77759099999</v>
      </c>
      <c r="F6" s="33">
        <f>'03_Historical_FS'!F7</f>
        <v>118279.788455</v>
      </c>
      <c r="G6" s="33">
        <f>'03_Historical_FS'!G7</f>
        <v>134341.15284900001</v>
      </c>
      <c r="H6" s="33">
        <f>'03_Historical_FS'!H7</f>
        <v>155928.14561899999</v>
      </c>
      <c r="I6" s="38">
        <f>'08_P5_Assumptions'!I6</f>
        <v>185000</v>
      </c>
      <c r="J6" s="38">
        <f>'08_P5_Assumptions'!J6</f>
        <v>210702.27006116117</v>
      </c>
      <c r="K6" s="38">
        <f>'08_P5_Assumptions'!K6</f>
        <v>232016.73569640506</v>
      </c>
      <c r="L6" s="38">
        <f>'08_P5_Assumptions'!L6</f>
        <v>250797.07281390979</v>
      </c>
      <c r="M6" s="38">
        <f>'08_P5_Assumptions'!M6</f>
        <v>267230.44217471726</v>
      </c>
      <c r="N6" s="26" t="s">
        <v>398</v>
      </c>
      <c r="O6" s="28" t="s">
        <v>399</v>
      </c>
    </row>
    <row r="7" spans="1:15">
      <c r="A7" s="25" t="s">
        <v>397</v>
      </c>
      <c r="B7" s="26" t="s">
        <v>18</v>
      </c>
      <c r="C7" s="26" t="s">
        <v>14</v>
      </c>
      <c r="D7" s="33">
        <f>'03_Historical_FS'!D8</f>
        <v>95325.974107639995</v>
      </c>
      <c r="E7" s="33">
        <f>'03_Historical_FS'!E8</f>
        <v>102542.735094</v>
      </c>
      <c r="F7" s="33">
        <f>'03_Historical_FS'!F8</f>
        <v>95759.175292</v>
      </c>
      <c r="G7" s="33">
        <f>'03_Historical_FS'!G8</f>
        <v>106841.94277199999</v>
      </c>
      <c r="H7" s="33">
        <f>'03_Historical_FS'!H8</f>
        <v>124926.26822</v>
      </c>
      <c r="I7" s="38">
        <f>I6*(1-'08_P5_Assumptions'!I8)</f>
        <v>147075</v>
      </c>
      <c r="J7" s="38">
        <f>J6*(1-'08_P5_Assumptions'!J8)</f>
        <v>166876.19788843964</v>
      </c>
      <c r="K7" s="38">
        <f>K6*(1-'08_P5_Assumptions'!K8)</f>
        <v>183293.22120016001</v>
      </c>
      <c r="L7" s="38">
        <f>L6*(1-'08_P5_Assumptions'!L8)</f>
        <v>197878.89045017483</v>
      </c>
      <c r="M7" s="38">
        <f>M6*(1-'08_P5_Assumptions'!M8)</f>
        <v>210577.58843367721</v>
      </c>
      <c r="N7" s="26" t="s">
        <v>400</v>
      </c>
      <c r="O7" s="28" t="s">
        <v>401</v>
      </c>
    </row>
    <row r="8" spans="1:15">
      <c r="A8" s="25" t="s">
        <v>402</v>
      </c>
      <c r="B8" s="26" t="s">
        <v>219</v>
      </c>
      <c r="C8" s="26" t="s">
        <v>220</v>
      </c>
      <c r="D8" s="33">
        <f>'05_Ratio_Analysis'!D21</f>
        <v>111.68036715009337</v>
      </c>
      <c r="E8" s="33">
        <f>'05_Ratio_Analysis'!E21</f>
        <v>97.642744472339714</v>
      </c>
      <c r="F8" s="33">
        <f>'05_Ratio_Analysis'!F21</f>
        <v>90.565286949657164</v>
      </c>
      <c r="G8" s="33">
        <f>'05_Ratio_Analysis'!G21</f>
        <v>75.275460392790734</v>
      </c>
      <c r="H8" s="33">
        <f>'05_Ratio_Analysis'!H21</f>
        <v>72.329495178868314</v>
      </c>
      <c r="I8" s="38">
        <f>'08_P5_Assumptions'!I20</f>
        <v>73</v>
      </c>
      <c r="J8" s="38">
        <f>'08_P5_Assumptions'!J20</f>
        <v>72</v>
      </c>
      <c r="K8" s="38">
        <f>'08_P5_Assumptions'!K20</f>
        <v>70</v>
      </c>
      <c r="L8" s="38">
        <f>'08_P5_Assumptions'!L20</f>
        <v>69</v>
      </c>
      <c r="M8" s="38">
        <f>'08_P5_Assumptions'!M20</f>
        <v>68</v>
      </c>
      <c r="N8" s="26" t="s">
        <v>398</v>
      </c>
      <c r="O8" s="28" t="s">
        <v>403</v>
      </c>
    </row>
    <row r="9" spans="1:15">
      <c r="A9" s="25" t="s">
        <v>402</v>
      </c>
      <c r="B9" s="26" t="s">
        <v>221</v>
      </c>
      <c r="C9" s="26" t="s">
        <v>220</v>
      </c>
      <c r="D9" s="33">
        <f>'05_Ratio_Analysis'!D22</f>
        <v>9.3867298074713634</v>
      </c>
      <c r="E9" s="33">
        <f>'05_Ratio_Analysis'!E22</f>
        <v>8.4310057530902416</v>
      </c>
      <c r="F9" s="33">
        <f>'05_Ratio_Analysis'!F22</f>
        <v>12.589977892093955</v>
      </c>
      <c r="G9" s="33">
        <f>'05_Ratio_Analysis'!G22</f>
        <v>18.998026599609446</v>
      </c>
      <c r="H9" s="33">
        <f>'05_Ratio_Analysis'!H22</f>
        <v>22.248027213278089</v>
      </c>
      <c r="I9" s="38">
        <f>'08_P5_Assumptions'!I21</f>
        <v>18</v>
      </c>
      <c r="J9" s="38">
        <f>'08_P5_Assumptions'!J21</f>
        <v>17</v>
      </c>
      <c r="K9" s="38">
        <f>'08_P5_Assumptions'!K21</f>
        <v>16</v>
      </c>
      <c r="L9" s="38">
        <f>'08_P5_Assumptions'!L21</f>
        <v>15</v>
      </c>
      <c r="M9" s="38">
        <f>'08_P5_Assumptions'!M21</f>
        <v>15</v>
      </c>
      <c r="N9" s="26" t="s">
        <v>398</v>
      </c>
      <c r="O9" s="28" t="s">
        <v>403</v>
      </c>
    </row>
    <row r="10" spans="1:15">
      <c r="A10" s="25" t="s">
        <v>402</v>
      </c>
      <c r="B10" s="26" t="s">
        <v>222</v>
      </c>
      <c r="C10" s="26" t="s">
        <v>220</v>
      </c>
      <c r="D10" s="33">
        <f>'05_Ratio_Analysis'!D23</f>
        <v>46.635954505568613</v>
      </c>
      <c r="E10" s="33">
        <f>'05_Ratio_Analysis'!E23</f>
        <v>37.242252027222442</v>
      </c>
      <c r="F10" s="33">
        <f>'05_Ratio_Analysis'!F23</f>
        <v>31.775583949752384</v>
      </c>
      <c r="G10" s="33">
        <f>'05_Ratio_Analysis'!G23</f>
        <v>29.220488924090155</v>
      </c>
      <c r="H10" s="33">
        <f>'05_Ratio_Analysis'!H23</f>
        <v>32.567772400057535</v>
      </c>
      <c r="I10" s="38">
        <f>'08_P5_Assumptions'!I22</f>
        <v>33</v>
      </c>
      <c r="J10" s="38">
        <f>'08_P5_Assumptions'!J22</f>
        <v>34</v>
      </c>
      <c r="K10" s="38">
        <f>'08_P5_Assumptions'!K22</f>
        <v>34</v>
      </c>
      <c r="L10" s="38">
        <f>'08_P5_Assumptions'!L22</f>
        <v>34</v>
      </c>
      <c r="M10" s="38">
        <f>'08_P5_Assumptions'!M22</f>
        <v>34</v>
      </c>
      <c r="N10" s="26" t="s">
        <v>398</v>
      </c>
      <c r="O10" s="28" t="s">
        <v>403</v>
      </c>
    </row>
    <row r="11" spans="1:15">
      <c r="A11" s="25" t="s">
        <v>404</v>
      </c>
      <c r="B11" s="26" t="s">
        <v>61</v>
      </c>
      <c r="C11" s="26" t="s">
        <v>14</v>
      </c>
      <c r="D11" s="33">
        <f>'03_Historical_FS'!D31</f>
        <v>3162.1219715860002</v>
      </c>
      <c r="E11" s="33">
        <f>'03_Historical_FS'!E31</f>
        <v>3000.817466</v>
      </c>
      <c r="F11" s="33">
        <f>'03_Historical_FS'!F31</f>
        <v>5158.8533379999999</v>
      </c>
      <c r="G11" s="33">
        <f>'03_Historical_FS'!G31</f>
        <v>8825.8962250000004</v>
      </c>
      <c r="H11" s="33">
        <f>'03_Historical_FS'!H31</f>
        <v>10182.835977999999</v>
      </c>
      <c r="I11" s="38">
        <f>I6*I9/365</f>
        <v>9123.2876712328762</v>
      </c>
      <c r="J11" s="38">
        <f>J6*J9/365</f>
        <v>9813.5303864102461</v>
      </c>
      <c r="K11" s="38">
        <f>K6*K9/365</f>
        <v>10170.596633267071</v>
      </c>
      <c r="L11" s="38">
        <f>L6*L9/365</f>
        <v>10306.729019749717</v>
      </c>
      <c r="M11" s="38">
        <f>M6*M9/365</f>
        <v>10982.072966084272</v>
      </c>
      <c r="N11" s="26" t="s">
        <v>405</v>
      </c>
      <c r="O11" s="28" t="s">
        <v>406</v>
      </c>
    </row>
    <row r="12" spans="1:15">
      <c r="A12" s="25" t="s">
        <v>404</v>
      </c>
      <c r="B12" s="26" t="s">
        <v>63</v>
      </c>
      <c r="C12" s="26" t="s">
        <v>14</v>
      </c>
      <c r="D12" s="33">
        <f>'03_Historical_FS'!D32</f>
        <v>29167.232293921999</v>
      </c>
      <c r="E12" s="33">
        <f>'03_Historical_FS'!E32</f>
        <v>25696.077734999999</v>
      </c>
      <c r="F12" s="33">
        <f>'03_Historical_FS'!F32</f>
        <v>21824.235626000002</v>
      </c>
      <c r="G12" s="33">
        <f>'03_Historical_FS'!G32</f>
        <v>22244.676327000001</v>
      </c>
      <c r="H12" s="33">
        <f>'03_Historical_FS'!H32</f>
        <v>27266.851974000001</v>
      </c>
      <c r="I12" s="38">
        <f>I7*I8/365</f>
        <v>29415</v>
      </c>
      <c r="J12" s="38">
        <f>J7*J8/365</f>
        <v>32918.044514979869</v>
      </c>
      <c r="K12" s="38">
        <f>K7*K8/365</f>
        <v>35152.12461372932</v>
      </c>
      <c r="L12" s="38">
        <f>L7*L8/365</f>
        <v>37407.242304279622</v>
      </c>
      <c r="M12" s="38">
        <f>M7*M8/365</f>
        <v>39230.893187643975</v>
      </c>
      <c r="N12" s="26" t="s">
        <v>405</v>
      </c>
      <c r="O12" s="28" t="s">
        <v>407</v>
      </c>
    </row>
    <row r="13" spans="1:15">
      <c r="A13" s="25" t="s">
        <v>404</v>
      </c>
      <c r="B13" s="26" t="s">
        <v>77</v>
      </c>
      <c r="C13" s="26" t="s">
        <v>14</v>
      </c>
      <c r="D13" s="33">
        <f>'03_Historical_FS'!D39</f>
        <v>12179.774771734001</v>
      </c>
      <c r="E13" s="33">
        <f>'03_Historical_FS'!E39</f>
        <v>8745.8273320000008</v>
      </c>
      <c r="F13" s="33">
        <f>'03_Historical_FS'!F39</f>
        <v>7927.0697280000004</v>
      </c>
      <c r="G13" s="33">
        <f>'03_Historical_FS'!G39</f>
        <v>9179.6360550000009</v>
      </c>
      <c r="H13" s="33">
        <f>'03_Historical_FS'!H39</f>
        <v>13113.899672</v>
      </c>
      <c r="I13" s="38">
        <f>I7*I10/365</f>
        <v>13297.191780821919</v>
      </c>
      <c r="J13" s="38">
        <f>J7*J10/365</f>
        <v>15544.632132073828</v>
      </c>
      <c r="K13" s="38">
        <f>K7*K10/365</f>
        <v>17073.889098097097</v>
      </c>
      <c r="L13" s="38">
        <f>L7*L10/365</f>
        <v>18432.554178920396</v>
      </c>
      <c r="M13" s="38">
        <f>M7*M10/365</f>
        <v>19615.446593821987</v>
      </c>
      <c r="N13" s="26" t="s">
        <v>405</v>
      </c>
      <c r="O13" s="28" t="s">
        <v>408</v>
      </c>
    </row>
    <row r="14" spans="1:15">
      <c r="A14" s="25" t="s">
        <v>404</v>
      </c>
      <c r="B14" s="26" t="s">
        <v>100</v>
      </c>
      <c r="C14" s="26" t="s">
        <v>14</v>
      </c>
      <c r="D14" s="33">
        <f>'03_Historical_FS'!D52</f>
        <v>20149.579493773999</v>
      </c>
      <c r="E14" s="33">
        <f>'03_Historical_FS'!E52</f>
        <v>19951.067868999999</v>
      </c>
      <c r="F14" s="33">
        <f>'03_Historical_FS'!F52</f>
        <v>19056.019236</v>
      </c>
      <c r="G14" s="33">
        <f>'03_Historical_FS'!G52</f>
        <v>21890.936497000002</v>
      </c>
      <c r="H14" s="33">
        <f>'03_Historical_FS'!H52</f>
        <v>24335.788280000001</v>
      </c>
      <c r="I14" s="38">
        <f>I11+I12-I13</f>
        <v>25241.095890410954</v>
      </c>
      <c r="J14" s="38">
        <f>J11+J12-J13</f>
        <v>27186.942769316287</v>
      </c>
      <c r="K14" s="38">
        <f>K11+K12-K13</f>
        <v>28248.832148899295</v>
      </c>
      <c r="L14" s="38">
        <f>L11+L12-L13</f>
        <v>29281.417145108939</v>
      </c>
      <c r="M14" s="38">
        <f>M11+M12-M13</f>
        <v>30597.519559906257</v>
      </c>
      <c r="N14" s="26" t="s">
        <v>24</v>
      </c>
      <c r="O14" s="28" t="s">
        <v>409</v>
      </c>
    </row>
    <row r="15" spans="1:15">
      <c r="A15" s="25" t="s">
        <v>410</v>
      </c>
      <c r="B15" s="26" t="s">
        <v>411</v>
      </c>
      <c r="C15" s="26" t="s">
        <v>14</v>
      </c>
      <c r="D15" s="33"/>
      <c r="E15" s="33">
        <f t="shared" ref="E15:M15" si="0">E14-D14</f>
        <v>-198.51162477400067</v>
      </c>
      <c r="F15" s="33">
        <f t="shared" si="0"/>
        <v>-895.04863299999852</v>
      </c>
      <c r="G15" s="33">
        <f t="shared" si="0"/>
        <v>2834.9172610000023</v>
      </c>
      <c r="H15" s="33">
        <f t="shared" si="0"/>
        <v>2444.8517829999982</v>
      </c>
      <c r="I15" s="38">
        <f t="shared" si="0"/>
        <v>905.3076104109532</v>
      </c>
      <c r="J15" s="38">
        <f t="shared" si="0"/>
        <v>1945.8468789053331</v>
      </c>
      <c r="K15" s="38">
        <f t="shared" si="0"/>
        <v>1061.8893795830081</v>
      </c>
      <c r="L15" s="38">
        <f t="shared" si="0"/>
        <v>1032.5849962096436</v>
      </c>
      <c r="M15" s="38">
        <f t="shared" si="0"/>
        <v>1316.1024147973185</v>
      </c>
      <c r="N15" s="26" t="s">
        <v>24</v>
      </c>
      <c r="O15" s="28" t="s">
        <v>412</v>
      </c>
    </row>
    <row r="16" spans="1:15">
      <c r="A16" s="25" t="s">
        <v>402</v>
      </c>
      <c r="B16" s="26" t="s">
        <v>223</v>
      </c>
      <c r="C16" s="26" t="s">
        <v>220</v>
      </c>
      <c r="D16" s="33">
        <f t="shared" ref="D16:M16" si="1">D8+D9-D10</f>
        <v>74.431142451996124</v>
      </c>
      <c r="E16" s="33">
        <f t="shared" si="1"/>
        <v>68.831498198207527</v>
      </c>
      <c r="F16" s="33">
        <f t="shared" si="1"/>
        <v>71.379680891998731</v>
      </c>
      <c r="G16" s="33">
        <f t="shared" si="1"/>
        <v>65.052998068310018</v>
      </c>
      <c r="H16" s="33">
        <f t="shared" si="1"/>
        <v>62.009749992088871</v>
      </c>
      <c r="I16" s="38">
        <f t="shared" si="1"/>
        <v>58</v>
      </c>
      <c r="J16" s="38">
        <f t="shared" si="1"/>
        <v>55</v>
      </c>
      <c r="K16" s="38">
        <f t="shared" si="1"/>
        <v>52</v>
      </c>
      <c r="L16" s="38">
        <f t="shared" si="1"/>
        <v>50</v>
      </c>
      <c r="M16" s="38">
        <f t="shared" si="1"/>
        <v>49</v>
      </c>
      <c r="N16" s="26" t="s">
        <v>24</v>
      </c>
      <c r="O16" s="28" t="s">
        <v>413</v>
      </c>
    </row>
    <row r="17" spans="1:15">
      <c r="A17" s="25"/>
      <c r="B17" s="26"/>
      <c r="C17" s="26"/>
      <c r="D17" s="55"/>
      <c r="E17" s="55"/>
      <c r="F17" s="55"/>
      <c r="G17" s="55"/>
      <c r="H17" s="55"/>
      <c r="I17" s="53"/>
      <c r="J17" s="53"/>
      <c r="K17" s="53"/>
      <c r="L17" s="53"/>
      <c r="M17" s="53"/>
      <c r="N17" s="26"/>
      <c r="O17" s="28"/>
    </row>
    <row r="18" spans="1:15">
      <c r="A18" s="25"/>
      <c r="B18" s="26"/>
      <c r="C18" s="26"/>
      <c r="D18" s="55"/>
      <c r="E18" s="55"/>
      <c r="F18" s="55"/>
      <c r="G18" s="55"/>
      <c r="H18" s="55"/>
      <c r="I18" s="53"/>
      <c r="J18" s="53"/>
      <c r="K18" s="53"/>
      <c r="L18" s="53"/>
      <c r="M18" s="53"/>
      <c r="N18" s="26"/>
      <c r="O18" s="28"/>
    </row>
    <row r="19" spans="1:15">
      <c r="A19" s="25"/>
      <c r="B19" s="26"/>
      <c r="C19" s="26"/>
      <c r="D19" s="55"/>
      <c r="E19" s="55"/>
      <c r="F19" s="55"/>
      <c r="G19" s="55"/>
      <c r="H19" s="55"/>
      <c r="I19" s="53"/>
      <c r="J19" s="53"/>
      <c r="K19" s="53"/>
      <c r="L19" s="53"/>
      <c r="M19" s="53"/>
      <c r="N19" s="26"/>
      <c r="O19" s="28"/>
    </row>
    <row r="20" spans="1:15">
      <c r="A20" s="25"/>
      <c r="B20" s="26"/>
      <c r="C20" s="26"/>
      <c r="D20" s="55"/>
      <c r="E20" s="55"/>
      <c r="F20" s="55"/>
      <c r="G20" s="55"/>
      <c r="H20" s="55"/>
      <c r="I20" s="53"/>
      <c r="J20" s="53"/>
      <c r="K20" s="53"/>
      <c r="L20" s="53"/>
      <c r="M20" s="53"/>
      <c r="N20" s="26"/>
      <c r="O20" s="28"/>
    </row>
    <row r="21" spans="1:15">
      <c r="A21" s="25"/>
      <c r="B21" s="26"/>
      <c r="C21" s="26"/>
      <c r="D21" s="55"/>
      <c r="E21" s="55"/>
      <c r="F21" s="55"/>
      <c r="G21" s="55"/>
      <c r="H21" s="55"/>
      <c r="I21" s="53"/>
      <c r="J21" s="53"/>
      <c r="K21" s="53"/>
      <c r="L21" s="53"/>
      <c r="M21" s="53"/>
      <c r="N21" s="26"/>
      <c r="O21" s="28"/>
    </row>
    <row r="22" spans="1:15">
      <c r="A22" s="25"/>
      <c r="B22" s="26"/>
      <c r="C22" s="26"/>
      <c r="D22" s="55"/>
      <c r="E22" s="55"/>
      <c r="F22" s="55"/>
      <c r="G22" s="55"/>
      <c r="H22" s="55"/>
      <c r="I22" s="53"/>
      <c r="J22" s="53"/>
      <c r="K22" s="53"/>
      <c r="L22" s="53"/>
      <c r="M22" s="53"/>
      <c r="N22" s="26"/>
      <c r="O22" s="28"/>
    </row>
    <row r="23" spans="1:15">
      <c r="A23" s="25"/>
      <c r="B23" s="26"/>
      <c r="C23" s="26"/>
      <c r="D23" s="55"/>
      <c r="E23" s="55"/>
      <c r="F23" s="55"/>
      <c r="G23" s="55"/>
      <c r="H23" s="55"/>
      <c r="I23" s="53"/>
      <c r="J23" s="53"/>
      <c r="K23" s="53"/>
      <c r="L23" s="53"/>
      <c r="M23" s="53"/>
      <c r="N23" s="26"/>
      <c r="O23" s="28"/>
    </row>
    <row r="24" spans="1:15">
      <c r="A24" s="25"/>
      <c r="B24" s="26"/>
      <c r="C24" s="26"/>
      <c r="D24" s="55"/>
      <c r="E24" s="55"/>
      <c r="F24" s="55"/>
      <c r="G24" s="55"/>
      <c r="H24" s="55"/>
      <c r="I24" s="53"/>
      <c r="J24" s="53"/>
      <c r="K24" s="53"/>
      <c r="L24" s="53"/>
      <c r="M24" s="53"/>
      <c r="N24" s="26"/>
      <c r="O24" s="28"/>
    </row>
    <row r="25" spans="1:15">
      <c r="A25" s="25"/>
      <c r="B25" s="26"/>
      <c r="C25" s="26"/>
      <c r="D25" s="55"/>
      <c r="E25" s="55"/>
      <c r="F25" s="55"/>
      <c r="G25" s="55"/>
      <c r="H25" s="55"/>
      <c r="I25" s="53"/>
      <c r="J25" s="53"/>
      <c r="K25" s="53"/>
      <c r="L25" s="53"/>
      <c r="M25" s="53"/>
      <c r="N25" s="26"/>
      <c r="O25" s="28"/>
    </row>
    <row r="26" spans="1:15">
      <c r="A26" s="25"/>
      <c r="B26" s="26"/>
      <c r="C26" s="26"/>
      <c r="D26" s="55"/>
      <c r="E26" s="55"/>
      <c r="F26" s="55"/>
      <c r="G26" s="55"/>
      <c r="H26" s="55"/>
      <c r="I26" s="53"/>
      <c r="J26" s="53"/>
      <c r="K26" s="53"/>
      <c r="L26" s="53"/>
      <c r="M26" s="53"/>
      <c r="N26" s="26"/>
      <c r="O26" s="28"/>
    </row>
    <row r="27" spans="1:15">
      <c r="A27" s="25"/>
      <c r="B27" s="26"/>
      <c r="C27" s="26"/>
      <c r="D27" s="55"/>
      <c r="E27" s="55"/>
      <c r="F27" s="55"/>
      <c r="G27" s="55"/>
      <c r="H27" s="55"/>
      <c r="I27" s="53"/>
      <c r="J27" s="53"/>
      <c r="K27" s="53"/>
      <c r="L27" s="53"/>
      <c r="M27" s="53"/>
      <c r="N27" s="26"/>
      <c r="O27" s="28"/>
    </row>
    <row r="28" spans="1:15">
      <c r="A28" s="25"/>
      <c r="B28" s="26"/>
      <c r="C28" s="26"/>
      <c r="D28" s="55"/>
      <c r="E28" s="55"/>
      <c r="F28" s="55"/>
      <c r="G28" s="55"/>
      <c r="H28" s="55"/>
      <c r="I28" s="53"/>
      <c r="J28" s="53"/>
      <c r="K28" s="53"/>
      <c r="L28" s="53"/>
      <c r="M28" s="53"/>
      <c r="N28" s="26"/>
      <c r="O28" s="28"/>
    </row>
    <row r="29" spans="1:15">
      <c r="A29" s="25"/>
      <c r="B29" s="26"/>
      <c r="C29" s="26"/>
      <c r="D29" s="55"/>
      <c r="E29" s="55"/>
      <c r="F29" s="55"/>
      <c r="G29" s="55"/>
      <c r="H29" s="55"/>
      <c r="I29" s="53"/>
      <c r="J29" s="53"/>
      <c r="K29" s="53"/>
      <c r="L29" s="53"/>
      <c r="M29" s="53"/>
      <c r="N29" s="26"/>
      <c r="O29" s="28"/>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9"/>
      <c r="B45" s="30"/>
      <c r="C45" s="30"/>
      <c r="D45" s="56"/>
      <c r="E45" s="56"/>
      <c r="F45" s="56"/>
      <c r="G45" s="56"/>
      <c r="H45" s="56"/>
      <c r="I45" s="54"/>
      <c r="J45" s="54"/>
      <c r="K45" s="54"/>
      <c r="L45" s="54"/>
      <c r="M45" s="54"/>
      <c r="N45" s="30"/>
      <c r="O45" s="32"/>
    </row>
  </sheetData>
  <mergeCells count="2">
    <mergeCell ref="C1:O1"/>
    <mergeCell ref="C2:O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50"/>
  <sheetViews>
    <sheetView showGridLines="0" topLeftCell="F1" zoomScale="130" zoomScaleNormal="130" workbookViewId="0">
      <selection sqref="A1:O1"/>
    </sheetView>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430</v>
      </c>
      <c r="B1" s="467"/>
      <c r="C1" s="467"/>
      <c r="D1" s="467"/>
      <c r="E1" s="467"/>
      <c r="F1" s="467"/>
      <c r="G1" s="467"/>
      <c r="H1" s="467"/>
      <c r="I1" s="467"/>
      <c r="J1" s="467"/>
      <c r="K1" s="467"/>
      <c r="L1" s="467"/>
      <c r="M1" s="467"/>
      <c r="N1" s="467"/>
      <c r="O1" s="468"/>
    </row>
    <row r="2" spans="1:15" ht="14.4">
      <c r="A2" s="469" t="s">
        <v>431</v>
      </c>
      <c r="B2" s="470"/>
      <c r="C2" s="470"/>
      <c r="D2" s="470"/>
      <c r="E2" s="470"/>
      <c r="F2" s="470"/>
      <c r="G2" s="470"/>
      <c r="H2" s="470"/>
      <c r="I2" s="470"/>
      <c r="J2" s="470"/>
      <c r="K2" s="470"/>
      <c r="L2" s="470"/>
      <c r="M2" s="470"/>
      <c r="N2" s="470"/>
      <c r="O2" s="465"/>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30" customHeight="1">
      <c r="A5" s="352" t="s">
        <v>432</v>
      </c>
      <c r="B5" s="327"/>
      <c r="C5" s="327"/>
      <c r="D5" s="353"/>
      <c r="E5" s="353"/>
      <c r="F5" s="353"/>
      <c r="G5" s="353"/>
      <c r="H5" s="353"/>
      <c r="I5" s="353"/>
      <c r="J5" s="353"/>
      <c r="K5" s="353"/>
      <c r="L5" s="353"/>
      <c r="M5" s="353"/>
      <c r="N5" s="327"/>
      <c r="O5" s="356"/>
    </row>
    <row r="6" spans="1:15">
      <c r="A6" s="25" t="s">
        <v>397</v>
      </c>
      <c r="B6" s="26" t="s">
        <v>17</v>
      </c>
      <c r="C6" s="26" t="s">
        <v>14</v>
      </c>
      <c r="D6" s="33">
        <f>'03_Historical_FS'!D7</f>
        <v>122958.106103174</v>
      </c>
      <c r="E6" s="33">
        <f>'03_Historical_FS'!E7</f>
        <v>133404.77759099999</v>
      </c>
      <c r="F6" s="33">
        <f>'03_Historical_FS'!F7</f>
        <v>118279.788455</v>
      </c>
      <c r="G6" s="33">
        <f>'03_Historical_FS'!G7</f>
        <v>134341.15284900001</v>
      </c>
      <c r="H6" s="33">
        <f>'03_Historical_FS'!H7</f>
        <v>155928.14561899999</v>
      </c>
      <c r="I6" s="38">
        <f>'08_P5_Assumptions'!I6</f>
        <v>185000</v>
      </c>
      <c r="J6" s="38">
        <f>'08_P5_Assumptions'!J6</f>
        <v>210702.27006116117</v>
      </c>
      <c r="K6" s="38">
        <f>'08_P5_Assumptions'!K6</f>
        <v>232016.73569640506</v>
      </c>
      <c r="L6" s="38">
        <f>'08_P5_Assumptions'!L6</f>
        <v>250797.07281390979</v>
      </c>
      <c r="M6" s="38">
        <f>'08_P5_Assumptions'!M6</f>
        <v>267230.44217471726</v>
      </c>
      <c r="N6" s="26" t="s">
        <v>398</v>
      </c>
      <c r="O6" s="28" t="s">
        <v>399</v>
      </c>
    </row>
    <row r="7" spans="1:15">
      <c r="A7" s="25" t="s">
        <v>380</v>
      </c>
      <c r="B7" s="26" t="s">
        <v>98</v>
      </c>
      <c r="C7" s="26" t="s">
        <v>14</v>
      </c>
      <c r="D7" s="33">
        <f>'03_Historical_FS'!D50</f>
        <v>24647.474278786001</v>
      </c>
      <c r="E7" s="33">
        <f>'03_Historical_FS'!E50</f>
        <v>16589.388631000002</v>
      </c>
      <c r="F7" s="33">
        <f>'03_Historical_FS'!F50</f>
        <v>25113.791818000002</v>
      </c>
      <c r="G7" s="33">
        <f>'03_Historical_FS'!G50</f>
        <v>27300.246722</v>
      </c>
      <c r="H7" s="33">
        <f>'03_Historical_FS'!H50</f>
        <v>29930.942962000001</v>
      </c>
      <c r="I7" s="38">
        <f>I6*'08_P5_Assumptions'!I23</f>
        <v>35150</v>
      </c>
      <c r="J7" s="38">
        <f>J6*'08_P5_Assumptions'!J23</f>
        <v>37926.408611009007</v>
      </c>
      <c r="K7" s="38">
        <f>K6*'08_P5_Assumptions'!K23</f>
        <v>39442.845068388866</v>
      </c>
      <c r="L7" s="38">
        <f>L6*'08_P5_Assumptions'!L23</f>
        <v>40127.531650225566</v>
      </c>
      <c r="M7" s="38">
        <f>M6*'08_P5_Assumptions'!M23</f>
        <v>40084.56632620759</v>
      </c>
      <c r="N7" s="26" t="s">
        <v>405</v>
      </c>
      <c r="O7" s="28" t="s">
        <v>433</v>
      </c>
    </row>
    <row r="8" spans="1:15">
      <c r="A8" s="25" t="s">
        <v>380</v>
      </c>
      <c r="B8" s="26" t="s">
        <v>434</v>
      </c>
      <c r="C8" s="26" t="s">
        <v>23</v>
      </c>
      <c r="D8" s="36">
        <f t="shared" ref="D8:M8" si="0">IFERROR(D7/D6,"")</f>
        <v>0.20045424461974337</v>
      </c>
      <c r="E8" s="36">
        <f t="shared" si="0"/>
        <v>0.12435378200517451</v>
      </c>
      <c r="F8" s="36">
        <f t="shared" si="0"/>
        <v>0.2123253021166388</v>
      </c>
      <c r="G8" s="36">
        <f t="shared" si="0"/>
        <v>0.20321581394113528</v>
      </c>
      <c r="H8" s="36">
        <f t="shared" si="0"/>
        <v>0.19195343369973925</v>
      </c>
      <c r="I8" s="34">
        <f t="shared" si="0"/>
        <v>0.19</v>
      </c>
      <c r="J8" s="34">
        <f t="shared" si="0"/>
        <v>0.18</v>
      </c>
      <c r="K8" s="34">
        <f t="shared" si="0"/>
        <v>0.17000000000000004</v>
      </c>
      <c r="L8" s="34">
        <f t="shared" si="0"/>
        <v>0.16</v>
      </c>
      <c r="M8" s="34">
        <f t="shared" si="0"/>
        <v>0.15</v>
      </c>
      <c r="N8" s="26" t="s">
        <v>24</v>
      </c>
      <c r="O8" s="28" t="s">
        <v>435</v>
      </c>
    </row>
    <row r="9" spans="1:15">
      <c r="A9" s="25" t="s">
        <v>380</v>
      </c>
      <c r="B9" s="26" t="s">
        <v>436</v>
      </c>
      <c r="C9" s="26" t="s">
        <v>14</v>
      </c>
      <c r="D9" s="33">
        <f>D7</f>
        <v>24647.474278786001</v>
      </c>
      <c r="E9" s="33">
        <f t="shared" ref="E9:M9" si="1">AVERAGE(D7,E7)</f>
        <v>20618.431454893002</v>
      </c>
      <c r="F9" s="33">
        <f t="shared" si="1"/>
        <v>20851.590224500003</v>
      </c>
      <c r="G9" s="33">
        <f t="shared" si="1"/>
        <v>26207.019270000001</v>
      </c>
      <c r="H9" s="33">
        <f t="shared" si="1"/>
        <v>28615.594841999999</v>
      </c>
      <c r="I9" s="38">
        <f t="shared" si="1"/>
        <v>32540.471481</v>
      </c>
      <c r="J9" s="38">
        <f t="shared" si="1"/>
        <v>36538.204305504507</v>
      </c>
      <c r="K9" s="38">
        <f t="shared" si="1"/>
        <v>38684.626839698933</v>
      </c>
      <c r="L9" s="38">
        <f t="shared" si="1"/>
        <v>39785.188359307213</v>
      </c>
      <c r="M9" s="38">
        <f t="shared" si="1"/>
        <v>40106.048988216578</v>
      </c>
      <c r="N9" s="26" t="s">
        <v>24</v>
      </c>
      <c r="O9" s="28" t="s">
        <v>437</v>
      </c>
    </row>
    <row r="10" spans="1:15">
      <c r="A10" s="25" t="s">
        <v>438</v>
      </c>
      <c r="B10" s="26" t="s">
        <v>439</v>
      </c>
      <c r="C10" s="26" t="s">
        <v>23</v>
      </c>
      <c r="D10" s="36">
        <f>'08_P5_Assumptions'!D12</f>
        <v>2.7362955674913828E-2</v>
      </c>
      <c r="E10" s="36">
        <f>'08_P5_Assumptions'!E12</f>
        <v>6.6064380890465207E-2</v>
      </c>
      <c r="F10" s="36">
        <f>'08_P5_Assumptions'!F12</f>
        <v>6.9429637711706682E-2</v>
      </c>
      <c r="G10" s="36">
        <f>'08_P5_Assumptions'!G12</f>
        <v>4.3394333338085116E-2</v>
      </c>
      <c r="H10" s="36">
        <f>'08_P5_Assumptions'!H12</f>
        <v>5.1394199635558288E-2</v>
      </c>
      <c r="I10" s="34">
        <f>'08_P5_Assumptions'!I12</f>
        <v>5.1999999999999998E-2</v>
      </c>
      <c r="J10" s="34">
        <f>'08_P5_Assumptions'!J12</f>
        <v>5.1999999999999998E-2</v>
      </c>
      <c r="K10" s="34">
        <f>'08_P5_Assumptions'!K12</f>
        <v>5.0999999999999997E-2</v>
      </c>
      <c r="L10" s="34">
        <f>'08_P5_Assumptions'!L12</f>
        <v>0.05</v>
      </c>
      <c r="M10" s="34">
        <f>'08_P5_Assumptions'!M12</f>
        <v>0.05</v>
      </c>
      <c r="N10" s="26" t="s">
        <v>398</v>
      </c>
      <c r="O10" s="28" t="s">
        <v>403</v>
      </c>
    </row>
    <row r="11" spans="1:15">
      <c r="A11" s="25" t="s">
        <v>438</v>
      </c>
      <c r="B11" s="26" t="s">
        <v>29</v>
      </c>
      <c r="C11" s="26" t="s">
        <v>14</v>
      </c>
      <c r="D11" s="33">
        <f>'03_Historical_FS'!D13</f>
        <v>674.427746189</v>
      </c>
      <c r="E11" s="33">
        <f>'03_Historical_FS'!E13</f>
        <v>1362.1439089999999</v>
      </c>
      <c r="F11" s="33">
        <f>'03_Historical_FS'!F13</f>
        <v>1447.718355</v>
      </c>
      <c r="G11" s="33">
        <f>'03_Historical_FS'!G13</f>
        <v>1137.23613</v>
      </c>
      <c r="H11" s="33">
        <f>'03_Historical_FS'!H13</f>
        <v>1470.675594</v>
      </c>
      <c r="I11" s="38">
        <f>I9*I10</f>
        <v>1692.1045170119999</v>
      </c>
      <c r="J11" s="38">
        <f>J9*J10</f>
        <v>1899.9866238862344</v>
      </c>
      <c r="K11" s="38">
        <f>K9*K10</f>
        <v>1972.9159688246455</v>
      </c>
      <c r="L11" s="38">
        <f>L9*L10</f>
        <v>1989.2594179653606</v>
      </c>
      <c r="M11" s="38">
        <f>M9*M10</f>
        <v>2005.302449410829</v>
      </c>
      <c r="N11" s="26" t="s">
        <v>405</v>
      </c>
      <c r="O11" s="28" t="s">
        <v>440</v>
      </c>
    </row>
    <row r="12" spans="1:15">
      <c r="A12" s="25" t="s">
        <v>441</v>
      </c>
      <c r="B12" s="26" t="s">
        <v>368</v>
      </c>
      <c r="C12" s="26" t="s">
        <v>23</v>
      </c>
      <c r="D12" s="36">
        <f>'08_P5_Assumptions'!D11</f>
        <v>1.0474754914346823E-2</v>
      </c>
      <c r="E12" s="36">
        <f>'08_P5_Assumptions'!E11</f>
        <v>9.843255449410452E-3</v>
      </c>
      <c r="F12" s="36">
        <f>'08_P5_Assumptions'!F11</f>
        <v>1.8320659373046052E-2</v>
      </c>
      <c r="G12" s="36">
        <f>'08_P5_Assumptions'!G11</f>
        <v>1.7690056655023635E-2</v>
      </c>
      <c r="H12" s="36">
        <f>'08_P5_Assumptions'!H11</f>
        <v>1.9928081114955341E-2</v>
      </c>
      <c r="I12" s="34">
        <f>'08_P5_Assumptions'!I11</f>
        <v>1.7000000000000001E-2</v>
      </c>
      <c r="J12" s="34">
        <f>'08_P5_Assumptions'!J11</f>
        <v>1.6E-2</v>
      </c>
      <c r="K12" s="34">
        <f>'08_P5_Assumptions'!K11</f>
        <v>1.4999999999999999E-2</v>
      </c>
      <c r="L12" s="34">
        <f>'08_P5_Assumptions'!L11</f>
        <v>1.4E-2</v>
      </c>
      <c r="M12" s="34">
        <f>'08_P5_Assumptions'!M11</f>
        <v>1.2999999999999999E-2</v>
      </c>
      <c r="N12" s="26" t="s">
        <v>398</v>
      </c>
      <c r="O12" s="28" t="s">
        <v>403</v>
      </c>
    </row>
    <row r="13" spans="1:15">
      <c r="A13" s="25" t="s">
        <v>441</v>
      </c>
      <c r="B13" s="26" t="s">
        <v>25</v>
      </c>
      <c r="C13" s="26" t="s">
        <v>14</v>
      </c>
      <c r="D13" s="33">
        <f>'03_Historical_FS'!D11</f>
        <v>1287.9560261629999</v>
      </c>
      <c r="E13" s="33">
        <f>'03_Historical_FS'!E11</f>
        <v>1313.1373040000001</v>
      </c>
      <c r="F13" s="33">
        <f>'03_Historical_FS'!F11</f>
        <v>2166.9637149999999</v>
      </c>
      <c r="G13" s="33">
        <f>'03_Historical_FS'!G11</f>
        <v>2376.5026050000001</v>
      </c>
      <c r="H13" s="33">
        <f>'03_Historical_FS'!H11</f>
        <v>3107.3487340000001</v>
      </c>
      <c r="I13" s="38">
        <f>I6*I12</f>
        <v>3145</v>
      </c>
      <c r="J13" s="38">
        <f>J6*J12</f>
        <v>3371.2363209785785</v>
      </c>
      <c r="K13" s="38">
        <f>K6*K12</f>
        <v>3480.2510354460755</v>
      </c>
      <c r="L13" s="38">
        <f>L6*L12</f>
        <v>3511.1590193947372</v>
      </c>
      <c r="M13" s="38">
        <f>M6*M12</f>
        <v>3473.9957482713244</v>
      </c>
      <c r="N13" s="26" t="s">
        <v>405</v>
      </c>
      <c r="O13" s="28" t="s">
        <v>442</v>
      </c>
    </row>
    <row r="14" spans="1:15">
      <c r="A14" s="25" t="s">
        <v>443</v>
      </c>
      <c r="B14" s="26" t="s">
        <v>444</v>
      </c>
      <c r="C14" s="26" t="s">
        <v>14</v>
      </c>
      <c r="D14" s="33">
        <f>'03_Historical_FS'!D29+'03_Historical_FS'!D30</f>
        <v>18378.642097262</v>
      </c>
      <c r="E14" s="33">
        <f>'03_Historical_FS'!E29+'03_Historical_FS'!E30</f>
        <v>15130.270152999999</v>
      </c>
      <c r="F14" s="33">
        <f>'03_Historical_FS'!F29+'03_Historical_FS'!F30</f>
        <v>24302.712931000002</v>
      </c>
      <c r="G14" s="33">
        <f>'03_Historical_FS'!G29+'03_Historical_FS'!G30</f>
        <v>34221.773297</v>
      </c>
      <c r="H14" s="33">
        <f>'03_Historical_FS'!H29+'03_Historical_FS'!H30</f>
        <v>38874.195820000001</v>
      </c>
      <c r="I14" s="38">
        <f>'13_Balance_Sheet'!I6</f>
        <v>52287.348155365034</v>
      </c>
      <c r="J14" s="38">
        <f>'13_Balance_Sheet'!J6</f>
        <v>62917.077849961075</v>
      </c>
      <c r="K14" s="38">
        <f>'13_Balance_Sheet'!K6</f>
        <v>74340.381715925541</v>
      </c>
      <c r="L14" s="38">
        <f>'13_Balance_Sheet'!L6</f>
        <v>86675.829232988777</v>
      </c>
      <c r="M14" s="38">
        <f>'13_Balance_Sheet'!M6</f>
        <v>98590.767067225825</v>
      </c>
      <c r="N14" s="26" t="s">
        <v>398</v>
      </c>
      <c r="O14" s="28" t="s">
        <v>445</v>
      </c>
    </row>
    <row r="15" spans="1:15">
      <c r="A15" s="25" t="s">
        <v>443</v>
      </c>
      <c r="B15" s="26" t="s">
        <v>99</v>
      </c>
      <c r="C15" s="26" t="s">
        <v>14</v>
      </c>
      <c r="D15" s="33">
        <f t="shared" ref="D15:M15" si="2">D7-D14</f>
        <v>6268.8321815240015</v>
      </c>
      <c r="E15" s="33">
        <f t="shared" si="2"/>
        <v>1459.1184780000021</v>
      </c>
      <c r="F15" s="33">
        <f t="shared" si="2"/>
        <v>811.07888699999967</v>
      </c>
      <c r="G15" s="33">
        <f t="shared" si="2"/>
        <v>-6921.5265749999999</v>
      </c>
      <c r="H15" s="33">
        <f t="shared" si="2"/>
        <v>-8943.2528579999998</v>
      </c>
      <c r="I15" s="38">
        <f t="shared" si="2"/>
        <v>-17137.348155365034</v>
      </c>
      <c r="J15" s="38">
        <f t="shared" si="2"/>
        <v>-24990.669238952069</v>
      </c>
      <c r="K15" s="38">
        <f t="shared" si="2"/>
        <v>-34897.536647536675</v>
      </c>
      <c r="L15" s="38">
        <f t="shared" si="2"/>
        <v>-46548.297582763211</v>
      </c>
      <c r="M15" s="38">
        <f t="shared" si="2"/>
        <v>-58506.200741018234</v>
      </c>
      <c r="N15" s="26" t="s">
        <v>24</v>
      </c>
      <c r="O15" s="28" t="s">
        <v>446</v>
      </c>
    </row>
    <row r="16" spans="1:15">
      <c r="A16" s="25"/>
      <c r="B16" s="26"/>
      <c r="C16" s="26"/>
      <c r="D16" s="55"/>
      <c r="E16" s="55"/>
      <c r="F16" s="55"/>
      <c r="G16" s="55"/>
      <c r="H16" s="55"/>
      <c r="I16" s="53"/>
      <c r="J16" s="53"/>
      <c r="K16" s="53"/>
      <c r="L16" s="53"/>
      <c r="M16" s="53"/>
      <c r="N16" s="26"/>
      <c r="O16" s="28"/>
    </row>
    <row r="17" spans="1:15">
      <c r="A17" s="25"/>
      <c r="B17" s="26"/>
      <c r="C17" s="26"/>
      <c r="D17" s="55"/>
      <c r="E17" s="55"/>
      <c r="F17" s="55"/>
      <c r="G17" s="55"/>
      <c r="H17" s="55"/>
      <c r="I17" s="53"/>
      <c r="J17" s="53"/>
      <c r="K17" s="53"/>
      <c r="L17" s="53"/>
      <c r="M17" s="53"/>
      <c r="N17" s="26"/>
      <c r="O17" s="28"/>
    </row>
    <row r="18" spans="1:15">
      <c r="A18" s="25"/>
      <c r="B18" s="26"/>
      <c r="C18" s="26"/>
      <c r="D18" s="55"/>
      <c r="E18" s="55"/>
      <c r="F18" s="55"/>
      <c r="G18" s="55"/>
      <c r="H18" s="55"/>
      <c r="I18" s="53"/>
      <c r="J18" s="53"/>
      <c r="K18" s="53"/>
      <c r="L18" s="53"/>
      <c r="M18" s="53"/>
      <c r="N18" s="26"/>
      <c r="O18" s="28"/>
    </row>
    <row r="19" spans="1:15">
      <c r="A19" s="25"/>
      <c r="B19" s="26"/>
      <c r="C19" s="26"/>
      <c r="D19" s="55"/>
      <c r="E19" s="55"/>
      <c r="F19" s="55"/>
      <c r="G19" s="55"/>
      <c r="H19" s="55"/>
      <c r="I19" s="53"/>
      <c r="J19" s="53"/>
      <c r="K19" s="53"/>
      <c r="L19" s="53"/>
      <c r="M19" s="53"/>
      <c r="N19" s="26"/>
      <c r="O19" s="28"/>
    </row>
    <row r="20" spans="1:15">
      <c r="A20" s="25"/>
      <c r="B20" s="26"/>
      <c r="C20" s="26"/>
      <c r="D20" s="55"/>
      <c r="E20" s="55"/>
      <c r="F20" s="55"/>
      <c r="G20" s="55"/>
      <c r="H20" s="55"/>
      <c r="I20" s="53"/>
      <c r="J20" s="53"/>
      <c r="K20" s="53"/>
      <c r="L20" s="53"/>
      <c r="M20" s="53"/>
      <c r="N20" s="26"/>
      <c r="O20" s="28"/>
    </row>
    <row r="21" spans="1:15">
      <c r="A21" s="25"/>
      <c r="B21" s="26"/>
      <c r="C21" s="26"/>
      <c r="D21" s="55"/>
      <c r="E21" s="55"/>
      <c r="F21" s="55"/>
      <c r="G21" s="55"/>
      <c r="H21" s="55"/>
      <c r="I21" s="53"/>
      <c r="J21" s="53"/>
      <c r="K21" s="53"/>
      <c r="L21" s="53"/>
      <c r="M21" s="53"/>
      <c r="N21" s="26"/>
      <c r="O21" s="28"/>
    </row>
    <row r="22" spans="1:15">
      <c r="A22" s="25"/>
      <c r="B22" s="26"/>
      <c r="C22" s="26"/>
      <c r="D22" s="55"/>
      <c r="E22" s="55"/>
      <c r="F22" s="55"/>
      <c r="G22" s="55"/>
      <c r="H22" s="55"/>
      <c r="I22" s="53"/>
      <c r="J22" s="53"/>
      <c r="K22" s="53"/>
      <c r="L22" s="53"/>
      <c r="M22" s="53"/>
      <c r="N22" s="26"/>
      <c r="O22" s="28"/>
    </row>
    <row r="23" spans="1:15">
      <c r="A23" s="25"/>
      <c r="B23" s="26"/>
      <c r="C23" s="26"/>
      <c r="D23" s="55"/>
      <c r="E23" s="55"/>
      <c r="F23" s="55"/>
      <c r="G23" s="55"/>
      <c r="H23" s="55"/>
      <c r="I23" s="53"/>
      <c r="J23" s="53"/>
      <c r="K23" s="53"/>
      <c r="L23" s="53"/>
      <c r="M23" s="53"/>
      <c r="N23" s="26"/>
      <c r="O23" s="28"/>
    </row>
    <row r="24" spans="1:15">
      <c r="A24" s="25"/>
      <c r="B24" s="26"/>
      <c r="C24" s="26"/>
      <c r="D24" s="55"/>
      <c r="E24" s="55"/>
      <c r="F24" s="55"/>
      <c r="G24" s="55"/>
      <c r="H24" s="55"/>
      <c r="I24" s="53"/>
      <c r="J24" s="53"/>
      <c r="K24" s="53"/>
      <c r="L24" s="53"/>
      <c r="M24" s="53"/>
      <c r="N24" s="26"/>
      <c r="O24" s="28"/>
    </row>
    <row r="25" spans="1:15">
      <c r="A25" s="25"/>
      <c r="B25" s="26"/>
      <c r="C25" s="26"/>
      <c r="D25" s="55"/>
      <c r="E25" s="55"/>
      <c r="F25" s="55"/>
      <c r="G25" s="55"/>
      <c r="H25" s="55"/>
      <c r="I25" s="53"/>
      <c r="J25" s="53"/>
      <c r="K25" s="53"/>
      <c r="L25" s="53"/>
      <c r="M25" s="53"/>
      <c r="N25" s="26"/>
      <c r="O25" s="28"/>
    </row>
    <row r="26" spans="1:15">
      <c r="A26" s="25"/>
      <c r="B26" s="26"/>
      <c r="C26" s="26"/>
      <c r="D26" s="55"/>
      <c r="E26" s="55"/>
      <c r="F26" s="55"/>
      <c r="G26" s="55"/>
      <c r="H26" s="55"/>
      <c r="I26" s="53"/>
      <c r="J26" s="53"/>
      <c r="K26" s="53"/>
      <c r="L26" s="53"/>
      <c r="M26" s="53"/>
      <c r="N26" s="26"/>
      <c r="O26" s="28"/>
    </row>
    <row r="27" spans="1:15">
      <c r="A27" s="25"/>
      <c r="B27" s="26"/>
      <c r="C27" s="26"/>
      <c r="D27" s="55"/>
      <c r="E27" s="55"/>
      <c r="F27" s="55"/>
      <c r="G27" s="55"/>
      <c r="H27" s="55"/>
      <c r="I27" s="53"/>
      <c r="J27" s="53"/>
      <c r="K27" s="53"/>
      <c r="L27" s="53"/>
      <c r="M27" s="53"/>
      <c r="N27" s="26"/>
      <c r="O27" s="28"/>
    </row>
    <row r="28" spans="1:15">
      <c r="A28" s="25"/>
      <c r="B28" s="26"/>
      <c r="C28" s="26"/>
      <c r="D28" s="55"/>
      <c r="E28" s="55"/>
      <c r="F28" s="55"/>
      <c r="G28" s="55"/>
      <c r="H28" s="55"/>
      <c r="I28" s="53"/>
      <c r="J28" s="53"/>
      <c r="K28" s="53"/>
      <c r="L28" s="53"/>
      <c r="M28" s="53"/>
      <c r="N28" s="26"/>
      <c r="O28" s="28"/>
    </row>
    <row r="29" spans="1:15">
      <c r="A29" s="25"/>
      <c r="B29" s="26"/>
      <c r="C29" s="26"/>
      <c r="D29" s="55"/>
      <c r="E29" s="55"/>
      <c r="F29" s="55"/>
      <c r="G29" s="55"/>
      <c r="H29" s="55"/>
      <c r="I29" s="53"/>
      <c r="J29" s="53"/>
      <c r="K29" s="53"/>
      <c r="L29" s="53"/>
      <c r="M29" s="53"/>
      <c r="N29" s="26"/>
      <c r="O29" s="28"/>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5"/>
      <c r="B45" s="26"/>
      <c r="C45" s="26"/>
      <c r="D45" s="55"/>
      <c r="E45" s="55"/>
      <c r="F45" s="55"/>
      <c r="G45" s="55"/>
      <c r="H45" s="55"/>
      <c r="I45" s="53"/>
      <c r="J45" s="53"/>
      <c r="K45" s="53"/>
      <c r="L45" s="53"/>
      <c r="M45" s="53"/>
      <c r="N45" s="26"/>
      <c r="O45" s="28"/>
    </row>
    <row r="46" spans="1:15">
      <c r="A46" s="25"/>
      <c r="B46" s="26"/>
      <c r="C46" s="26"/>
      <c r="D46" s="55"/>
      <c r="E46" s="55"/>
      <c r="F46" s="55"/>
      <c r="G46" s="55"/>
      <c r="H46" s="55"/>
      <c r="I46" s="53"/>
      <c r="J46" s="53"/>
      <c r="K46" s="53"/>
      <c r="L46" s="53"/>
      <c r="M46" s="53"/>
      <c r="N46" s="26"/>
      <c r="O46" s="28"/>
    </row>
    <row r="47" spans="1:15">
      <c r="A47" s="25"/>
      <c r="B47" s="26"/>
      <c r="C47" s="26"/>
      <c r="D47" s="55"/>
      <c r="E47" s="55"/>
      <c r="F47" s="55"/>
      <c r="G47" s="55"/>
      <c r="H47" s="55"/>
      <c r="I47" s="53"/>
      <c r="J47" s="53"/>
      <c r="K47" s="53"/>
      <c r="L47" s="53"/>
      <c r="M47" s="53"/>
      <c r="N47" s="26"/>
      <c r="O47" s="28"/>
    </row>
    <row r="48" spans="1:15">
      <c r="A48" s="25"/>
      <c r="B48" s="26"/>
      <c r="C48" s="26"/>
      <c r="D48" s="55"/>
      <c r="E48" s="55"/>
      <c r="F48" s="55"/>
      <c r="G48" s="55"/>
      <c r="H48" s="55"/>
      <c r="I48" s="53"/>
      <c r="J48" s="53"/>
      <c r="K48" s="53"/>
      <c r="L48" s="53"/>
      <c r="M48" s="53"/>
      <c r="N48" s="26"/>
      <c r="O48" s="28"/>
    </row>
    <row r="49" spans="1:15">
      <c r="A49" s="25"/>
      <c r="B49" s="26"/>
      <c r="C49" s="26"/>
      <c r="D49" s="55"/>
      <c r="E49" s="55"/>
      <c r="F49" s="55"/>
      <c r="G49" s="55"/>
      <c r="H49" s="55"/>
      <c r="I49" s="53"/>
      <c r="J49" s="53"/>
      <c r="K49" s="53"/>
      <c r="L49" s="53"/>
      <c r="M49" s="53"/>
      <c r="N49" s="26"/>
      <c r="O49" s="28"/>
    </row>
    <row r="50" spans="1:15">
      <c r="A50" s="29"/>
      <c r="B50" s="30"/>
      <c r="C50" s="30"/>
      <c r="D50" s="56"/>
      <c r="E50" s="56"/>
      <c r="F50" s="56"/>
      <c r="G50" s="56"/>
      <c r="H50" s="56"/>
      <c r="I50" s="54"/>
      <c r="J50" s="54"/>
      <c r="K50" s="54"/>
      <c r="L50" s="54"/>
      <c r="M50" s="54"/>
      <c r="N50" s="30"/>
      <c r="O50" s="32"/>
    </row>
  </sheetData>
  <mergeCells count="2">
    <mergeCell ref="A1:O1"/>
    <mergeCell ref="A2:O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45"/>
  <sheetViews>
    <sheetView showGridLines="0" workbookViewId="0">
      <selection sqref="A1:O1"/>
    </sheetView>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414</v>
      </c>
      <c r="B1" s="467"/>
      <c r="C1" s="467"/>
      <c r="D1" s="467"/>
      <c r="E1" s="467"/>
      <c r="F1" s="467"/>
      <c r="G1" s="467"/>
      <c r="H1" s="467"/>
      <c r="I1" s="467"/>
      <c r="J1" s="467"/>
      <c r="K1" s="467"/>
      <c r="L1" s="467"/>
      <c r="M1" s="467"/>
      <c r="N1" s="467"/>
      <c r="O1" s="468"/>
    </row>
    <row r="2" spans="1:15" ht="14.4">
      <c r="A2" s="469" t="s">
        <v>415</v>
      </c>
      <c r="B2" s="470"/>
      <c r="C2" s="470"/>
      <c r="D2" s="470"/>
      <c r="E2" s="470"/>
      <c r="F2" s="470"/>
      <c r="G2" s="470"/>
      <c r="H2" s="470"/>
      <c r="I2" s="470"/>
      <c r="J2" s="470"/>
      <c r="K2" s="470"/>
      <c r="L2" s="470"/>
      <c r="M2" s="470"/>
      <c r="N2" s="470"/>
      <c r="O2" s="465"/>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45" customHeight="1">
      <c r="A5" s="352" t="s">
        <v>416</v>
      </c>
      <c r="B5" s="327"/>
      <c r="C5" s="327"/>
      <c r="D5" s="353"/>
      <c r="E5" s="353"/>
      <c r="F5" s="353"/>
      <c r="G5" s="353"/>
      <c r="H5" s="353"/>
      <c r="I5" s="353"/>
      <c r="J5" s="353"/>
      <c r="K5" s="353"/>
      <c r="L5" s="353"/>
      <c r="M5" s="353"/>
      <c r="N5" s="327"/>
      <c r="O5" s="356"/>
    </row>
    <row r="6" spans="1:15">
      <c r="A6" s="25" t="s">
        <v>397</v>
      </c>
      <c r="B6" s="26" t="s">
        <v>17</v>
      </c>
      <c r="C6" s="26" t="s">
        <v>14</v>
      </c>
      <c r="D6" s="33">
        <f>'03_Historical_FS'!D7</f>
        <v>122958.106103174</v>
      </c>
      <c r="E6" s="33">
        <f>'03_Historical_FS'!E7</f>
        <v>133404.77759099999</v>
      </c>
      <c r="F6" s="33">
        <f>'03_Historical_FS'!F7</f>
        <v>118279.788455</v>
      </c>
      <c r="G6" s="33">
        <f>'03_Historical_FS'!G7</f>
        <v>134341.15284900001</v>
      </c>
      <c r="H6" s="33">
        <f>'03_Historical_FS'!H7</f>
        <v>155928.14561899999</v>
      </c>
      <c r="I6" s="38">
        <f>'08_P5_Assumptions'!I6</f>
        <v>185000</v>
      </c>
      <c r="J6" s="38">
        <f>'08_P5_Assumptions'!J6</f>
        <v>210702.27006116117</v>
      </c>
      <c r="K6" s="38">
        <f>'08_P5_Assumptions'!K6</f>
        <v>232016.73569640506</v>
      </c>
      <c r="L6" s="38">
        <f>'08_P5_Assumptions'!L6</f>
        <v>250797.07281390979</v>
      </c>
      <c r="M6" s="38">
        <f>'08_P5_Assumptions'!M6</f>
        <v>267230.44217471726</v>
      </c>
      <c r="N6" s="26" t="s">
        <v>398</v>
      </c>
      <c r="O6" s="28" t="s">
        <v>417</v>
      </c>
    </row>
    <row r="7" spans="1:15">
      <c r="A7" s="25" t="s">
        <v>397</v>
      </c>
      <c r="B7" s="26" t="s">
        <v>390</v>
      </c>
      <c r="C7" s="26" t="s">
        <v>23</v>
      </c>
      <c r="D7" s="36">
        <f>IFERROR(ABS('03_Historical_FS'!D59)/'03_Historical_FS'!D7,"")</f>
        <v>4.0476197525683329E-2</v>
      </c>
      <c r="E7" s="36">
        <f>IFERROR(ABS('03_Historical_FS'!E59)/'03_Historical_FS'!E7,"")</f>
        <v>3.3472260923744092E-2</v>
      </c>
      <c r="F7" s="36">
        <f>IFERROR(ABS('03_Historical_FS'!F59)/'03_Historical_FS'!F7,"")</f>
        <v>4.4249599854426797E-3</v>
      </c>
      <c r="G7" s="36">
        <f>IFERROR(ABS('03_Historical_FS'!G59)/'03_Historical_FS'!G7,"")</f>
        <v>2.2610184635039848E-3</v>
      </c>
      <c r="H7" s="36">
        <f>IFERROR(ABS('03_Historical_FS'!H59)/'03_Historical_FS'!H7,"")</f>
        <v>5.6978930036845135E-3</v>
      </c>
      <c r="I7" s="34">
        <f>'08_P5_Assumptions'!I32</f>
        <v>1.2E-2</v>
      </c>
      <c r="J7" s="34">
        <f>'08_P5_Assumptions'!J32</f>
        <v>1.2E-2</v>
      </c>
      <c r="K7" s="34">
        <f>'08_P5_Assumptions'!K32</f>
        <v>1.0999999999999999E-2</v>
      </c>
      <c r="L7" s="34">
        <f>'08_P5_Assumptions'!L32</f>
        <v>0.01</v>
      </c>
      <c r="M7" s="34">
        <f>'08_P5_Assumptions'!M32</f>
        <v>0.01</v>
      </c>
      <c r="N7" s="26" t="s">
        <v>398</v>
      </c>
      <c r="O7" s="28" t="s">
        <v>403</v>
      </c>
    </row>
    <row r="8" spans="1:15" ht="28.5" customHeight="1">
      <c r="A8" s="25" t="s">
        <v>410</v>
      </c>
      <c r="B8" s="26" t="s">
        <v>418</v>
      </c>
      <c r="C8" s="26" t="s">
        <v>14</v>
      </c>
      <c r="D8" s="33">
        <f>ABS('03_Historical_FS'!D59)</f>
        <v>4976.8765900159997</v>
      </c>
      <c r="E8" s="33">
        <f>ABS('03_Historical_FS'!E59)</f>
        <v>4465.3595240000004</v>
      </c>
      <c r="F8" s="33">
        <f>ABS('03_Historical_FS'!F59)</f>
        <v>523.383331</v>
      </c>
      <c r="G8" s="33">
        <f>ABS('03_Historical_FS'!G59)</f>
        <v>303.74782699999997</v>
      </c>
      <c r="H8" s="33">
        <f>ABS('03_Historical_FS'!H59)</f>
        <v>888.46189000000004</v>
      </c>
      <c r="I8" s="38">
        <f>I6*I7</f>
        <v>2220</v>
      </c>
      <c r="J8" s="38">
        <f>J6*J7</f>
        <v>2528.427240733934</v>
      </c>
      <c r="K8" s="38">
        <f>K6*K7</f>
        <v>2552.1840926604555</v>
      </c>
      <c r="L8" s="38">
        <f>L6*L7</f>
        <v>2507.9707281390979</v>
      </c>
      <c r="M8" s="38">
        <f>M6*M7</f>
        <v>2672.3044217471725</v>
      </c>
      <c r="N8" s="26" t="s">
        <v>405</v>
      </c>
      <c r="O8" s="28" t="s">
        <v>419</v>
      </c>
    </row>
    <row r="9" spans="1:15">
      <c r="A9" s="25" t="s">
        <v>397</v>
      </c>
      <c r="B9" s="26" t="s">
        <v>391</v>
      </c>
      <c r="C9" s="26" t="s">
        <v>23</v>
      </c>
      <c r="D9" s="36">
        <f>IFERROR('03_Historical_FS'!D55/'03_Historical_FS'!D7,"")</f>
        <v>2.3753729631775824E-2</v>
      </c>
      <c r="E9" s="36">
        <f>IFERROR('03_Historical_FS'!E55/'03_Historical_FS'!E7,"")</f>
        <v>2.6538215421745465E-2</v>
      </c>
      <c r="F9" s="36">
        <f>IFERROR('03_Historical_FS'!F55/'03_Historical_FS'!F7,"")</f>
        <v>2.8333786454775581E-2</v>
      </c>
      <c r="G9" s="36">
        <f>IFERROR('03_Historical_FS'!G55/'03_Historical_FS'!G7,"")</f>
        <v>2.1686720853696221E-2</v>
      </c>
      <c r="H9" s="36">
        <f>IFERROR('03_Historical_FS'!H55/'03_Historical_FS'!H7,"")</f>
        <v>1.2126624744324506E-2</v>
      </c>
      <c r="I9" s="34">
        <f>'08_P5_Assumptions'!I33</f>
        <v>1.15E-2</v>
      </c>
      <c r="J9" s="34">
        <f>'08_P5_Assumptions'!J33</f>
        <v>1.0999999999999999E-2</v>
      </c>
      <c r="K9" s="34">
        <f>'08_P5_Assumptions'!K33</f>
        <v>1.0500000000000001E-2</v>
      </c>
      <c r="L9" s="34">
        <f>'08_P5_Assumptions'!L33</f>
        <v>0.01</v>
      </c>
      <c r="M9" s="34">
        <f>'08_P5_Assumptions'!M33</f>
        <v>9.4999999999999998E-3</v>
      </c>
      <c r="N9" s="26" t="s">
        <v>398</v>
      </c>
      <c r="O9" s="28" t="s">
        <v>403</v>
      </c>
    </row>
    <row r="10" spans="1:15">
      <c r="A10" s="25" t="s">
        <v>420</v>
      </c>
      <c r="B10" s="26" t="s">
        <v>104</v>
      </c>
      <c r="C10" s="26" t="s">
        <v>14</v>
      </c>
      <c r="D10" s="33">
        <f>'03_Historical_FS'!D55</f>
        <v>2920.7136084099998</v>
      </c>
      <c r="E10" s="33">
        <f>'03_Historical_FS'!E55</f>
        <v>3540.3247259999998</v>
      </c>
      <c r="F10" s="33">
        <f>'03_Historical_FS'!F55</f>
        <v>3351.3142680000001</v>
      </c>
      <c r="G10" s="33">
        <f>'03_Historical_FS'!G55</f>
        <v>2913.419081</v>
      </c>
      <c r="H10" s="33">
        <f>'03_Historical_FS'!H55</f>
        <v>1890.8821089999999</v>
      </c>
      <c r="I10" s="38">
        <f>I6*I9</f>
        <v>2127.5</v>
      </c>
      <c r="J10" s="38">
        <f>J6*J9</f>
        <v>2317.7249706727725</v>
      </c>
      <c r="K10" s="38">
        <f>K6*K9</f>
        <v>2436.1757248122531</v>
      </c>
      <c r="L10" s="38">
        <f>L6*L9</f>
        <v>2507.9707281390979</v>
      </c>
      <c r="M10" s="38">
        <f>M6*M9</f>
        <v>2538.6892006598141</v>
      </c>
      <c r="N10" s="26" t="s">
        <v>405</v>
      </c>
      <c r="O10" s="28" t="s">
        <v>421</v>
      </c>
    </row>
    <row r="11" spans="1:15">
      <c r="A11" s="25" t="s">
        <v>404</v>
      </c>
      <c r="B11" s="26" t="s">
        <v>422</v>
      </c>
      <c r="C11" s="26" t="s">
        <v>14</v>
      </c>
      <c r="D11" s="33"/>
      <c r="E11" s="33">
        <f t="shared" ref="E11:M11" si="0">D12</f>
        <v>9647.1688732319999</v>
      </c>
      <c r="F11" s="33">
        <f t="shared" si="0"/>
        <v>9727.5029109999996</v>
      </c>
      <c r="G11" s="33">
        <f t="shared" si="0"/>
        <v>6500.1356089999999</v>
      </c>
      <c r="H11" s="33">
        <f t="shared" si="0"/>
        <v>3586.6286639999998</v>
      </c>
      <c r="I11" s="38">
        <f t="shared" si="0"/>
        <v>2598.189218</v>
      </c>
      <c r="J11" s="38">
        <f t="shared" si="0"/>
        <v>2690.6892179999995</v>
      </c>
      <c r="K11" s="38">
        <f t="shared" si="0"/>
        <v>2901.391488061161</v>
      </c>
      <c r="L11" s="38">
        <f t="shared" si="0"/>
        <v>3017.3998559093634</v>
      </c>
      <c r="M11" s="38">
        <f t="shared" si="0"/>
        <v>3017.3998559093639</v>
      </c>
      <c r="N11" s="26" t="s">
        <v>24</v>
      </c>
      <c r="O11" s="28" t="s">
        <v>423</v>
      </c>
    </row>
    <row r="12" spans="1:15">
      <c r="A12" s="25" t="s">
        <v>404</v>
      </c>
      <c r="B12" s="26" t="s">
        <v>424</v>
      </c>
      <c r="C12" s="26" t="s">
        <v>14</v>
      </c>
      <c r="D12" s="33">
        <f>'03_Historical_FS'!D35</f>
        <v>9647.1688732319999</v>
      </c>
      <c r="E12" s="33">
        <f>'03_Historical_FS'!E35</f>
        <v>9727.5029109999996</v>
      </c>
      <c r="F12" s="33">
        <f>'03_Historical_FS'!F35</f>
        <v>6500.1356089999999</v>
      </c>
      <c r="G12" s="33">
        <f>'03_Historical_FS'!G35</f>
        <v>3586.6286639999998</v>
      </c>
      <c r="H12" s="33">
        <f>'03_Historical_FS'!H35</f>
        <v>2598.189218</v>
      </c>
      <c r="I12" s="38">
        <f>I11+I8-I10</f>
        <v>2690.6892179999995</v>
      </c>
      <c r="J12" s="38">
        <f>J11+J8-J10</f>
        <v>2901.391488061161</v>
      </c>
      <c r="K12" s="38">
        <f>K11+K8-K10</f>
        <v>3017.3998559093634</v>
      </c>
      <c r="L12" s="38">
        <f>L11+L8-L10</f>
        <v>3017.3998559093639</v>
      </c>
      <c r="M12" s="38">
        <f>M11+M8-M10</f>
        <v>3151.0150769967217</v>
      </c>
      <c r="N12" s="26" t="s">
        <v>425</v>
      </c>
      <c r="O12" s="28" t="s">
        <v>426</v>
      </c>
    </row>
    <row r="13" spans="1:15" ht="28.5" customHeight="1">
      <c r="A13" s="25" t="s">
        <v>427</v>
      </c>
      <c r="B13" s="26" t="s">
        <v>428</v>
      </c>
      <c r="C13" s="26" t="s">
        <v>14</v>
      </c>
      <c r="D13" s="33">
        <f>D12-'03_Historical_FS'!D35</f>
        <v>0</v>
      </c>
      <c r="E13" s="33">
        <f>E12-'03_Historical_FS'!E35</f>
        <v>0</v>
      </c>
      <c r="F13" s="33">
        <f>F12-'03_Historical_FS'!F35</f>
        <v>0</v>
      </c>
      <c r="G13" s="33">
        <f>G12-'03_Historical_FS'!G35</f>
        <v>0</v>
      </c>
      <c r="H13" s="33">
        <f>H12-'03_Historical_FS'!H35</f>
        <v>0</v>
      </c>
      <c r="I13" s="38">
        <f>I12-I12</f>
        <v>0</v>
      </c>
      <c r="J13" s="38">
        <f>J12-J12</f>
        <v>0</v>
      </c>
      <c r="K13" s="38">
        <f>K12-K12</f>
        <v>0</v>
      </c>
      <c r="L13" s="38">
        <f>L12-L12</f>
        <v>0</v>
      </c>
      <c r="M13" s="38">
        <f>M12-M12</f>
        <v>0</v>
      </c>
      <c r="N13" s="26" t="s">
        <v>24</v>
      </c>
      <c r="O13" s="28" t="s">
        <v>429</v>
      </c>
    </row>
    <row r="14" spans="1:15">
      <c r="A14" s="25"/>
      <c r="B14" s="26"/>
      <c r="C14" s="26"/>
      <c r="D14" s="55"/>
      <c r="E14" s="55"/>
      <c r="F14" s="55"/>
      <c r="G14" s="55"/>
      <c r="H14" s="55"/>
      <c r="I14" s="53"/>
      <c r="J14" s="53"/>
      <c r="K14" s="53"/>
      <c r="L14" s="53"/>
      <c r="M14" s="53"/>
      <c r="N14" s="26"/>
      <c r="O14" s="28"/>
    </row>
    <row r="15" spans="1:15">
      <c r="A15" s="25"/>
      <c r="B15" s="26"/>
      <c r="C15" s="26"/>
      <c r="D15" s="55"/>
      <c r="E15" s="55"/>
      <c r="F15" s="55"/>
      <c r="G15" s="55"/>
      <c r="H15" s="55"/>
      <c r="I15" s="53"/>
      <c r="J15" s="53"/>
      <c r="K15" s="53"/>
      <c r="L15" s="53"/>
      <c r="M15" s="53"/>
      <c r="N15" s="26"/>
      <c r="O15" s="28"/>
    </row>
    <row r="16" spans="1:15">
      <c r="A16" s="25"/>
      <c r="B16" s="26"/>
      <c r="C16" s="26"/>
      <c r="D16" s="55"/>
      <c r="E16" s="55"/>
      <c r="F16" s="55"/>
      <c r="G16" s="55"/>
      <c r="H16" s="55"/>
      <c r="I16" s="53"/>
      <c r="J16" s="53"/>
      <c r="K16" s="53"/>
      <c r="L16" s="53"/>
      <c r="M16" s="53"/>
      <c r="N16" s="26"/>
      <c r="O16" s="28"/>
    </row>
    <row r="17" spans="1:15">
      <c r="A17" s="25"/>
      <c r="B17" s="26"/>
      <c r="C17" s="26"/>
      <c r="D17" s="55"/>
      <c r="E17" s="55"/>
      <c r="F17" s="55"/>
      <c r="G17" s="55"/>
      <c r="H17" s="55"/>
      <c r="I17" s="53"/>
      <c r="J17" s="53"/>
      <c r="K17" s="53"/>
      <c r="L17" s="53"/>
      <c r="M17" s="53"/>
      <c r="N17" s="26"/>
      <c r="O17" s="28"/>
    </row>
    <row r="18" spans="1:15">
      <c r="A18" s="25"/>
      <c r="B18" s="26"/>
      <c r="C18" s="26"/>
      <c r="D18" s="55"/>
      <c r="E18" s="55"/>
      <c r="F18" s="55"/>
      <c r="G18" s="55"/>
      <c r="H18" s="55"/>
      <c r="I18" s="53"/>
      <c r="J18" s="53"/>
      <c r="K18" s="53"/>
      <c r="L18" s="53"/>
      <c r="M18" s="53"/>
      <c r="N18" s="26"/>
      <c r="O18" s="28"/>
    </row>
    <row r="19" spans="1:15">
      <c r="A19" s="25"/>
      <c r="B19" s="26"/>
      <c r="C19" s="26"/>
      <c r="D19" s="55"/>
      <c r="E19" s="55"/>
      <c r="F19" s="55"/>
      <c r="G19" s="55"/>
      <c r="H19" s="55"/>
      <c r="I19" s="53"/>
      <c r="J19" s="53"/>
      <c r="K19" s="53"/>
      <c r="L19" s="53"/>
      <c r="M19" s="53"/>
      <c r="N19" s="26"/>
      <c r="O19" s="28"/>
    </row>
    <row r="20" spans="1:15">
      <c r="A20" s="25"/>
      <c r="B20" s="26"/>
      <c r="C20" s="26"/>
      <c r="D20" s="55"/>
      <c r="E20" s="55"/>
      <c r="F20" s="55"/>
      <c r="G20" s="55"/>
      <c r="H20" s="55"/>
      <c r="I20" s="53"/>
      <c r="J20" s="53"/>
      <c r="K20" s="53"/>
      <c r="L20" s="53"/>
      <c r="M20" s="53"/>
      <c r="N20" s="26"/>
      <c r="O20" s="28"/>
    </row>
    <row r="21" spans="1:15">
      <c r="A21" s="25"/>
      <c r="B21" s="26"/>
      <c r="C21" s="26"/>
      <c r="D21" s="55"/>
      <c r="E21" s="55"/>
      <c r="F21" s="55"/>
      <c r="G21" s="55"/>
      <c r="H21" s="55"/>
      <c r="I21" s="53"/>
      <c r="J21" s="53"/>
      <c r="K21" s="53"/>
      <c r="L21" s="53"/>
      <c r="M21" s="53"/>
      <c r="N21" s="26"/>
      <c r="O21" s="28"/>
    </row>
    <row r="22" spans="1:15">
      <c r="A22" s="25"/>
      <c r="B22" s="26"/>
      <c r="C22" s="26"/>
      <c r="D22" s="55"/>
      <c r="E22" s="55"/>
      <c r="F22" s="55"/>
      <c r="G22" s="55"/>
      <c r="H22" s="55"/>
      <c r="I22" s="53"/>
      <c r="J22" s="53"/>
      <c r="K22" s="53"/>
      <c r="L22" s="53"/>
      <c r="M22" s="53"/>
      <c r="N22" s="26"/>
      <c r="O22" s="28"/>
    </row>
    <row r="23" spans="1:15">
      <c r="A23" s="25"/>
      <c r="B23" s="26"/>
      <c r="C23" s="26"/>
      <c r="D23" s="55"/>
      <c r="E23" s="55"/>
      <c r="F23" s="55"/>
      <c r="G23" s="55"/>
      <c r="H23" s="55"/>
      <c r="I23" s="53"/>
      <c r="J23" s="53"/>
      <c r="K23" s="53"/>
      <c r="L23" s="53"/>
      <c r="M23" s="53"/>
      <c r="N23" s="26"/>
      <c r="O23" s="28"/>
    </row>
    <row r="24" spans="1:15">
      <c r="A24" s="25"/>
      <c r="B24" s="26"/>
      <c r="C24" s="26"/>
      <c r="D24" s="55"/>
      <c r="E24" s="55"/>
      <c r="F24" s="55"/>
      <c r="G24" s="55"/>
      <c r="H24" s="55"/>
      <c r="I24" s="53"/>
      <c r="J24" s="53"/>
      <c r="K24" s="53"/>
      <c r="L24" s="53"/>
      <c r="M24" s="53"/>
      <c r="N24" s="26"/>
      <c r="O24" s="28"/>
    </row>
    <row r="25" spans="1:15">
      <c r="A25" s="25"/>
      <c r="B25" s="26"/>
      <c r="C25" s="26"/>
      <c r="D25" s="55"/>
      <c r="E25" s="55"/>
      <c r="F25" s="55"/>
      <c r="G25" s="55"/>
      <c r="H25" s="55"/>
      <c r="I25" s="53"/>
      <c r="J25" s="53"/>
      <c r="K25" s="53"/>
      <c r="L25" s="53"/>
      <c r="M25" s="53"/>
      <c r="N25" s="26"/>
      <c r="O25" s="28"/>
    </row>
    <row r="26" spans="1:15">
      <c r="A26" s="25"/>
      <c r="B26" s="26"/>
      <c r="C26" s="26"/>
      <c r="D26" s="55"/>
      <c r="E26" s="55"/>
      <c r="F26" s="55"/>
      <c r="G26" s="55"/>
      <c r="H26" s="55"/>
      <c r="I26" s="53"/>
      <c r="J26" s="53"/>
      <c r="K26" s="53"/>
      <c r="L26" s="53"/>
      <c r="M26" s="53"/>
      <c r="N26" s="26"/>
      <c r="O26" s="28"/>
    </row>
    <row r="27" spans="1:15">
      <c r="A27" s="25"/>
      <c r="B27" s="26"/>
      <c r="C27" s="26"/>
      <c r="D27" s="55"/>
      <c r="E27" s="55"/>
      <c r="F27" s="55"/>
      <c r="G27" s="55"/>
      <c r="H27" s="55"/>
      <c r="I27" s="53"/>
      <c r="J27" s="53"/>
      <c r="K27" s="53"/>
      <c r="L27" s="53"/>
      <c r="M27" s="53"/>
      <c r="N27" s="26"/>
      <c r="O27" s="28"/>
    </row>
    <row r="28" spans="1:15">
      <c r="A28" s="25"/>
      <c r="B28" s="26"/>
      <c r="C28" s="26"/>
      <c r="D28" s="55"/>
      <c r="E28" s="55"/>
      <c r="F28" s="55"/>
      <c r="G28" s="55"/>
      <c r="H28" s="55"/>
      <c r="I28" s="53"/>
      <c r="J28" s="53"/>
      <c r="K28" s="53"/>
      <c r="L28" s="53"/>
      <c r="M28" s="53"/>
      <c r="N28" s="26"/>
      <c r="O28" s="28"/>
    </row>
    <row r="29" spans="1:15">
      <c r="A29" s="25"/>
      <c r="B29" s="26"/>
      <c r="C29" s="26"/>
      <c r="D29" s="55"/>
      <c r="E29" s="55"/>
      <c r="F29" s="55"/>
      <c r="G29" s="55"/>
      <c r="H29" s="55"/>
      <c r="I29" s="53"/>
      <c r="J29" s="53"/>
      <c r="K29" s="53"/>
      <c r="L29" s="53"/>
      <c r="M29" s="53"/>
      <c r="N29" s="26"/>
      <c r="O29" s="28"/>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9"/>
      <c r="B45" s="30"/>
      <c r="C45" s="30"/>
      <c r="D45" s="56"/>
      <c r="E45" s="56"/>
      <c r="F45" s="56"/>
      <c r="G45" s="56"/>
      <c r="H45" s="56"/>
      <c r="I45" s="54"/>
      <c r="J45" s="54"/>
      <c r="K45" s="54"/>
      <c r="L45" s="54"/>
      <c r="M45" s="54"/>
      <c r="N45" s="30"/>
      <c r="O45" s="32"/>
    </row>
  </sheetData>
  <mergeCells count="2">
    <mergeCell ref="A1:O1"/>
    <mergeCell ref="A2:O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60"/>
  <sheetViews>
    <sheetView showGridLines="0" topLeftCell="B1" workbookViewId="0">
      <selection sqref="A1:O1"/>
    </sheetView>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447</v>
      </c>
      <c r="B1" s="467"/>
      <c r="C1" s="467"/>
      <c r="D1" s="467"/>
      <c r="E1" s="467"/>
      <c r="F1" s="467"/>
      <c r="G1" s="467"/>
      <c r="H1" s="467"/>
      <c r="I1" s="467"/>
      <c r="J1" s="467"/>
      <c r="K1" s="467"/>
      <c r="L1" s="467"/>
      <c r="M1" s="467"/>
      <c r="N1" s="467"/>
      <c r="O1" s="468"/>
    </row>
    <row r="2" spans="1:15" ht="14.4">
      <c r="A2" s="469" t="s">
        <v>448</v>
      </c>
      <c r="B2" s="470"/>
      <c r="C2" s="470"/>
      <c r="D2" s="470"/>
      <c r="E2" s="470"/>
      <c r="F2" s="470"/>
      <c r="G2" s="470"/>
      <c r="H2" s="470"/>
      <c r="I2" s="470"/>
      <c r="J2" s="470"/>
      <c r="K2" s="470"/>
      <c r="L2" s="470"/>
      <c r="M2" s="470"/>
      <c r="N2" s="470"/>
      <c r="O2" s="465"/>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15" customHeight="1">
      <c r="A5" s="352" t="s">
        <v>12</v>
      </c>
      <c r="B5" s="327"/>
      <c r="C5" s="327"/>
      <c r="D5" s="353"/>
      <c r="E5" s="353"/>
      <c r="F5" s="353"/>
      <c r="G5" s="353"/>
      <c r="H5" s="353"/>
      <c r="I5" s="353"/>
      <c r="J5" s="353"/>
      <c r="K5" s="353"/>
      <c r="L5" s="353"/>
      <c r="M5" s="353"/>
      <c r="N5" s="327"/>
      <c r="O5" s="356"/>
    </row>
    <row r="6" spans="1:15">
      <c r="A6" s="25" t="s">
        <v>17</v>
      </c>
      <c r="B6" s="26" t="s">
        <v>17</v>
      </c>
      <c r="C6" s="26" t="s">
        <v>14</v>
      </c>
      <c r="D6" s="33">
        <f>'03_Historical_FS'!D7</f>
        <v>122958.106103174</v>
      </c>
      <c r="E6" s="33">
        <f>'03_Historical_FS'!E7</f>
        <v>133404.77759099999</v>
      </c>
      <c r="F6" s="33">
        <f>'03_Historical_FS'!F7</f>
        <v>118279.788455</v>
      </c>
      <c r="G6" s="33">
        <f>'03_Historical_FS'!G7</f>
        <v>134341.15284900001</v>
      </c>
      <c r="H6" s="33">
        <f>'03_Historical_FS'!H7</f>
        <v>155928.14561899999</v>
      </c>
      <c r="I6" s="38">
        <f>'08_P5_Assumptions'!I6</f>
        <v>185000</v>
      </c>
      <c r="J6" s="38">
        <f>'08_P5_Assumptions'!J6</f>
        <v>210702.27006116117</v>
      </c>
      <c r="K6" s="38">
        <f>'08_P5_Assumptions'!K6</f>
        <v>232016.73569640506</v>
      </c>
      <c r="L6" s="38">
        <f>'08_P5_Assumptions'!L6</f>
        <v>250797.07281390979</v>
      </c>
      <c r="M6" s="38">
        <f>'08_P5_Assumptions'!M6</f>
        <v>267230.44217471726</v>
      </c>
      <c r="N6" s="26" t="s">
        <v>398</v>
      </c>
      <c r="O6" s="28"/>
    </row>
    <row r="7" spans="1:15">
      <c r="A7" s="25" t="s">
        <v>17</v>
      </c>
      <c r="B7" s="26" t="s">
        <v>362</v>
      </c>
      <c r="C7" s="26" t="s">
        <v>23</v>
      </c>
      <c r="D7" s="36"/>
      <c r="E7" s="36">
        <f t="shared" ref="E7:M7" si="0">IFERROR(E6/D6-1,"")</f>
        <v>8.4961226379497212E-2</v>
      </c>
      <c r="F7" s="36">
        <f t="shared" si="0"/>
        <v>-0.11337666768105603</v>
      </c>
      <c r="G7" s="36">
        <f t="shared" si="0"/>
        <v>0.13579128440959809</v>
      </c>
      <c r="H7" s="36">
        <f t="shared" si="0"/>
        <v>0.16068786304271065</v>
      </c>
      <c r="I7" s="34">
        <f t="shared" si="0"/>
        <v>0.18644391790584836</v>
      </c>
      <c r="J7" s="34">
        <f t="shared" si="0"/>
        <v>0.13893118951979</v>
      </c>
      <c r="K7" s="34">
        <f t="shared" si="0"/>
        <v>0.10115916467846731</v>
      </c>
      <c r="L7" s="34">
        <f t="shared" si="0"/>
        <v>8.0943889935934932E-2</v>
      </c>
      <c r="M7" s="34">
        <f t="shared" si="0"/>
        <v>6.5524566042287624E-2</v>
      </c>
      <c r="N7" s="26" t="s">
        <v>24</v>
      </c>
      <c r="O7" s="28" t="s">
        <v>449</v>
      </c>
    </row>
    <row r="8" spans="1:15">
      <c r="A8" s="25" t="s">
        <v>20</v>
      </c>
      <c r="B8" s="26" t="s">
        <v>20</v>
      </c>
      <c r="C8" s="26" t="s">
        <v>14</v>
      </c>
      <c r="D8" s="33">
        <f>'03_Historical_FS'!D9</f>
        <v>27632.131995534</v>
      </c>
      <c r="E8" s="33">
        <f>'03_Historical_FS'!E9</f>
        <v>30862.042495999998</v>
      </c>
      <c r="F8" s="33">
        <f>'03_Historical_FS'!F9</f>
        <v>22520.613163999999</v>
      </c>
      <c r="G8" s="33">
        <f>'03_Historical_FS'!G9</f>
        <v>27499.210077</v>
      </c>
      <c r="H8" s="33">
        <f>'03_Historical_FS'!H9</f>
        <v>31001.877400000001</v>
      </c>
      <c r="I8" s="38">
        <f>I6*I9</f>
        <v>37925</v>
      </c>
      <c r="J8" s="38">
        <f>J6*J9</f>
        <v>43826.07217272152</v>
      </c>
      <c r="K8" s="38">
        <f>K6*K9</f>
        <v>48723.514496245058</v>
      </c>
      <c r="L8" s="38">
        <f>L6*L9</f>
        <v>52918.182363734966</v>
      </c>
      <c r="M8" s="38">
        <f>M6*M9</f>
        <v>56652.85374104006</v>
      </c>
      <c r="N8" s="26" t="s">
        <v>405</v>
      </c>
      <c r="O8" s="28" t="s">
        <v>450</v>
      </c>
    </row>
    <row r="9" spans="1:15">
      <c r="A9" s="25" t="s">
        <v>20</v>
      </c>
      <c r="B9" s="26" t="s">
        <v>22</v>
      </c>
      <c r="C9" s="26" t="s">
        <v>23</v>
      </c>
      <c r="D9" s="36">
        <f>'03_Historical_FS'!D10</f>
        <v>0.22472802217974891</v>
      </c>
      <c r="E9" s="36">
        <f>'03_Historical_FS'!E10</f>
        <v>0.23134135863273664</v>
      </c>
      <c r="F9" s="36">
        <f>'03_Historical_FS'!F10</f>
        <v>0.19040119582702883</v>
      </c>
      <c r="G9" s="36">
        <f>'03_Historical_FS'!G10</f>
        <v>0.20469684451725095</v>
      </c>
      <c r="H9" s="36">
        <f>'03_Historical_FS'!H10</f>
        <v>0.19882156153996097</v>
      </c>
      <c r="I9" s="34">
        <f>'08_P5_Assumptions'!I8</f>
        <v>0.20499999999999999</v>
      </c>
      <c r="J9" s="34">
        <f>'08_P5_Assumptions'!J8</f>
        <v>0.20799999999999999</v>
      </c>
      <c r="K9" s="34">
        <f>'08_P5_Assumptions'!K8</f>
        <v>0.21</v>
      </c>
      <c r="L9" s="34">
        <f>'08_P5_Assumptions'!L8</f>
        <v>0.21099999999999999</v>
      </c>
      <c r="M9" s="34">
        <f>'08_P5_Assumptions'!M8</f>
        <v>0.21199999999999999</v>
      </c>
      <c r="N9" s="26" t="s">
        <v>398</v>
      </c>
      <c r="O9" s="28" t="s">
        <v>403</v>
      </c>
    </row>
    <row r="10" spans="1:15">
      <c r="A10" s="25" t="s">
        <v>18</v>
      </c>
      <c r="B10" s="26" t="s">
        <v>18</v>
      </c>
      <c r="C10" s="26" t="s">
        <v>14</v>
      </c>
      <c r="D10" s="33">
        <f>'03_Historical_FS'!D8</f>
        <v>95325.974107639995</v>
      </c>
      <c r="E10" s="33">
        <f>'03_Historical_FS'!E8</f>
        <v>102542.735094</v>
      </c>
      <c r="F10" s="33">
        <f>'03_Historical_FS'!F8</f>
        <v>95759.175292</v>
      </c>
      <c r="G10" s="33">
        <f>'03_Historical_FS'!G8</f>
        <v>106841.94277199999</v>
      </c>
      <c r="H10" s="33">
        <f>'03_Historical_FS'!H8</f>
        <v>124926.26822</v>
      </c>
      <c r="I10" s="38">
        <f>I6-I8</f>
        <v>147075</v>
      </c>
      <c r="J10" s="38">
        <f>J6-J8</f>
        <v>166876.19788843964</v>
      </c>
      <c r="K10" s="38">
        <f>K6-K8</f>
        <v>183293.22120015998</v>
      </c>
      <c r="L10" s="38">
        <f>L6-L8</f>
        <v>197878.89045017483</v>
      </c>
      <c r="M10" s="38">
        <f>M6-M8</f>
        <v>210577.58843367721</v>
      </c>
      <c r="N10" s="26" t="s">
        <v>405</v>
      </c>
      <c r="O10" s="28" t="s">
        <v>451</v>
      </c>
    </row>
    <row r="11" spans="1:15">
      <c r="A11" s="25" t="s">
        <v>364</v>
      </c>
      <c r="B11" s="26" t="s">
        <v>31</v>
      </c>
      <c r="C11" s="26" t="s">
        <v>14</v>
      </c>
      <c r="D11" s="33">
        <f>'03_Historical_FS'!D14</f>
        <v>17914.173302345</v>
      </c>
      <c r="E11" s="33">
        <f>'03_Historical_FS'!E14</f>
        <v>22336.838068000001</v>
      </c>
      <c r="F11" s="33">
        <f>'03_Historical_FS'!F14</f>
        <v>20916.710755</v>
      </c>
      <c r="G11" s="33">
        <f>'03_Historical_FS'!G14</f>
        <v>19849.837609999999</v>
      </c>
      <c r="H11" s="33">
        <f>'03_Historical_FS'!H14</f>
        <v>19330.903536999998</v>
      </c>
      <c r="I11" s="38">
        <f>I6*'08_P5_Assumptions'!I9</f>
        <v>22570</v>
      </c>
      <c r="J11" s="38">
        <f>J6*'08_P5_Assumptions'!J9</f>
        <v>25284.27240733934</v>
      </c>
      <c r="K11" s="38">
        <f>K6*'08_P5_Assumptions'!K9</f>
        <v>27377.974812175795</v>
      </c>
      <c r="L11" s="38">
        <f>L6*'08_P5_Assumptions'!L9</f>
        <v>29092.460446413537</v>
      </c>
      <c r="M11" s="38">
        <f>M6*'08_P5_Assumptions'!M9</f>
        <v>30731.500850092485</v>
      </c>
      <c r="N11" s="26" t="s">
        <v>405</v>
      </c>
      <c r="O11" s="28" t="s">
        <v>452</v>
      </c>
    </row>
    <row r="12" spans="1:15">
      <c r="A12" s="25" t="s">
        <v>364</v>
      </c>
      <c r="B12" s="26" t="s">
        <v>365</v>
      </c>
      <c r="C12" s="26" t="s">
        <v>23</v>
      </c>
      <c r="D12" s="36">
        <f t="shared" ref="D12:M12" si="1">IFERROR(D11/D6,"")</f>
        <v>0.14569330864053193</v>
      </c>
      <c r="E12" s="36">
        <f t="shared" si="1"/>
        <v>0.16743656765038475</v>
      </c>
      <c r="F12" s="36">
        <f t="shared" si="1"/>
        <v>0.17684095506273112</v>
      </c>
      <c r="G12" s="36">
        <f t="shared" si="1"/>
        <v>0.14775693962006783</v>
      </c>
      <c r="H12" s="36">
        <f t="shared" si="1"/>
        <v>0.12397315096809892</v>
      </c>
      <c r="I12" s="34">
        <f t="shared" si="1"/>
        <v>0.122</v>
      </c>
      <c r="J12" s="34">
        <f t="shared" si="1"/>
        <v>0.12</v>
      </c>
      <c r="K12" s="34">
        <f t="shared" si="1"/>
        <v>0.11799999999999999</v>
      </c>
      <c r="L12" s="34">
        <f t="shared" si="1"/>
        <v>0.11600000000000001</v>
      </c>
      <c r="M12" s="34">
        <f t="shared" si="1"/>
        <v>0.115</v>
      </c>
      <c r="N12" s="26" t="s">
        <v>24</v>
      </c>
      <c r="O12" s="28" t="s">
        <v>453</v>
      </c>
    </row>
    <row r="13" spans="1:15">
      <c r="A13" s="25" t="s">
        <v>364</v>
      </c>
      <c r="B13" s="26" t="s">
        <v>33</v>
      </c>
      <c r="C13" s="26" t="s">
        <v>14</v>
      </c>
      <c r="D13" s="33">
        <f>'03_Historical_FS'!D15</f>
        <v>3823.390074765</v>
      </c>
      <c r="E13" s="33">
        <f>'03_Historical_FS'!E15</f>
        <v>1881.0275799999999</v>
      </c>
      <c r="F13" s="33">
        <f>'03_Historical_FS'!F15</f>
        <v>1167.6516630000001</v>
      </c>
      <c r="G13" s="33">
        <f>'03_Historical_FS'!G15</f>
        <v>3565.7675829999998</v>
      </c>
      <c r="H13" s="33">
        <f>'03_Historical_FS'!H15</f>
        <v>4596.0745129999996</v>
      </c>
      <c r="I13" s="38">
        <f>I6*'08_P5_Assumptions'!I10</f>
        <v>5180</v>
      </c>
      <c r="J13" s="38">
        <f>J6*'08_P5_Assumptions'!J10</f>
        <v>5688.9612916513515</v>
      </c>
      <c r="K13" s="38">
        <f>K6*'08_P5_Assumptions'!K10</f>
        <v>6032.435128106531</v>
      </c>
      <c r="L13" s="38">
        <f>L6*'08_P5_Assumptions'!L10</f>
        <v>6269.926820347745</v>
      </c>
      <c r="M13" s="38">
        <f>M6*'08_P5_Assumptions'!M10</f>
        <v>6680.761054367932</v>
      </c>
      <c r="N13" s="26" t="s">
        <v>405</v>
      </c>
      <c r="O13" s="28" t="s">
        <v>454</v>
      </c>
    </row>
    <row r="14" spans="1:15">
      <c r="A14" s="25" t="s">
        <v>364</v>
      </c>
      <c r="B14" s="26" t="s">
        <v>366</v>
      </c>
      <c r="C14" s="26" t="s">
        <v>23</v>
      </c>
      <c r="D14" s="36">
        <f t="shared" ref="D14:M14" si="2">IFERROR(D13/D6,"")</f>
        <v>3.1095063155549892E-2</v>
      </c>
      <c r="E14" s="36">
        <f t="shared" si="2"/>
        <v>1.4100151538552555E-2</v>
      </c>
      <c r="F14" s="36">
        <f t="shared" si="2"/>
        <v>9.8719458180654227E-3</v>
      </c>
      <c r="G14" s="36">
        <f t="shared" si="2"/>
        <v>2.6542630514775595E-2</v>
      </c>
      <c r="H14" s="36">
        <f t="shared" si="2"/>
        <v>2.9475592714545588E-2</v>
      </c>
      <c r="I14" s="34">
        <f t="shared" si="2"/>
        <v>2.8000000000000001E-2</v>
      </c>
      <c r="J14" s="34">
        <f t="shared" si="2"/>
        <v>2.7E-2</v>
      </c>
      <c r="K14" s="34">
        <f t="shared" si="2"/>
        <v>2.5999999999999999E-2</v>
      </c>
      <c r="L14" s="34">
        <f t="shared" si="2"/>
        <v>2.5000000000000001E-2</v>
      </c>
      <c r="M14" s="34">
        <f t="shared" si="2"/>
        <v>2.5000000000000001E-2</v>
      </c>
      <c r="N14" s="26" t="s">
        <v>24</v>
      </c>
      <c r="O14" s="28" t="s">
        <v>453</v>
      </c>
    </row>
    <row r="15" spans="1:15">
      <c r="A15" s="25" t="s">
        <v>36</v>
      </c>
      <c r="B15" s="26" t="s">
        <v>36</v>
      </c>
      <c r="C15" s="26" t="s">
        <v>14</v>
      </c>
      <c r="D15" s="33">
        <f>'03_Historical_FS'!D17</f>
        <v>6465.6069183560003</v>
      </c>
      <c r="E15" s="33">
        <f>'03_Historical_FS'!E17</f>
        <v>6574.6936990000004</v>
      </c>
      <c r="F15" s="33">
        <f>'03_Historical_FS'!F17</f>
        <v>1047.068354</v>
      </c>
      <c r="G15" s="33">
        <f>'03_Historical_FS'!G17</f>
        <v>5227.0454250000003</v>
      </c>
      <c r="H15" s="33">
        <f>'03_Historical_FS'!H17</f>
        <v>8664.0804889999999</v>
      </c>
      <c r="I15" s="38">
        <f>I8-I11-I13</f>
        <v>10175</v>
      </c>
      <c r="J15" s="38">
        <f>J8-J11-J13</f>
        <v>12852.83847373083</v>
      </c>
      <c r="K15" s="38">
        <f>K8-K11-K13</f>
        <v>15313.104555962731</v>
      </c>
      <c r="L15" s="38">
        <f>L8-L11-L13</f>
        <v>17555.795096973685</v>
      </c>
      <c r="M15" s="38">
        <f>M8-M11-M13</f>
        <v>19240.591836579642</v>
      </c>
      <c r="N15" s="26" t="s">
        <v>405</v>
      </c>
      <c r="O15" s="28" t="s">
        <v>455</v>
      </c>
    </row>
    <row r="16" spans="1:15">
      <c r="A16" s="25" t="s">
        <v>36</v>
      </c>
      <c r="B16" s="26" t="s">
        <v>38</v>
      </c>
      <c r="C16" s="26" t="s">
        <v>23</v>
      </c>
      <c r="D16" s="36">
        <f t="shared" ref="D16:M16" si="3">IFERROR(D15/D6,"")</f>
        <v>5.2583819995818064E-2</v>
      </c>
      <c r="E16" s="36">
        <f t="shared" si="3"/>
        <v>4.9283794911431679E-2</v>
      </c>
      <c r="F16" s="36">
        <f t="shared" si="3"/>
        <v>8.8524706348993946E-3</v>
      </c>
      <c r="G16" s="36">
        <f t="shared" si="3"/>
        <v>3.8908743256619367E-2</v>
      </c>
      <c r="H16" s="36">
        <f t="shared" si="3"/>
        <v>5.5564570813085294E-2</v>
      </c>
      <c r="I16" s="34">
        <f t="shared" si="3"/>
        <v>5.5E-2</v>
      </c>
      <c r="J16" s="34">
        <f t="shared" si="3"/>
        <v>6.0999999999999992E-2</v>
      </c>
      <c r="K16" s="34">
        <f t="shared" si="3"/>
        <v>6.5999999999999989E-2</v>
      </c>
      <c r="L16" s="34">
        <f t="shared" si="3"/>
        <v>6.9999999999999993E-2</v>
      </c>
      <c r="M16" s="34">
        <f t="shared" si="3"/>
        <v>7.1999999999999995E-2</v>
      </c>
      <c r="N16" s="26" t="s">
        <v>24</v>
      </c>
      <c r="O16" s="28" t="s">
        <v>456</v>
      </c>
    </row>
    <row r="17" spans="1:15">
      <c r="A17" s="25" t="s">
        <v>367</v>
      </c>
      <c r="B17" s="26" t="s">
        <v>25</v>
      </c>
      <c r="C17" s="26" t="s">
        <v>14</v>
      </c>
      <c r="D17" s="33">
        <f>'03_Historical_FS'!D11</f>
        <v>1287.9560261629999</v>
      </c>
      <c r="E17" s="33">
        <f>'03_Historical_FS'!E11</f>
        <v>1313.1373040000001</v>
      </c>
      <c r="F17" s="33">
        <f>'03_Historical_FS'!F11</f>
        <v>2166.9637149999999</v>
      </c>
      <c r="G17" s="33">
        <f>'03_Historical_FS'!G11</f>
        <v>2376.5026050000001</v>
      </c>
      <c r="H17" s="33">
        <f>'03_Historical_FS'!H11</f>
        <v>3107.3487340000001</v>
      </c>
      <c r="I17" s="38">
        <f>'10_Debt_Cash_Interest'!I13</f>
        <v>3145</v>
      </c>
      <c r="J17" s="38">
        <f>'10_Debt_Cash_Interest'!J13</f>
        <v>3371.2363209785785</v>
      </c>
      <c r="K17" s="38">
        <f>'10_Debt_Cash_Interest'!K13</f>
        <v>3480.2510354460755</v>
      </c>
      <c r="L17" s="38">
        <f>'10_Debt_Cash_Interest'!L13</f>
        <v>3511.1590193947372</v>
      </c>
      <c r="M17" s="38">
        <f>'10_Debt_Cash_Interest'!M13</f>
        <v>3473.9957482713244</v>
      </c>
      <c r="N17" s="26" t="s">
        <v>457</v>
      </c>
      <c r="O17" s="28" t="s">
        <v>458</v>
      </c>
    </row>
    <row r="18" spans="1:15">
      <c r="A18" s="25" t="s">
        <v>367</v>
      </c>
      <c r="B18" s="26" t="s">
        <v>29</v>
      </c>
      <c r="C18" s="26" t="s">
        <v>14</v>
      </c>
      <c r="D18" s="33">
        <f>'03_Historical_FS'!D13</f>
        <v>674.427746189</v>
      </c>
      <c r="E18" s="33">
        <f>'03_Historical_FS'!E13</f>
        <v>1362.1439089999999</v>
      </c>
      <c r="F18" s="33">
        <f>'03_Historical_FS'!F13</f>
        <v>1447.718355</v>
      </c>
      <c r="G18" s="33">
        <f>'03_Historical_FS'!G13</f>
        <v>1137.23613</v>
      </c>
      <c r="H18" s="33">
        <f>'03_Historical_FS'!H13</f>
        <v>1470.675594</v>
      </c>
      <c r="I18" s="38">
        <f>'10_Debt_Cash_Interest'!I11</f>
        <v>1692.1045170119999</v>
      </c>
      <c r="J18" s="38">
        <f>'10_Debt_Cash_Interest'!J11</f>
        <v>1899.9866238862344</v>
      </c>
      <c r="K18" s="38">
        <f>'10_Debt_Cash_Interest'!K11</f>
        <v>1972.9159688246455</v>
      </c>
      <c r="L18" s="38">
        <f>'10_Debt_Cash_Interest'!L11</f>
        <v>1989.2594179653606</v>
      </c>
      <c r="M18" s="38">
        <f>'10_Debt_Cash_Interest'!M11</f>
        <v>2005.302449410829</v>
      </c>
      <c r="N18" s="26" t="s">
        <v>457</v>
      </c>
      <c r="O18" s="28" t="s">
        <v>458</v>
      </c>
    </row>
    <row r="19" spans="1:15">
      <c r="A19" s="25" t="s">
        <v>370</v>
      </c>
      <c r="B19" s="26" t="s">
        <v>39</v>
      </c>
      <c r="C19" s="26" t="s">
        <v>14</v>
      </c>
      <c r="D19" s="33">
        <f>'03_Historical_FS'!D19</f>
        <v>5.9768321870000003</v>
      </c>
      <c r="E19" s="33">
        <f>'03_Historical_FS'!E19</f>
        <v>-518.33832500000005</v>
      </c>
      <c r="F19" s="33">
        <f>'03_Historical_FS'!F19</f>
        <v>-357.37598600000001</v>
      </c>
      <c r="G19" s="33">
        <f>'03_Historical_FS'!G19</f>
        <v>-401.28241200000002</v>
      </c>
      <c r="H19" s="33">
        <f>'03_Historical_FS'!H19</f>
        <v>-31.012906000000001</v>
      </c>
      <c r="I19" s="38">
        <f>I6*'08_P5_Assumptions'!I13</f>
        <v>0</v>
      </c>
      <c r="J19" s="38">
        <f>J6*'08_P5_Assumptions'!J13</f>
        <v>0</v>
      </c>
      <c r="K19" s="38">
        <f>K6*'08_P5_Assumptions'!K13</f>
        <v>0</v>
      </c>
      <c r="L19" s="38">
        <f>L6*'08_P5_Assumptions'!L13</f>
        <v>0</v>
      </c>
      <c r="M19" s="38">
        <f>M6*'08_P5_Assumptions'!M13</f>
        <v>0</v>
      </c>
      <c r="N19" s="26" t="s">
        <v>405</v>
      </c>
      <c r="O19" s="28" t="s">
        <v>459</v>
      </c>
    </row>
    <row r="20" spans="1:15">
      <c r="A20" s="25" t="s">
        <v>460</v>
      </c>
      <c r="B20" s="26" t="s">
        <v>41</v>
      </c>
      <c r="C20" s="26" t="s">
        <v>14</v>
      </c>
      <c r="D20" s="33">
        <f>'03_Historical_FS'!D20</f>
        <v>6471.583750543</v>
      </c>
      <c r="E20" s="33">
        <f>'03_Historical_FS'!E20</f>
        <v>6056.3553739999998</v>
      </c>
      <c r="F20" s="33">
        <f>'03_Historical_FS'!F20</f>
        <v>689.69236799999999</v>
      </c>
      <c r="G20" s="33">
        <f>'03_Historical_FS'!G20</f>
        <v>4825.7630129999998</v>
      </c>
      <c r="H20" s="33">
        <f>'03_Historical_FS'!H20</f>
        <v>8633.067583</v>
      </c>
      <c r="I20" s="38">
        <f>I15+I17-I18+I19</f>
        <v>11627.895482988</v>
      </c>
      <c r="J20" s="38">
        <f>J15+J17-J18+J19</f>
        <v>14324.088170823174</v>
      </c>
      <c r="K20" s="38">
        <f>K15+K17-K18+K19</f>
        <v>16820.439622584163</v>
      </c>
      <c r="L20" s="38">
        <f>L15+L17-L18+L19</f>
        <v>19077.694698403062</v>
      </c>
      <c r="M20" s="38">
        <f>M15+M17-M18+M19</f>
        <v>20709.285135440139</v>
      </c>
      <c r="N20" s="26" t="s">
        <v>405</v>
      </c>
      <c r="O20" s="28" t="s">
        <v>461</v>
      </c>
    </row>
    <row r="21" spans="1:15">
      <c r="A21" s="25" t="s">
        <v>372</v>
      </c>
      <c r="B21" s="26" t="s">
        <v>462</v>
      </c>
      <c r="C21" s="26" t="s">
        <v>14</v>
      </c>
      <c r="D21" s="33">
        <f>'03_Historical_FS'!D23</f>
        <v>1570.1570766530001</v>
      </c>
      <c r="E21" s="33">
        <f>'03_Historical_FS'!E23</f>
        <v>1954.6409490000001</v>
      </c>
      <c r="F21" s="33">
        <f>'03_Historical_FS'!F23</f>
        <v>521.86321299999997</v>
      </c>
      <c r="G21" s="33">
        <f>'03_Historical_FS'!G23</f>
        <v>1092.474784</v>
      </c>
      <c r="H21" s="33">
        <f>'03_Historical_FS'!H23</f>
        <v>1560.4446969999999</v>
      </c>
      <c r="I21" s="38">
        <f>I20*'08_P5_Assumptions'!I14</f>
        <v>2325.5790965976003</v>
      </c>
      <c r="J21" s="38">
        <f>J20*'08_P5_Assumptions'!J14</f>
        <v>2864.8176341646349</v>
      </c>
      <c r="K21" s="38">
        <f>K20*'08_P5_Assumptions'!K14</f>
        <v>3364.0879245168326</v>
      </c>
      <c r="L21" s="38">
        <f>L20*'08_P5_Assumptions'!L14</f>
        <v>3815.5389396806127</v>
      </c>
      <c r="M21" s="38">
        <f>M20*'08_P5_Assumptions'!M14</f>
        <v>4141.8570270880282</v>
      </c>
      <c r="N21" s="26" t="s">
        <v>405</v>
      </c>
      <c r="O21" s="28" t="s">
        <v>463</v>
      </c>
    </row>
    <row r="22" spans="1:15">
      <c r="A22" s="25" t="s">
        <v>372</v>
      </c>
      <c r="B22" s="26" t="s">
        <v>373</v>
      </c>
      <c r="C22" s="26" t="s">
        <v>23</v>
      </c>
      <c r="D22" s="36">
        <f t="shared" ref="D22:M22" si="4">IFERROR(D21/D20,"")</f>
        <v>0.24262331095093309</v>
      </c>
      <c r="E22" s="36">
        <f t="shared" si="4"/>
        <v>0.32274211605733955</v>
      </c>
      <c r="F22" s="36">
        <f t="shared" si="4"/>
        <v>0.75666084940641243</v>
      </c>
      <c r="G22" s="36">
        <f t="shared" si="4"/>
        <v>0.22638384459763358</v>
      </c>
      <c r="H22" s="36">
        <f t="shared" si="4"/>
        <v>0.18075205389018206</v>
      </c>
      <c r="I22" s="34">
        <f t="shared" si="4"/>
        <v>0.2</v>
      </c>
      <c r="J22" s="34">
        <f t="shared" si="4"/>
        <v>0.2</v>
      </c>
      <c r="K22" s="34">
        <f t="shared" si="4"/>
        <v>0.2</v>
      </c>
      <c r="L22" s="34">
        <f t="shared" si="4"/>
        <v>0.2</v>
      </c>
      <c r="M22" s="34">
        <f t="shared" si="4"/>
        <v>0.2</v>
      </c>
      <c r="N22" s="26" t="s">
        <v>24</v>
      </c>
      <c r="O22" s="28" t="s">
        <v>464</v>
      </c>
    </row>
    <row r="23" spans="1:15">
      <c r="A23" s="25" t="s">
        <v>48</v>
      </c>
      <c r="B23" s="26" t="s">
        <v>48</v>
      </c>
      <c r="C23" s="26" t="s">
        <v>14</v>
      </c>
      <c r="D23" s="33">
        <f>'03_Historical_FS'!D24</f>
        <v>4901.4266738899996</v>
      </c>
      <c r="E23" s="33">
        <f>'03_Historical_FS'!E24</f>
        <v>4101.7144250000001</v>
      </c>
      <c r="F23" s="33">
        <f>'03_Historical_FS'!F24</f>
        <v>167.82915499999999</v>
      </c>
      <c r="G23" s="33">
        <f>'03_Historical_FS'!G24</f>
        <v>3733.2882289999998</v>
      </c>
      <c r="H23" s="33">
        <f>'03_Historical_FS'!H24</f>
        <v>7072.6228860000001</v>
      </c>
      <c r="I23" s="38">
        <f>I20-I21</f>
        <v>9302.316386390401</v>
      </c>
      <c r="J23" s="38">
        <f>J20-J21</f>
        <v>11459.27053665854</v>
      </c>
      <c r="K23" s="38">
        <f>K20-K21</f>
        <v>13456.35169806733</v>
      </c>
      <c r="L23" s="38">
        <f>L20-L21</f>
        <v>15262.155758722449</v>
      </c>
      <c r="M23" s="38">
        <f>M20-M21</f>
        <v>16567.428108352113</v>
      </c>
      <c r="N23" s="26" t="s">
        <v>405</v>
      </c>
      <c r="O23" s="28" t="s">
        <v>465</v>
      </c>
    </row>
    <row r="24" spans="1:15">
      <c r="A24" s="25" t="s">
        <v>48</v>
      </c>
      <c r="B24" s="26" t="s">
        <v>374</v>
      </c>
      <c r="C24" s="26" t="s">
        <v>14</v>
      </c>
      <c r="D24" s="33">
        <f>'03_Historical_FS'!D25</f>
        <v>2.55739567</v>
      </c>
      <c r="E24" s="33">
        <f>'03_Historical_FS'!E25</f>
        <v>1.951398</v>
      </c>
      <c r="F24" s="33">
        <f>'03_Historical_FS'!F25</f>
        <v>0.15976199999999999</v>
      </c>
      <c r="G24" s="33">
        <f>'03_Historical_FS'!G25</f>
        <v>11.419786999999999</v>
      </c>
      <c r="H24" s="33">
        <f>'03_Historical_FS'!H25</f>
        <v>38.892116000000001</v>
      </c>
      <c r="I24" s="38">
        <f>I23*'08_P5_Assumptions'!I15</f>
        <v>55.81389831834241</v>
      </c>
      <c r="J24" s="38">
        <f>J23*'08_P5_Assumptions'!J15</f>
        <v>74.485258488280508</v>
      </c>
      <c r="K24" s="38">
        <f>K23*'08_P5_Assumptions'!K15</f>
        <v>94.194461886471316</v>
      </c>
      <c r="L24" s="38">
        <f>L23*'08_P5_Assumptions'!L15</f>
        <v>114.46616819041836</v>
      </c>
      <c r="M24" s="38">
        <f>M23*'08_P5_Assumptions'!M15</f>
        <v>132.53942486681692</v>
      </c>
      <c r="N24" s="26" t="s">
        <v>405</v>
      </c>
      <c r="O24" s="28" t="s">
        <v>466</v>
      </c>
    </row>
    <row r="25" spans="1:15">
      <c r="A25" s="25" t="s">
        <v>52</v>
      </c>
      <c r="B25" s="26" t="s">
        <v>52</v>
      </c>
      <c r="C25" s="26" t="s">
        <v>14</v>
      </c>
      <c r="D25" s="33">
        <f>'03_Historical_FS'!D26</f>
        <v>4898.8692782199996</v>
      </c>
      <c r="E25" s="33">
        <f>'03_Historical_FS'!E26</f>
        <v>4099.763027</v>
      </c>
      <c r="F25" s="33">
        <f>'03_Historical_FS'!F26</f>
        <v>167.66939300000001</v>
      </c>
      <c r="G25" s="33">
        <f>'03_Historical_FS'!G26</f>
        <v>3721.868442</v>
      </c>
      <c r="H25" s="33">
        <f>'03_Historical_FS'!H26</f>
        <v>7033.7307700000001</v>
      </c>
      <c r="I25" s="38">
        <f>I23-I24</f>
        <v>9246.5024880720594</v>
      </c>
      <c r="J25" s="38">
        <f>J23-J24</f>
        <v>11384.785278170259</v>
      </c>
      <c r="K25" s="38">
        <f>K23-K24</f>
        <v>13362.157236180859</v>
      </c>
      <c r="L25" s="38">
        <f>L23-L24</f>
        <v>15147.689590532031</v>
      </c>
      <c r="M25" s="38">
        <f>M23-M24</f>
        <v>16434.888683485296</v>
      </c>
      <c r="N25" s="26" t="s">
        <v>405</v>
      </c>
      <c r="O25" s="28" t="s">
        <v>467</v>
      </c>
    </row>
    <row r="26" spans="1:15">
      <c r="A26" s="25" t="s">
        <v>52</v>
      </c>
      <c r="B26" s="26" t="s">
        <v>54</v>
      </c>
      <c r="C26" s="26" t="s">
        <v>23</v>
      </c>
      <c r="D26" s="36">
        <f t="shared" ref="D26:M26" si="5">IFERROR(D25/D6,"")</f>
        <v>3.984177565413511E-2</v>
      </c>
      <c r="E26" s="36">
        <f t="shared" si="5"/>
        <v>3.0731755646482829E-2</v>
      </c>
      <c r="F26" s="36">
        <f t="shared" si="5"/>
        <v>1.4175658850099353E-3</v>
      </c>
      <c r="G26" s="36">
        <f t="shared" si="5"/>
        <v>2.7704604010532759E-2</v>
      </c>
      <c r="H26" s="36">
        <f t="shared" si="5"/>
        <v>4.5108795093263356E-2</v>
      </c>
      <c r="I26" s="34">
        <f t="shared" si="5"/>
        <v>4.9981094530119237E-2</v>
      </c>
      <c r="J26" s="34">
        <f t="shared" si="5"/>
        <v>5.4032570578691742E-2</v>
      </c>
      <c r="K26" s="34">
        <f t="shared" si="5"/>
        <v>5.7591350882831585E-2</v>
      </c>
      <c r="L26" s="34">
        <f t="shared" si="5"/>
        <v>6.0398191336832475E-2</v>
      </c>
      <c r="M26" s="34">
        <f t="shared" si="5"/>
        <v>6.1500810123795865E-2</v>
      </c>
      <c r="N26" s="26" t="s">
        <v>24</v>
      </c>
      <c r="O26" s="28" t="s">
        <v>468</v>
      </c>
    </row>
    <row r="27" spans="1:15">
      <c r="A27" s="25" t="s">
        <v>104</v>
      </c>
      <c r="B27" s="26" t="s">
        <v>104</v>
      </c>
      <c r="C27" s="26" t="s">
        <v>14</v>
      </c>
      <c r="D27" s="33">
        <f>'03_Historical_FS'!D55</f>
        <v>2920.7136084099998</v>
      </c>
      <c r="E27" s="33">
        <f>'03_Historical_FS'!E55</f>
        <v>3540.3247259999998</v>
      </c>
      <c r="F27" s="33">
        <f>'03_Historical_FS'!F55</f>
        <v>3351.3142680000001</v>
      </c>
      <c r="G27" s="33">
        <f>'03_Historical_FS'!G55</f>
        <v>2913.419081</v>
      </c>
      <c r="H27" s="33">
        <f>'03_Historical_FS'!H55</f>
        <v>1890.8821089999999</v>
      </c>
      <c r="I27" s="38">
        <f>'11_Capex_DA'!I10</f>
        <v>2127.5</v>
      </c>
      <c r="J27" s="38">
        <f>'11_Capex_DA'!J10</f>
        <v>2317.7249706727725</v>
      </c>
      <c r="K27" s="38">
        <f>'11_Capex_DA'!K10</f>
        <v>2436.1757248122531</v>
      </c>
      <c r="L27" s="38">
        <f>'11_Capex_DA'!L10</f>
        <v>2507.9707281390979</v>
      </c>
      <c r="M27" s="38">
        <f>'11_Capex_DA'!M10</f>
        <v>2538.6892006598141</v>
      </c>
      <c r="N27" s="26" t="s">
        <v>469</v>
      </c>
      <c r="O27" s="28" t="s">
        <v>470</v>
      </c>
    </row>
    <row r="28" spans="1:15">
      <c r="A28" s="25" t="s">
        <v>132</v>
      </c>
      <c r="B28" s="26" t="s">
        <v>132</v>
      </c>
      <c r="C28" s="26" t="s">
        <v>14</v>
      </c>
      <c r="D28" s="33">
        <f>'03_Historical_FS'!D69</f>
        <v>9386.3205267659996</v>
      </c>
      <c r="E28" s="33">
        <f>'03_Historical_FS'!E69</f>
        <v>10115.018425</v>
      </c>
      <c r="F28" s="33">
        <f>'03_Historical_FS'!F69</f>
        <v>4398.3826220000001</v>
      </c>
      <c r="G28" s="33">
        <f>'03_Historical_FS'!G69</f>
        <v>8140.4645060000003</v>
      </c>
      <c r="H28" s="33">
        <f>'03_Historical_FS'!H69</f>
        <v>10554.962598</v>
      </c>
      <c r="I28" s="38">
        <f>I15+I27</f>
        <v>12302.5</v>
      </c>
      <c r="J28" s="38">
        <f>J15+J27</f>
        <v>15170.563444403602</v>
      </c>
      <c r="K28" s="38">
        <f>K15+K27</f>
        <v>17749.280280774983</v>
      </c>
      <c r="L28" s="38">
        <f>L15+L27</f>
        <v>20063.765825112783</v>
      </c>
      <c r="M28" s="38">
        <f>M15+M27</f>
        <v>21779.281037239456</v>
      </c>
      <c r="N28" s="26" t="s">
        <v>24</v>
      </c>
      <c r="O28" s="28" t="s">
        <v>471</v>
      </c>
    </row>
    <row r="29" spans="1:15">
      <c r="A29" s="25"/>
      <c r="B29" s="26"/>
      <c r="C29" s="26"/>
      <c r="D29" s="55"/>
      <c r="E29" s="55"/>
      <c r="F29" s="55"/>
      <c r="G29" s="55"/>
      <c r="H29" s="55"/>
      <c r="I29" s="53"/>
      <c r="J29" s="53"/>
      <c r="K29" s="53"/>
      <c r="L29" s="53"/>
      <c r="M29" s="53"/>
      <c r="N29" s="26"/>
      <c r="O29" s="28"/>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5"/>
      <c r="B45" s="26"/>
      <c r="C45" s="26"/>
      <c r="D45" s="55"/>
      <c r="E45" s="55"/>
      <c r="F45" s="55"/>
      <c r="G45" s="55"/>
      <c r="H45" s="55"/>
      <c r="I45" s="53"/>
      <c r="J45" s="53"/>
      <c r="K45" s="53"/>
      <c r="L45" s="53"/>
      <c r="M45" s="53"/>
      <c r="N45" s="26"/>
      <c r="O45" s="28"/>
    </row>
    <row r="46" spans="1:15">
      <c r="A46" s="25"/>
      <c r="B46" s="26"/>
      <c r="C46" s="26"/>
      <c r="D46" s="55"/>
      <c r="E46" s="55"/>
      <c r="F46" s="55"/>
      <c r="G46" s="55"/>
      <c r="H46" s="55"/>
      <c r="I46" s="53"/>
      <c r="J46" s="53"/>
      <c r="K46" s="53"/>
      <c r="L46" s="53"/>
      <c r="M46" s="53"/>
      <c r="N46" s="26"/>
      <c r="O46" s="28"/>
    </row>
    <row r="47" spans="1:15">
      <c r="A47" s="25"/>
      <c r="B47" s="26"/>
      <c r="C47" s="26"/>
      <c r="D47" s="55"/>
      <c r="E47" s="55"/>
      <c r="F47" s="55"/>
      <c r="G47" s="55"/>
      <c r="H47" s="55"/>
      <c r="I47" s="53"/>
      <c r="J47" s="53"/>
      <c r="K47" s="53"/>
      <c r="L47" s="53"/>
      <c r="M47" s="53"/>
      <c r="N47" s="26"/>
      <c r="O47" s="28"/>
    </row>
    <row r="48" spans="1:15">
      <c r="A48" s="25"/>
      <c r="B48" s="26"/>
      <c r="C48" s="26"/>
      <c r="D48" s="55"/>
      <c r="E48" s="55"/>
      <c r="F48" s="55"/>
      <c r="G48" s="55"/>
      <c r="H48" s="55"/>
      <c r="I48" s="53"/>
      <c r="J48" s="53"/>
      <c r="K48" s="53"/>
      <c r="L48" s="53"/>
      <c r="M48" s="53"/>
      <c r="N48" s="26"/>
      <c r="O48" s="28"/>
    </row>
    <row r="49" spans="1:15">
      <c r="A49" s="25"/>
      <c r="B49" s="26"/>
      <c r="C49" s="26"/>
      <c r="D49" s="55"/>
      <c r="E49" s="55"/>
      <c r="F49" s="55"/>
      <c r="G49" s="55"/>
      <c r="H49" s="55"/>
      <c r="I49" s="53"/>
      <c r="J49" s="53"/>
      <c r="K49" s="53"/>
      <c r="L49" s="53"/>
      <c r="M49" s="53"/>
      <c r="N49" s="26"/>
      <c r="O49" s="28"/>
    </row>
    <row r="50" spans="1:15">
      <c r="A50" s="25"/>
      <c r="B50" s="26"/>
      <c r="C50" s="26"/>
      <c r="D50" s="55"/>
      <c r="E50" s="55"/>
      <c r="F50" s="55"/>
      <c r="G50" s="55"/>
      <c r="H50" s="55"/>
      <c r="I50" s="53"/>
      <c r="J50" s="53"/>
      <c r="K50" s="53"/>
      <c r="L50" s="53"/>
      <c r="M50" s="53"/>
      <c r="N50" s="26"/>
      <c r="O50" s="28"/>
    </row>
    <row r="51" spans="1:15">
      <c r="A51" s="25"/>
      <c r="B51" s="26"/>
      <c r="C51" s="26"/>
      <c r="D51" s="55"/>
      <c r="E51" s="55"/>
      <c r="F51" s="55"/>
      <c r="G51" s="55"/>
      <c r="H51" s="55"/>
      <c r="I51" s="53"/>
      <c r="J51" s="53"/>
      <c r="K51" s="53"/>
      <c r="L51" s="53"/>
      <c r="M51" s="53"/>
      <c r="N51" s="26"/>
      <c r="O51" s="28"/>
    </row>
    <row r="52" spans="1:15">
      <c r="A52" s="25"/>
      <c r="B52" s="26"/>
      <c r="C52" s="26"/>
      <c r="D52" s="55"/>
      <c r="E52" s="55"/>
      <c r="F52" s="55"/>
      <c r="G52" s="55"/>
      <c r="H52" s="55"/>
      <c r="I52" s="53"/>
      <c r="J52" s="53"/>
      <c r="K52" s="53"/>
      <c r="L52" s="53"/>
      <c r="M52" s="53"/>
      <c r="N52" s="26"/>
      <c r="O52" s="28"/>
    </row>
    <row r="53" spans="1:15">
      <c r="A53" s="25"/>
      <c r="B53" s="26"/>
      <c r="C53" s="26"/>
      <c r="D53" s="55"/>
      <c r="E53" s="55"/>
      <c r="F53" s="55"/>
      <c r="G53" s="55"/>
      <c r="H53" s="55"/>
      <c r="I53" s="53"/>
      <c r="J53" s="53"/>
      <c r="K53" s="53"/>
      <c r="L53" s="53"/>
      <c r="M53" s="53"/>
      <c r="N53" s="26"/>
      <c r="O53" s="28"/>
    </row>
    <row r="54" spans="1:15">
      <c r="A54" s="25"/>
      <c r="B54" s="26"/>
      <c r="C54" s="26"/>
      <c r="D54" s="55"/>
      <c r="E54" s="55"/>
      <c r="F54" s="55"/>
      <c r="G54" s="55"/>
      <c r="H54" s="55"/>
      <c r="I54" s="53"/>
      <c r="J54" s="53"/>
      <c r="K54" s="53"/>
      <c r="L54" s="53"/>
      <c r="M54" s="53"/>
      <c r="N54" s="26"/>
      <c r="O54" s="28"/>
    </row>
    <row r="55" spans="1:15">
      <c r="A55" s="25"/>
      <c r="B55" s="26"/>
      <c r="C55" s="26"/>
      <c r="D55" s="55"/>
      <c r="E55" s="55"/>
      <c r="F55" s="55"/>
      <c r="G55" s="55"/>
      <c r="H55" s="55"/>
      <c r="I55" s="53"/>
      <c r="J55" s="53"/>
      <c r="K55" s="53"/>
      <c r="L55" s="53"/>
      <c r="M55" s="53"/>
      <c r="N55" s="26"/>
      <c r="O55" s="28"/>
    </row>
    <row r="56" spans="1:15">
      <c r="A56" s="25"/>
      <c r="B56" s="26"/>
      <c r="C56" s="26"/>
      <c r="D56" s="55"/>
      <c r="E56" s="55"/>
      <c r="F56" s="55"/>
      <c r="G56" s="55"/>
      <c r="H56" s="55"/>
      <c r="I56" s="53"/>
      <c r="J56" s="53"/>
      <c r="K56" s="53"/>
      <c r="L56" s="53"/>
      <c r="M56" s="53"/>
      <c r="N56" s="26"/>
      <c r="O56" s="28"/>
    </row>
    <row r="57" spans="1:15">
      <c r="A57" s="25"/>
      <c r="B57" s="26"/>
      <c r="C57" s="26"/>
      <c r="D57" s="55"/>
      <c r="E57" s="55"/>
      <c r="F57" s="55"/>
      <c r="G57" s="55"/>
      <c r="H57" s="55"/>
      <c r="I57" s="53"/>
      <c r="J57" s="53"/>
      <c r="K57" s="53"/>
      <c r="L57" s="53"/>
      <c r="M57" s="53"/>
      <c r="N57" s="26"/>
      <c r="O57" s="28"/>
    </row>
    <row r="58" spans="1:15">
      <c r="A58" s="25"/>
      <c r="B58" s="26"/>
      <c r="C58" s="26"/>
      <c r="D58" s="55"/>
      <c r="E58" s="55"/>
      <c r="F58" s="55"/>
      <c r="G58" s="55"/>
      <c r="H58" s="55"/>
      <c r="I58" s="53"/>
      <c r="J58" s="53"/>
      <c r="K58" s="53"/>
      <c r="L58" s="53"/>
      <c r="M58" s="53"/>
      <c r="N58" s="26"/>
      <c r="O58" s="28"/>
    </row>
    <row r="59" spans="1:15">
      <c r="A59" s="25"/>
      <c r="B59" s="26"/>
      <c r="C59" s="26"/>
      <c r="D59" s="55"/>
      <c r="E59" s="55"/>
      <c r="F59" s="55"/>
      <c r="G59" s="55"/>
      <c r="H59" s="55"/>
      <c r="I59" s="53"/>
      <c r="J59" s="53"/>
      <c r="K59" s="53"/>
      <c r="L59" s="53"/>
      <c r="M59" s="53"/>
      <c r="N59" s="26"/>
      <c r="O59" s="28"/>
    </row>
    <row r="60" spans="1:15">
      <c r="A60" s="29"/>
      <c r="B60" s="30"/>
      <c r="C60" s="30"/>
      <c r="D60" s="56"/>
      <c r="E60" s="56"/>
      <c r="F60" s="56"/>
      <c r="G60" s="56"/>
      <c r="H60" s="56"/>
      <c r="I60" s="54"/>
      <c r="J60" s="54"/>
      <c r="K60" s="54"/>
      <c r="L60" s="54"/>
      <c r="M60" s="54"/>
      <c r="N60" s="30"/>
      <c r="O60" s="32"/>
    </row>
  </sheetData>
  <mergeCells count="2">
    <mergeCell ref="A1:O1"/>
    <mergeCell ref="A2:O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70"/>
  <sheetViews>
    <sheetView showGridLines="0" topLeftCell="B1" workbookViewId="0">
      <selection sqref="A1:O1"/>
    </sheetView>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472</v>
      </c>
      <c r="B1" s="467"/>
      <c r="C1" s="467"/>
      <c r="D1" s="467"/>
      <c r="E1" s="467"/>
      <c r="F1" s="467"/>
      <c r="G1" s="467"/>
      <c r="H1" s="467"/>
      <c r="I1" s="467"/>
      <c r="J1" s="467"/>
      <c r="K1" s="467"/>
      <c r="L1" s="467"/>
      <c r="M1" s="467"/>
      <c r="N1" s="467"/>
      <c r="O1" s="468"/>
    </row>
    <row r="2" spans="1:15" ht="14.4">
      <c r="A2" s="469"/>
      <c r="B2" s="470"/>
      <c r="C2" s="470"/>
      <c r="D2" s="470"/>
      <c r="E2" s="470"/>
      <c r="F2" s="470"/>
      <c r="G2" s="470"/>
      <c r="H2" s="470"/>
      <c r="I2" s="470"/>
      <c r="J2" s="470"/>
      <c r="K2" s="470"/>
      <c r="L2" s="470"/>
      <c r="M2" s="470"/>
      <c r="N2" s="470"/>
      <c r="O2" s="465"/>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15" customHeight="1">
      <c r="A5" s="352" t="s">
        <v>55</v>
      </c>
      <c r="B5" s="327"/>
      <c r="C5" s="327"/>
      <c r="D5" s="353"/>
      <c r="E5" s="353"/>
      <c r="F5" s="353"/>
      <c r="G5" s="353"/>
      <c r="H5" s="353"/>
      <c r="I5" s="353"/>
      <c r="J5" s="353"/>
      <c r="K5" s="353"/>
      <c r="L5" s="353"/>
      <c r="M5" s="353"/>
      <c r="N5" s="327"/>
      <c r="O5" s="356"/>
    </row>
    <row r="6" spans="1:15" ht="28.5" customHeight="1">
      <c r="A6" s="25" t="s">
        <v>382</v>
      </c>
      <c r="B6" s="26" t="s">
        <v>444</v>
      </c>
      <c r="C6" s="26" t="s">
        <v>14</v>
      </c>
      <c r="D6" s="33">
        <f>'03_Historical_FS'!D29+'03_Historical_FS'!D30</f>
        <v>18378.642097262</v>
      </c>
      <c r="E6" s="33">
        <f>'03_Historical_FS'!E29+'03_Historical_FS'!E30</f>
        <v>15130.270152999999</v>
      </c>
      <c r="F6" s="33">
        <f>'03_Historical_FS'!F29+'03_Historical_FS'!F30</f>
        <v>24302.712931000002</v>
      </c>
      <c r="G6" s="33">
        <f>'03_Historical_FS'!G29+'03_Historical_FS'!G30</f>
        <v>34221.773297</v>
      </c>
      <c r="H6" s="33">
        <f>'03_Historical_FS'!H29+'03_Historical_FS'!H30</f>
        <v>38874.195820000001</v>
      </c>
      <c r="I6" s="38">
        <f>I27-(I9+I10+I11+I13+I14+I15)</f>
        <v>52287.348155365034</v>
      </c>
      <c r="J6" s="38">
        <f>J27-(J9+J10+J11+J13+J14+J15)</f>
        <v>62917.077849961075</v>
      </c>
      <c r="K6" s="38">
        <f>K27-(K9+K10+K11+K13+K14+K15)</f>
        <v>74340.381715925541</v>
      </c>
      <c r="L6" s="38">
        <f>L27-(L9+L10+L11+L13+L14+L15)</f>
        <v>86675.829232988777</v>
      </c>
      <c r="M6" s="38">
        <f>M27-(M9+M10+M11+M13+M14+M15)</f>
        <v>98590.767067225825</v>
      </c>
      <c r="N6" s="26" t="s">
        <v>473</v>
      </c>
      <c r="O6" s="28" t="s">
        <v>474</v>
      </c>
    </row>
    <row r="7" spans="1:15" ht="28.5" customHeight="1">
      <c r="A7" s="25" t="s">
        <v>382</v>
      </c>
      <c r="B7" s="26" t="s">
        <v>56</v>
      </c>
      <c r="C7" s="26" t="s">
        <v>14</v>
      </c>
      <c r="D7" s="33">
        <f>'03_Historical_FS'!D29</f>
        <v>4142.015762555</v>
      </c>
      <c r="E7" s="33">
        <f>'03_Historical_FS'!E29</f>
        <v>5061.0205470000001</v>
      </c>
      <c r="F7" s="33">
        <f>'03_Historical_FS'!F29</f>
        <v>5365.7048569999997</v>
      </c>
      <c r="G7" s="33">
        <f>'03_Historical_FS'!G29</f>
        <v>4897.3315409999996</v>
      </c>
      <c r="H7" s="33">
        <f>'03_Historical_FS'!H29</f>
        <v>4999.9257170000001</v>
      </c>
      <c r="I7" s="38">
        <f>I6*'03_Historical_FS'!$H$29/('03_Historical_FS'!$H$29+'03_Historical_FS'!$H$30)</f>
        <v>6725.1000619089373</v>
      </c>
      <c r="J7" s="38">
        <f>J6*'03_Historical_FS'!$H$29/('03_Historical_FS'!$H$29+'03_Historical_FS'!$H$30)</f>
        <v>8092.2758386339638</v>
      </c>
      <c r="K7" s="38">
        <f>K6*'03_Historical_FS'!$H$29/('03_Historical_FS'!$H$29+'03_Historical_FS'!$H$30)</f>
        <v>9561.5196279333013</v>
      </c>
      <c r="L7" s="38">
        <f>L6*'03_Historical_FS'!$H$29/('03_Historical_FS'!$H$29+'03_Historical_FS'!$H$30)</f>
        <v>11148.081612568287</v>
      </c>
      <c r="M7" s="38">
        <f>M6*'03_Historical_FS'!$H$29/('03_Historical_FS'!$H$29+'03_Historical_FS'!$H$30)</f>
        <v>12680.558435232449</v>
      </c>
      <c r="N7" s="26" t="s">
        <v>475</v>
      </c>
      <c r="O7" s="28" t="s">
        <v>476</v>
      </c>
    </row>
    <row r="8" spans="1:15">
      <c r="A8" s="25" t="s">
        <v>382</v>
      </c>
      <c r="B8" s="26" t="s">
        <v>59</v>
      </c>
      <c r="C8" s="26" t="s">
        <v>14</v>
      </c>
      <c r="D8" s="33">
        <f>'03_Historical_FS'!D30</f>
        <v>14236.626334707</v>
      </c>
      <c r="E8" s="33">
        <f>'03_Historical_FS'!E30</f>
        <v>10069.249605999999</v>
      </c>
      <c r="F8" s="33">
        <f>'03_Historical_FS'!F30</f>
        <v>18937.008074000001</v>
      </c>
      <c r="G8" s="33">
        <f>'03_Historical_FS'!G30</f>
        <v>29324.441756</v>
      </c>
      <c r="H8" s="33">
        <f>'03_Historical_FS'!H30</f>
        <v>33874.270103000003</v>
      </c>
      <c r="I8" s="38">
        <f>I6-I7</f>
        <v>45562.248093456095</v>
      </c>
      <c r="J8" s="38">
        <f>J6-J7</f>
        <v>54824.802011327112</v>
      </c>
      <c r="K8" s="38">
        <f>K6-K7</f>
        <v>64778.862087992238</v>
      </c>
      <c r="L8" s="38">
        <f>L6-L7</f>
        <v>75527.747620420487</v>
      </c>
      <c r="M8" s="38">
        <f>M6-M7</f>
        <v>85910.208631993373</v>
      </c>
      <c r="N8" s="26" t="s">
        <v>475</v>
      </c>
      <c r="O8" s="28" t="s">
        <v>477</v>
      </c>
    </row>
    <row r="9" spans="1:15">
      <c r="A9" s="25" t="s">
        <v>382</v>
      </c>
      <c r="B9" s="26" t="s">
        <v>61</v>
      </c>
      <c r="C9" s="26" t="s">
        <v>14</v>
      </c>
      <c r="D9" s="33">
        <f>'03_Historical_FS'!D31</f>
        <v>3162.1219715860002</v>
      </c>
      <c r="E9" s="33">
        <f>'03_Historical_FS'!E31</f>
        <v>3000.817466</v>
      </c>
      <c r="F9" s="33">
        <f>'03_Historical_FS'!F31</f>
        <v>5158.8533379999999</v>
      </c>
      <c r="G9" s="33">
        <f>'03_Historical_FS'!G31</f>
        <v>8825.8962250000004</v>
      </c>
      <c r="H9" s="33">
        <f>'03_Historical_FS'!H31</f>
        <v>10182.835977999999</v>
      </c>
      <c r="I9" s="38">
        <f>'09_Working_Capital'!I11</f>
        <v>9123.2876712328762</v>
      </c>
      <c r="J9" s="38">
        <f>'09_Working_Capital'!J11</f>
        <v>9813.5303864102461</v>
      </c>
      <c r="K9" s="38">
        <f>'09_Working_Capital'!K11</f>
        <v>10170.596633267071</v>
      </c>
      <c r="L9" s="38">
        <f>'09_Working_Capital'!L11</f>
        <v>10306.729019749717</v>
      </c>
      <c r="M9" s="38">
        <f>'09_Working_Capital'!M11</f>
        <v>10982.072966084272</v>
      </c>
      <c r="N9" s="26" t="s">
        <v>478</v>
      </c>
      <c r="O9" s="28" t="s">
        <v>479</v>
      </c>
    </row>
    <row r="10" spans="1:15">
      <c r="A10" s="25" t="s">
        <v>382</v>
      </c>
      <c r="B10" s="26" t="s">
        <v>63</v>
      </c>
      <c r="C10" s="26" t="s">
        <v>14</v>
      </c>
      <c r="D10" s="33">
        <f>'03_Historical_FS'!D32</f>
        <v>29167.232293921999</v>
      </c>
      <c r="E10" s="33">
        <f>'03_Historical_FS'!E32</f>
        <v>25696.077734999999</v>
      </c>
      <c r="F10" s="33">
        <f>'03_Historical_FS'!F32</f>
        <v>21824.235626000002</v>
      </c>
      <c r="G10" s="33">
        <f>'03_Historical_FS'!G32</f>
        <v>22244.676327000001</v>
      </c>
      <c r="H10" s="33">
        <f>'03_Historical_FS'!H32</f>
        <v>27266.851974000001</v>
      </c>
      <c r="I10" s="38">
        <f>'09_Working_Capital'!I12</f>
        <v>29415</v>
      </c>
      <c r="J10" s="38">
        <f>'09_Working_Capital'!J12</f>
        <v>32918.044514979869</v>
      </c>
      <c r="K10" s="38">
        <f>'09_Working_Capital'!K12</f>
        <v>35152.12461372932</v>
      </c>
      <c r="L10" s="38">
        <f>'09_Working_Capital'!L12</f>
        <v>37407.242304279622</v>
      </c>
      <c r="M10" s="38">
        <f>'09_Working_Capital'!M12</f>
        <v>39230.893187643975</v>
      </c>
      <c r="N10" s="26" t="s">
        <v>478</v>
      </c>
      <c r="O10" s="28" t="s">
        <v>480</v>
      </c>
    </row>
    <row r="11" spans="1:15">
      <c r="A11" s="25" t="s">
        <v>382</v>
      </c>
      <c r="B11" s="26" t="s">
        <v>65</v>
      </c>
      <c r="C11" s="26" t="s">
        <v>14</v>
      </c>
      <c r="D11" s="33">
        <f>'03_Historical_FS'!D33</f>
        <v>1247.2614078869999</v>
      </c>
      <c r="E11" s="33">
        <f>'03_Historical_FS'!E33</f>
        <v>750.44187399999998</v>
      </c>
      <c r="F11" s="33">
        <f>'03_Historical_FS'!F33</f>
        <v>664.53608099999997</v>
      </c>
      <c r="G11" s="33">
        <f>'03_Historical_FS'!G33</f>
        <v>544.07677200000001</v>
      </c>
      <c r="H11" s="33">
        <f>'03_Historical_FS'!H33</f>
        <v>877.76701000000003</v>
      </c>
      <c r="I11" s="38">
        <f>'08_P5_Assumptions'!I6*'08_P5_Assumptions'!I24</f>
        <v>1110</v>
      </c>
      <c r="J11" s="38">
        <f>'08_P5_Assumptions'!J6*'08_P5_Assumptions'!J24</f>
        <v>1264.213620366967</v>
      </c>
      <c r="K11" s="38">
        <f>'08_P5_Assumptions'!K6*'08_P5_Assumptions'!K24</f>
        <v>1392.1004141784304</v>
      </c>
      <c r="L11" s="38">
        <f>'08_P5_Assumptions'!L6*'08_P5_Assumptions'!L24</f>
        <v>1504.7824368834588</v>
      </c>
      <c r="M11" s="38">
        <f>'08_P5_Assumptions'!M6*'08_P5_Assumptions'!M24</f>
        <v>1603.3826530483036</v>
      </c>
      <c r="N11" s="26" t="s">
        <v>405</v>
      </c>
      <c r="O11" s="28" t="s">
        <v>481</v>
      </c>
    </row>
    <row r="12" spans="1:15" ht="28.5" customHeight="1">
      <c r="A12" s="25" t="s">
        <v>382</v>
      </c>
      <c r="B12" s="26" t="s">
        <v>67</v>
      </c>
      <c r="C12" s="26" t="s">
        <v>14</v>
      </c>
      <c r="D12" s="33">
        <f>'03_Historical_FS'!D34</f>
        <v>51955.257770657001</v>
      </c>
      <c r="E12" s="33">
        <f>'03_Historical_FS'!E34</f>
        <v>44577.607228000001</v>
      </c>
      <c r="F12" s="33">
        <f>'03_Historical_FS'!F34</f>
        <v>51950.337976000003</v>
      </c>
      <c r="G12" s="33">
        <f>'03_Historical_FS'!G34</f>
        <v>65836.422619999998</v>
      </c>
      <c r="H12" s="33">
        <f>'03_Historical_FS'!H34</f>
        <v>77201.650783000005</v>
      </c>
      <c r="I12" s="38">
        <f>I6+I9+I10+I11</f>
        <v>91935.635826597907</v>
      </c>
      <c r="J12" s="38">
        <f>J6+J9+J10+J11</f>
        <v>106912.86637171815</v>
      </c>
      <c r="K12" s="38">
        <f>K6+K9+K10+K11</f>
        <v>121055.20337710036</v>
      </c>
      <c r="L12" s="38">
        <f>L6+L9+L10+L11</f>
        <v>135894.58299390157</v>
      </c>
      <c r="M12" s="38">
        <f>M6+M9+M10+M11</f>
        <v>150407.11587400237</v>
      </c>
      <c r="N12" s="26" t="s">
        <v>24</v>
      </c>
      <c r="O12" s="28" t="s">
        <v>482</v>
      </c>
    </row>
    <row r="13" spans="1:15">
      <c r="A13" s="25" t="s">
        <v>385</v>
      </c>
      <c r="B13" s="26" t="s">
        <v>69</v>
      </c>
      <c r="C13" s="26" t="s">
        <v>14</v>
      </c>
      <c r="D13" s="33">
        <f>'03_Historical_FS'!D35</f>
        <v>9647.1688732319999</v>
      </c>
      <c r="E13" s="33">
        <f>'03_Historical_FS'!E35</f>
        <v>9727.5029109999996</v>
      </c>
      <c r="F13" s="33">
        <f>'03_Historical_FS'!F35</f>
        <v>6500.1356089999999</v>
      </c>
      <c r="G13" s="33">
        <f>'03_Historical_FS'!G35</f>
        <v>3586.6286639999998</v>
      </c>
      <c r="H13" s="33">
        <f>'03_Historical_FS'!H35</f>
        <v>2598.189218</v>
      </c>
      <c r="I13" s="38">
        <f>'11_Capex_DA'!I12</f>
        <v>2690.6892179999995</v>
      </c>
      <c r="J13" s="38">
        <f>'11_Capex_DA'!J12</f>
        <v>2901.391488061161</v>
      </c>
      <c r="K13" s="38">
        <f>'11_Capex_DA'!K12</f>
        <v>3017.3998559093634</v>
      </c>
      <c r="L13" s="38">
        <f>'11_Capex_DA'!L12</f>
        <v>3017.3998559093639</v>
      </c>
      <c r="M13" s="38">
        <f>'11_Capex_DA'!M12</f>
        <v>3151.0150769967217</v>
      </c>
      <c r="N13" s="26" t="s">
        <v>483</v>
      </c>
      <c r="O13" s="28" t="s">
        <v>484</v>
      </c>
    </row>
    <row r="14" spans="1:15">
      <c r="A14" s="25" t="s">
        <v>385</v>
      </c>
      <c r="B14" s="26" t="s">
        <v>71</v>
      </c>
      <c r="C14" s="26" t="s">
        <v>14</v>
      </c>
      <c r="D14" s="33">
        <f>'03_Historical_FS'!D36</f>
        <v>0</v>
      </c>
      <c r="E14" s="33">
        <f>'03_Historical_FS'!E36</f>
        <v>231.03484</v>
      </c>
      <c r="F14" s="33">
        <f>'03_Historical_FS'!F36</f>
        <v>746.63225299999999</v>
      </c>
      <c r="G14" s="33">
        <f>'03_Historical_FS'!G36</f>
        <v>242.035798</v>
      </c>
      <c r="H14" s="33">
        <f>'03_Historical_FS'!H36</f>
        <v>3136.3155649999999</v>
      </c>
      <c r="I14" s="38">
        <f>'08_P5_Assumptions'!I6*'08_P5_Assumptions'!I26</f>
        <v>3329.9999999999995</v>
      </c>
      <c r="J14" s="38">
        <f>'08_P5_Assumptions'!J6*'08_P5_Assumptions'!J26</f>
        <v>3581.93859103974</v>
      </c>
      <c r="K14" s="38">
        <f>'08_P5_Assumptions'!K6*'08_P5_Assumptions'!K26</f>
        <v>3712.2677711424808</v>
      </c>
      <c r="L14" s="38">
        <f>'08_P5_Assumptions'!L6*'08_P5_Assumptions'!L26</f>
        <v>3761.9560922086466</v>
      </c>
      <c r="M14" s="38">
        <f>'08_P5_Assumptions'!M6*'08_P5_Assumptions'!M26</f>
        <v>4008.4566326207587</v>
      </c>
      <c r="N14" s="26" t="s">
        <v>405</v>
      </c>
      <c r="O14" s="28" t="s">
        <v>481</v>
      </c>
    </row>
    <row r="15" spans="1:15">
      <c r="A15" s="25" t="s">
        <v>385</v>
      </c>
      <c r="B15" s="26" t="s">
        <v>73</v>
      </c>
      <c r="C15" s="26" t="s">
        <v>14</v>
      </c>
      <c r="D15" s="33">
        <f>'03_Historical_FS'!D37</f>
        <v>806.89105241699997</v>
      </c>
      <c r="E15" s="33">
        <f>'03_Historical_FS'!E37</f>
        <v>670.59008200000005</v>
      </c>
      <c r="F15" s="33">
        <f>'03_Historical_FS'!F37</f>
        <v>452.06753099999997</v>
      </c>
      <c r="G15" s="33">
        <f>'03_Historical_FS'!G37</f>
        <v>358.45441399999999</v>
      </c>
      <c r="H15" s="33">
        <f>'03_Historical_FS'!H37</f>
        <v>514.74079400000005</v>
      </c>
      <c r="I15" s="38">
        <f>'08_P5_Assumptions'!I6*'08_P5_Assumptions'!I27</f>
        <v>555</v>
      </c>
      <c r="J15" s="38">
        <f>'08_P5_Assumptions'!J6*'08_P5_Assumptions'!J27</f>
        <v>632.1068101834835</v>
      </c>
      <c r="K15" s="38">
        <f>'08_P5_Assumptions'!K6*'08_P5_Assumptions'!K27</f>
        <v>696.05020708921518</v>
      </c>
      <c r="L15" s="38">
        <f>'08_P5_Assumptions'!L6*'08_P5_Assumptions'!L27</f>
        <v>752.39121844172939</v>
      </c>
      <c r="M15" s="38">
        <f>'08_P5_Assumptions'!M6*'08_P5_Assumptions'!M27</f>
        <v>801.6913265241518</v>
      </c>
      <c r="N15" s="26" t="s">
        <v>405</v>
      </c>
      <c r="O15" s="28" t="s">
        <v>481</v>
      </c>
    </row>
    <row r="16" spans="1:15">
      <c r="A16" s="25" t="s">
        <v>485</v>
      </c>
      <c r="B16" s="26" t="s">
        <v>75</v>
      </c>
      <c r="C16" s="26" t="s">
        <v>14</v>
      </c>
      <c r="D16" s="33">
        <f>'03_Historical_FS'!D38</f>
        <v>62971.404814941998</v>
      </c>
      <c r="E16" s="33">
        <f>'03_Historical_FS'!E38</f>
        <v>55834.095613999998</v>
      </c>
      <c r="F16" s="33">
        <f>'03_Historical_FS'!F38</f>
        <v>60111.237213</v>
      </c>
      <c r="G16" s="33">
        <f>'03_Historical_FS'!G38</f>
        <v>70437.775722000006</v>
      </c>
      <c r="H16" s="33">
        <f>'03_Historical_FS'!H38</f>
        <v>83945.619611999995</v>
      </c>
      <c r="I16" s="38">
        <f>I12+I13+I14+I15</f>
        <v>98511.325044597907</v>
      </c>
      <c r="J16" s="38">
        <f>J12+J13+J14+J15</f>
        <v>114028.30326100253</v>
      </c>
      <c r="K16" s="38">
        <f>K12+K13+K14+K15</f>
        <v>128480.92121124141</v>
      </c>
      <c r="L16" s="38">
        <f>L12+L13+L14+L15</f>
        <v>143426.33016046134</v>
      </c>
      <c r="M16" s="38">
        <f>M12+M13+M14+M15</f>
        <v>158368.27891014403</v>
      </c>
      <c r="N16" s="26" t="s">
        <v>24</v>
      </c>
      <c r="O16" s="28" t="s">
        <v>486</v>
      </c>
    </row>
    <row r="17" spans="1:15">
      <c r="A17" s="25" t="s">
        <v>487</v>
      </c>
      <c r="B17" s="26" t="s">
        <v>77</v>
      </c>
      <c r="C17" s="26" t="s">
        <v>14</v>
      </c>
      <c r="D17" s="33">
        <f>'03_Historical_FS'!D39</f>
        <v>12179.774771734001</v>
      </c>
      <c r="E17" s="33">
        <f>'03_Historical_FS'!E39</f>
        <v>8745.8273320000008</v>
      </c>
      <c r="F17" s="33">
        <f>'03_Historical_FS'!F39</f>
        <v>7927.0697280000004</v>
      </c>
      <c r="G17" s="33">
        <f>'03_Historical_FS'!G39</f>
        <v>9179.6360550000009</v>
      </c>
      <c r="H17" s="33">
        <f>'03_Historical_FS'!H39</f>
        <v>13113.899672</v>
      </c>
      <c r="I17" s="38">
        <f>'09_Working_Capital'!I13</f>
        <v>13297.191780821919</v>
      </c>
      <c r="J17" s="38">
        <f>'09_Working_Capital'!J13</f>
        <v>15544.632132073828</v>
      </c>
      <c r="K17" s="38">
        <f>'09_Working_Capital'!K13</f>
        <v>17073.889098097097</v>
      </c>
      <c r="L17" s="38">
        <f>'09_Working_Capital'!L13</f>
        <v>18432.554178920396</v>
      </c>
      <c r="M17" s="38">
        <f>'09_Working_Capital'!M13</f>
        <v>19615.446593821987</v>
      </c>
      <c r="N17" s="26" t="s">
        <v>478</v>
      </c>
      <c r="O17" s="28" t="s">
        <v>488</v>
      </c>
    </row>
    <row r="18" spans="1:15" ht="28.5" customHeight="1">
      <c r="A18" s="25" t="s">
        <v>487</v>
      </c>
      <c r="B18" s="26" t="s">
        <v>98</v>
      </c>
      <c r="C18" s="26" t="s">
        <v>14</v>
      </c>
      <c r="D18" s="33">
        <f>'03_Historical_FS'!D50</f>
        <v>24647.474278786001</v>
      </c>
      <c r="E18" s="33">
        <f>'03_Historical_FS'!E50</f>
        <v>16589.388631000002</v>
      </c>
      <c r="F18" s="33">
        <f>'03_Historical_FS'!F50</f>
        <v>25113.791818000002</v>
      </c>
      <c r="G18" s="33">
        <f>'03_Historical_FS'!G50</f>
        <v>27300.246722</v>
      </c>
      <c r="H18" s="33">
        <f>'03_Historical_FS'!H50</f>
        <v>29930.942962000001</v>
      </c>
      <c r="I18" s="38">
        <f>'10_Debt_Cash_Interest'!I7</f>
        <v>35150</v>
      </c>
      <c r="J18" s="38">
        <f>'10_Debt_Cash_Interest'!J7</f>
        <v>37926.408611009007</v>
      </c>
      <c r="K18" s="38">
        <f>'10_Debt_Cash_Interest'!K7</f>
        <v>39442.845068388866</v>
      </c>
      <c r="L18" s="38">
        <f>'10_Debt_Cash_Interest'!L7</f>
        <v>40127.531650225566</v>
      </c>
      <c r="M18" s="38">
        <f>'10_Debt_Cash_Interest'!M7</f>
        <v>40084.56632620759</v>
      </c>
      <c r="N18" s="26" t="s">
        <v>489</v>
      </c>
      <c r="O18" s="28" t="s">
        <v>490</v>
      </c>
    </row>
    <row r="19" spans="1:15">
      <c r="A19" s="25" t="s">
        <v>487</v>
      </c>
      <c r="B19" s="26" t="s">
        <v>491</v>
      </c>
      <c r="C19" s="26" t="s">
        <v>14</v>
      </c>
      <c r="D19" s="33">
        <f>'03_Historical_FS'!D41-'03_Historical_FS'!D39-'03_Historical_FS'!D40</f>
        <v>5765.9097645759975</v>
      </c>
      <c r="E19" s="33">
        <f>'03_Historical_FS'!E41-'03_Historical_FS'!E39-'03_Historical_FS'!E40</f>
        <v>6566.2981329999984</v>
      </c>
      <c r="F19" s="33">
        <f>'03_Historical_FS'!F41-'03_Historical_FS'!F39-'03_Historical_FS'!F40</f>
        <v>3709.6490079999967</v>
      </c>
      <c r="G19" s="33">
        <f>'03_Historical_FS'!G41-'03_Historical_FS'!G39-'03_Historical_FS'!G40</f>
        <v>5836.3161209999998</v>
      </c>
      <c r="H19" s="33">
        <f>'03_Historical_FS'!H41-'03_Historical_FS'!H39-'03_Historical_FS'!H40</f>
        <v>7724.6596030000001</v>
      </c>
      <c r="I19" s="38">
        <f>'08_P5_Assumptions'!I6*'08_P5_Assumptions'!I25</f>
        <v>9250</v>
      </c>
      <c r="J19" s="38">
        <f>'08_P5_Assumptions'!J6*'08_P5_Assumptions'!J25</f>
        <v>10535.113503058059</v>
      </c>
      <c r="K19" s="38">
        <f>'08_P5_Assumptions'!K6*'08_P5_Assumptions'!K25</f>
        <v>11136.803313427443</v>
      </c>
      <c r="L19" s="38">
        <f>'08_P5_Assumptions'!L6*'08_P5_Assumptions'!L25</f>
        <v>11787.46242225376</v>
      </c>
      <c r="M19" s="38">
        <f>'08_P5_Assumptions'!M6*'08_P5_Assumptions'!M25</f>
        <v>12292.600340036994</v>
      </c>
      <c r="N19" s="26" t="s">
        <v>492</v>
      </c>
      <c r="O19" s="28" t="s">
        <v>493</v>
      </c>
    </row>
    <row r="20" spans="1:15">
      <c r="A20" s="25" t="s">
        <v>487</v>
      </c>
      <c r="B20" s="26" t="s">
        <v>494</v>
      </c>
      <c r="C20" s="26" t="s">
        <v>14</v>
      </c>
      <c r="D20" s="33">
        <f>'03_Historical_FS'!D43-'03_Historical_FS'!D42</f>
        <v>0</v>
      </c>
      <c r="E20" s="33">
        <f>'03_Historical_FS'!E43-'03_Historical_FS'!E42</f>
        <v>0</v>
      </c>
      <c r="F20" s="33">
        <f>'03_Historical_FS'!F43-'03_Historical_FS'!F42</f>
        <v>1.1686909999998534</v>
      </c>
      <c r="G20" s="33">
        <f>'03_Historical_FS'!G43-'03_Historical_FS'!G42</f>
        <v>0</v>
      </c>
      <c r="H20" s="33">
        <f>'03_Historical_FS'!H43-'03_Historical_FS'!H42</f>
        <v>0</v>
      </c>
      <c r="I20" s="38">
        <f>'08_P5_Assumptions'!I6*'08_P5_Assumptions'!I28</f>
        <v>185</v>
      </c>
      <c r="J20" s="38">
        <f>'08_P5_Assumptions'!J6*'08_P5_Assumptions'!J28</f>
        <v>210.70227006116116</v>
      </c>
      <c r="K20" s="38">
        <f>'08_P5_Assumptions'!K6*'08_P5_Assumptions'!K28</f>
        <v>232.01673569640505</v>
      </c>
      <c r="L20" s="38">
        <f>'08_P5_Assumptions'!L6*'08_P5_Assumptions'!L28</f>
        <v>250.79707281390981</v>
      </c>
      <c r="M20" s="38">
        <f>'08_P5_Assumptions'!M6*'08_P5_Assumptions'!M28</f>
        <v>267.23044217471727</v>
      </c>
      <c r="N20" s="26" t="s">
        <v>492</v>
      </c>
      <c r="O20" s="28" t="s">
        <v>495</v>
      </c>
    </row>
    <row r="21" spans="1:15">
      <c r="A21" s="25" t="s">
        <v>487</v>
      </c>
      <c r="B21" s="26" t="s">
        <v>87</v>
      </c>
      <c r="C21" s="26" t="s">
        <v>14</v>
      </c>
      <c r="D21" s="33">
        <f>'03_Historical_FS'!D44</f>
        <v>42593.158815096001</v>
      </c>
      <c r="E21" s="33">
        <f>'03_Historical_FS'!E44</f>
        <v>31901.514095999999</v>
      </c>
      <c r="F21" s="33">
        <f>'03_Historical_FS'!F44</f>
        <v>36751.679244999999</v>
      </c>
      <c r="G21" s="33">
        <f>'03_Historical_FS'!G44</f>
        <v>42316.198898000002</v>
      </c>
      <c r="H21" s="33">
        <f>'03_Historical_FS'!H44</f>
        <v>50769.502237000001</v>
      </c>
      <c r="I21" s="38">
        <f>I17+I18+I19+I20</f>
        <v>57882.191780821915</v>
      </c>
      <c r="J21" s="38">
        <f>J17+J18+J19+J20</f>
        <v>64216.85651620206</v>
      </c>
      <c r="K21" s="38">
        <f>K17+K18+K19+K20</f>
        <v>67885.554215609809</v>
      </c>
      <c r="L21" s="38">
        <f>L17+L18+L19+L20</f>
        <v>70598.345324213617</v>
      </c>
      <c r="M21" s="38">
        <f>M17+M18+M19+M20</f>
        <v>72259.843702241284</v>
      </c>
      <c r="N21" s="26" t="s">
        <v>24</v>
      </c>
      <c r="O21" s="28" t="s">
        <v>496</v>
      </c>
    </row>
    <row r="22" spans="1:15">
      <c r="A22" s="25" t="s">
        <v>497</v>
      </c>
      <c r="B22" s="26" t="s">
        <v>89</v>
      </c>
      <c r="C22" s="26" t="s">
        <v>14</v>
      </c>
      <c r="D22" s="33">
        <f>'03_Historical_FS'!D45</f>
        <v>7130.6549500000001</v>
      </c>
      <c r="E22" s="33">
        <f>'03_Historical_FS'!E45</f>
        <v>14638.792799999999</v>
      </c>
      <c r="F22" s="33">
        <f>'03_Historical_FS'!F45</f>
        <v>14633.767159999999</v>
      </c>
      <c r="G22" s="33">
        <f>'03_Historical_FS'!G45</f>
        <v>14622.441769999999</v>
      </c>
      <c r="H22" s="33">
        <f>'03_Historical_FS'!H45</f>
        <v>14696.931769999999</v>
      </c>
      <c r="I22" s="38">
        <f>'03_Historical_FS'!H45</f>
        <v>14696.931769999999</v>
      </c>
      <c r="J22" s="38">
        <f>I22</f>
        <v>14696.931769999999</v>
      </c>
      <c r="K22" s="38">
        <f>J22</f>
        <v>14696.931769999999</v>
      </c>
      <c r="L22" s="38">
        <f>K22</f>
        <v>14696.931769999999</v>
      </c>
      <c r="M22" s="38">
        <f>L22</f>
        <v>14696.931769999999</v>
      </c>
      <c r="N22" s="26" t="s">
        <v>498</v>
      </c>
      <c r="O22" s="28" t="s">
        <v>499</v>
      </c>
    </row>
    <row r="23" spans="1:15">
      <c r="A23" s="25" t="s">
        <v>497</v>
      </c>
      <c r="B23" s="26" t="s">
        <v>91</v>
      </c>
      <c r="C23" s="26" t="s">
        <v>14</v>
      </c>
      <c r="D23" s="33">
        <f>'03_Historical_FS'!D46</f>
        <v>12674.574164064999</v>
      </c>
      <c r="E23" s="33">
        <f>'03_Historical_FS'!E46</f>
        <v>8723.9342259999994</v>
      </c>
      <c r="F23" s="33">
        <f>'03_Historical_FS'!F46</f>
        <v>8160.3235960000002</v>
      </c>
      <c r="G23" s="33">
        <f>'03_Historical_FS'!G46</f>
        <v>12582.145267</v>
      </c>
      <c r="H23" s="33">
        <f>'03_Historical_FS'!H46</f>
        <v>18068.194576000002</v>
      </c>
      <c r="I23" s="38">
        <f>H23+'12_Income_Statement'!I25-('12_Income_Statement'!I25*'08_P5_Assumptions'!I16)</f>
        <v>25465.39656645765</v>
      </c>
      <c r="J23" s="38">
        <f>I23+'12_Income_Statement'!J25-('12_Income_Statement'!J25*'08_P5_Assumptions'!J16)</f>
        <v>34573.224788993852</v>
      </c>
      <c r="K23" s="38">
        <f>J23+'12_Income_Statement'!K25-('12_Income_Statement'!K25*'08_P5_Assumptions'!K16)</f>
        <v>45262.950577938536</v>
      </c>
      <c r="L23" s="38">
        <f>K23+'12_Income_Statement'!L25-('12_Income_Statement'!L25*'08_P5_Assumptions'!L16)</f>
        <v>57381.102250364158</v>
      </c>
      <c r="M23" s="38">
        <f>L23+'12_Income_Statement'!M25-('12_Income_Statement'!M25*'08_P5_Assumptions'!M16)</f>
        <v>70529.013197152381</v>
      </c>
      <c r="N23" s="26" t="s">
        <v>425</v>
      </c>
      <c r="O23" s="28" t="s">
        <v>500</v>
      </c>
    </row>
    <row r="24" spans="1:15" ht="28.5" customHeight="1">
      <c r="A24" s="25" t="s">
        <v>497</v>
      </c>
      <c r="B24" s="26" t="s">
        <v>501</v>
      </c>
      <c r="C24" s="26" t="s">
        <v>14</v>
      </c>
      <c r="D24" s="33">
        <f>'03_Historical_FS'!D48-'03_Historical_FS'!D45-'03_Historical_FS'!D46-'03_Historical_FS'!D47</f>
        <v>561.17885628500039</v>
      </c>
      <c r="E24" s="33">
        <f>'03_Historical_FS'!E48-'03_Historical_FS'!E45-'03_Historical_FS'!E46-'03_Historical_FS'!E47</f>
        <v>555.34639500000037</v>
      </c>
      <c r="F24" s="33">
        <f>'03_Historical_FS'!F48-'03_Historical_FS'!F45-'03_Historical_FS'!F46-'03_Historical_FS'!F47</f>
        <v>552.06618100000105</v>
      </c>
      <c r="G24" s="33">
        <f>'03_Historical_FS'!G48-'03_Historical_FS'!G45-'03_Historical_FS'!G46-'03_Historical_FS'!G47</f>
        <v>552.96913600000039</v>
      </c>
      <c r="H24" s="33">
        <f>'03_Historical_FS'!H48-'03_Historical_FS'!H45-'03_Historical_FS'!H46-'03_Historical_FS'!H47</f>
        <v>-165.35995899999932</v>
      </c>
      <c r="I24" s="38">
        <f>H24</f>
        <v>-165.35995899999932</v>
      </c>
      <c r="J24" s="38">
        <f>I24</f>
        <v>-165.35995899999932</v>
      </c>
      <c r="K24" s="38">
        <f>J24</f>
        <v>-165.35995899999932</v>
      </c>
      <c r="L24" s="38">
        <f>K24</f>
        <v>-165.35995899999932</v>
      </c>
      <c r="M24" s="38">
        <f>L24</f>
        <v>-165.35995899999932</v>
      </c>
      <c r="N24" s="26" t="s">
        <v>502</v>
      </c>
      <c r="O24" s="28" t="s">
        <v>503</v>
      </c>
    </row>
    <row r="25" spans="1:15">
      <c r="A25" s="25" t="s">
        <v>497</v>
      </c>
      <c r="B25" s="26" t="s">
        <v>93</v>
      </c>
      <c r="C25" s="26" t="s">
        <v>14</v>
      </c>
      <c r="D25" s="33">
        <f>'03_Historical_FS'!D47</f>
        <v>11.838029496000001</v>
      </c>
      <c r="E25" s="33">
        <f>'03_Historical_FS'!E47</f>
        <v>14.508096999999999</v>
      </c>
      <c r="F25" s="33">
        <f>'03_Historical_FS'!F47</f>
        <v>13.40103</v>
      </c>
      <c r="G25" s="33">
        <f>'03_Historical_FS'!G47</f>
        <v>364.02065099999999</v>
      </c>
      <c r="H25" s="33">
        <f>'03_Historical_FS'!H47</f>
        <v>576.35098800000003</v>
      </c>
      <c r="I25" s="38">
        <f>H25+'12_Income_Statement'!I24</f>
        <v>632.1648863183425</v>
      </c>
      <c r="J25" s="38">
        <f>I25+'12_Income_Statement'!J24</f>
        <v>706.65014480662296</v>
      </c>
      <c r="K25" s="38">
        <f>J25+'12_Income_Statement'!K24</f>
        <v>800.84460669309431</v>
      </c>
      <c r="L25" s="38">
        <f>K25+'12_Income_Statement'!L24</f>
        <v>915.31077488351264</v>
      </c>
      <c r="M25" s="38">
        <f>L25+'12_Income_Statement'!M24</f>
        <v>1047.8501997503295</v>
      </c>
      <c r="N25" s="26" t="s">
        <v>425</v>
      </c>
      <c r="O25" s="28" t="s">
        <v>504</v>
      </c>
    </row>
    <row r="26" spans="1:15" ht="28.5" customHeight="1">
      <c r="A26" s="25" t="s">
        <v>497</v>
      </c>
      <c r="B26" s="26" t="s">
        <v>94</v>
      </c>
      <c r="C26" s="26" t="s">
        <v>14</v>
      </c>
      <c r="D26" s="33">
        <f>'03_Historical_FS'!D48</f>
        <v>20378.245999846</v>
      </c>
      <c r="E26" s="33">
        <f>'03_Historical_FS'!E48</f>
        <v>23932.581517999999</v>
      </c>
      <c r="F26" s="33">
        <f>'03_Historical_FS'!F48</f>
        <v>23359.557967000001</v>
      </c>
      <c r="G26" s="33">
        <f>'03_Historical_FS'!G48</f>
        <v>28121.576824</v>
      </c>
      <c r="H26" s="33">
        <f>'03_Historical_FS'!H48</f>
        <v>33176.117375000002</v>
      </c>
      <c r="I26" s="38">
        <f>I22+I23+I24+I25</f>
        <v>40629.133263775992</v>
      </c>
      <c r="J26" s="38">
        <f>J22+J23+J24+J25</f>
        <v>49811.44674480048</v>
      </c>
      <c r="K26" s="38">
        <f>K22+K23+K24+K25</f>
        <v>60595.366995631623</v>
      </c>
      <c r="L26" s="38">
        <f>L22+L23+L24+L25</f>
        <v>72827.984836247677</v>
      </c>
      <c r="M26" s="38">
        <f>M22+M23+M24+M25</f>
        <v>86108.435207902716</v>
      </c>
      <c r="N26" s="26" t="s">
        <v>24</v>
      </c>
      <c r="O26" s="28" t="s">
        <v>505</v>
      </c>
    </row>
    <row r="27" spans="1:15">
      <c r="A27" s="25" t="s">
        <v>506</v>
      </c>
      <c r="B27" s="26" t="s">
        <v>96</v>
      </c>
      <c r="C27" s="26" t="s">
        <v>14</v>
      </c>
      <c r="D27" s="33">
        <f>'03_Historical_FS'!D49</f>
        <v>62971.404814941998</v>
      </c>
      <c r="E27" s="33">
        <f>'03_Historical_FS'!E49</f>
        <v>55834.095613999998</v>
      </c>
      <c r="F27" s="33">
        <f>'03_Historical_FS'!F49</f>
        <v>60111.237213</v>
      </c>
      <c r="G27" s="33">
        <f>'03_Historical_FS'!G49</f>
        <v>70437.775722000006</v>
      </c>
      <c r="H27" s="33">
        <f>'03_Historical_FS'!H49</f>
        <v>83945.619611999995</v>
      </c>
      <c r="I27" s="38">
        <f>I21+I26</f>
        <v>98511.325044597907</v>
      </c>
      <c r="J27" s="38">
        <f>J21+J26</f>
        <v>114028.30326100254</v>
      </c>
      <c r="K27" s="38">
        <f>K21+K26</f>
        <v>128480.92121124142</v>
      </c>
      <c r="L27" s="38">
        <f>L21+L26</f>
        <v>143426.33016046131</v>
      </c>
      <c r="M27" s="38">
        <f>M21+M26</f>
        <v>158368.278910144</v>
      </c>
      <c r="N27" s="26" t="s">
        <v>24</v>
      </c>
      <c r="O27" s="28" t="s">
        <v>507</v>
      </c>
    </row>
    <row r="28" spans="1:15">
      <c r="A28" s="25" t="s">
        <v>427</v>
      </c>
      <c r="B28" s="26" t="s">
        <v>137</v>
      </c>
      <c r="C28" s="26" t="s">
        <v>14</v>
      </c>
      <c r="D28" s="33">
        <f>'03_Historical_FS'!D73</f>
        <v>-3.637978807091713E-12</v>
      </c>
      <c r="E28" s="33">
        <f>'03_Historical_FS'!E73</f>
        <v>0</v>
      </c>
      <c r="F28" s="33">
        <f>'03_Historical_FS'!F73</f>
        <v>1.0000003385357559E-6</v>
      </c>
      <c r="G28" s="33">
        <f>'03_Historical_FS'!G73</f>
        <v>0</v>
      </c>
      <c r="H28" s="33">
        <f>'03_Historical_FS'!H73</f>
        <v>0</v>
      </c>
      <c r="I28" s="38">
        <f>I16-I27</f>
        <v>0</v>
      </c>
      <c r="J28" s="38">
        <f>J16-J27</f>
        <v>0</v>
      </c>
      <c r="K28" s="38">
        <f>K16-K27</f>
        <v>0</v>
      </c>
      <c r="L28" s="38">
        <f>L16-L27</f>
        <v>0</v>
      </c>
      <c r="M28" s="38">
        <f>M16-M27</f>
        <v>0</v>
      </c>
      <c r="N28" s="26" t="s">
        <v>24</v>
      </c>
      <c r="O28" s="28" t="s">
        <v>508</v>
      </c>
    </row>
    <row r="29" spans="1:15">
      <c r="A29" s="25" t="s">
        <v>380</v>
      </c>
      <c r="B29" s="26" t="s">
        <v>99</v>
      </c>
      <c r="C29" s="26" t="s">
        <v>14</v>
      </c>
      <c r="D29" s="33">
        <f>'03_Historical_FS'!D51</f>
        <v>6268.8321815240033</v>
      </c>
      <c r="E29" s="33">
        <f>'03_Historical_FS'!E51</f>
        <v>1459.1184780000021</v>
      </c>
      <c r="F29" s="33">
        <f>'03_Historical_FS'!F51</f>
        <v>811.07888699999967</v>
      </c>
      <c r="G29" s="33">
        <f>'03_Historical_FS'!G51</f>
        <v>-6921.5265749999999</v>
      </c>
      <c r="H29" s="33">
        <f>'03_Historical_FS'!H51</f>
        <v>-8943.2528579999998</v>
      </c>
      <c r="I29" s="38">
        <f>I18-I6</f>
        <v>-17137.348155365034</v>
      </c>
      <c r="J29" s="38">
        <f>J18-J6</f>
        <v>-24990.669238952069</v>
      </c>
      <c r="K29" s="38">
        <f>K18-K6</f>
        <v>-34897.536647536675</v>
      </c>
      <c r="L29" s="38">
        <f>L18-L6</f>
        <v>-46548.297582763211</v>
      </c>
      <c r="M29" s="38">
        <f>M18-M6</f>
        <v>-58506.200741018234</v>
      </c>
      <c r="N29" s="26" t="s">
        <v>24</v>
      </c>
      <c r="O29" s="28" t="s">
        <v>446</v>
      </c>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5"/>
      <c r="B45" s="26"/>
      <c r="C45" s="26"/>
      <c r="D45" s="55"/>
      <c r="E45" s="55"/>
      <c r="F45" s="55"/>
      <c r="G45" s="55"/>
      <c r="H45" s="55"/>
      <c r="I45" s="53"/>
      <c r="J45" s="53"/>
      <c r="K45" s="53"/>
      <c r="L45" s="53"/>
      <c r="M45" s="53"/>
      <c r="N45" s="26"/>
      <c r="O45" s="28"/>
    </row>
    <row r="46" spans="1:15">
      <c r="A46" s="25"/>
      <c r="B46" s="26"/>
      <c r="C46" s="26"/>
      <c r="D46" s="55"/>
      <c r="E46" s="55"/>
      <c r="F46" s="55"/>
      <c r="G46" s="55"/>
      <c r="H46" s="55"/>
      <c r="I46" s="53"/>
      <c r="J46" s="53"/>
      <c r="K46" s="53"/>
      <c r="L46" s="53"/>
      <c r="M46" s="53"/>
      <c r="N46" s="26"/>
      <c r="O46" s="28"/>
    </row>
    <row r="47" spans="1:15">
      <c r="A47" s="25"/>
      <c r="B47" s="26"/>
      <c r="C47" s="26"/>
      <c r="D47" s="55"/>
      <c r="E47" s="55"/>
      <c r="F47" s="55"/>
      <c r="G47" s="55"/>
      <c r="H47" s="55"/>
      <c r="I47" s="53"/>
      <c r="J47" s="53"/>
      <c r="K47" s="53"/>
      <c r="L47" s="53"/>
      <c r="M47" s="53"/>
      <c r="N47" s="26"/>
      <c r="O47" s="28"/>
    </row>
    <row r="48" spans="1:15">
      <c r="A48" s="25"/>
      <c r="B48" s="26"/>
      <c r="C48" s="26"/>
      <c r="D48" s="55"/>
      <c r="E48" s="55"/>
      <c r="F48" s="55"/>
      <c r="G48" s="55"/>
      <c r="H48" s="55"/>
      <c r="I48" s="53"/>
      <c r="J48" s="53"/>
      <c r="K48" s="53"/>
      <c r="L48" s="53"/>
      <c r="M48" s="53"/>
      <c r="N48" s="26"/>
      <c r="O48" s="28"/>
    </row>
    <row r="49" spans="1:15">
      <c r="A49" s="25"/>
      <c r="B49" s="26"/>
      <c r="C49" s="26"/>
      <c r="D49" s="55"/>
      <c r="E49" s="55"/>
      <c r="F49" s="55"/>
      <c r="G49" s="55"/>
      <c r="H49" s="55"/>
      <c r="I49" s="53"/>
      <c r="J49" s="53"/>
      <c r="K49" s="53"/>
      <c r="L49" s="53"/>
      <c r="M49" s="53"/>
      <c r="N49" s="26"/>
      <c r="O49" s="28"/>
    </row>
    <row r="50" spans="1:15">
      <c r="A50" s="25"/>
      <c r="B50" s="26"/>
      <c r="C50" s="26"/>
      <c r="D50" s="55"/>
      <c r="E50" s="55"/>
      <c r="F50" s="55"/>
      <c r="G50" s="55"/>
      <c r="H50" s="55"/>
      <c r="I50" s="53"/>
      <c r="J50" s="53"/>
      <c r="K50" s="53"/>
      <c r="L50" s="53"/>
      <c r="M50" s="53"/>
      <c r="N50" s="26"/>
      <c r="O50" s="28"/>
    </row>
    <row r="51" spans="1:15">
      <c r="A51" s="25"/>
      <c r="B51" s="26"/>
      <c r="C51" s="26"/>
      <c r="D51" s="55"/>
      <c r="E51" s="55"/>
      <c r="F51" s="55"/>
      <c r="G51" s="55"/>
      <c r="H51" s="55"/>
      <c r="I51" s="53"/>
      <c r="J51" s="53"/>
      <c r="K51" s="53"/>
      <c r="L51" s="53"/>
      <c r="M51" s="53"/>
      <c r="N51" s="26"/>
      <c r="O51" s="28"/>
    </row>
    <row r="52" spans="1:15">
      <c r="A52" s="25"/>
      <c r="B52" s="26"/>
      <c r="C52" s="26"/>
      <c r="D52" s="55"/>
      <c r="E52" s="55"/>
      <c r="F52" s="55"/>
      <c r="G52" s="55"/>
      <c r="H52" s="55"/>
      <c r="I52" s="53"/>
      <c r="J52" s="53"/>
      <c r="K52" s="53"/>
      <c r="L52" s="53"/>
      <c r="M52" s="53"/>
      <c r="N52" s="26"/>
      <c r="O52" s="28"/>
    </row>
    <row r="53" spans="1:15">
      <c r="A53" s="25"/>
      <c r="B53" s="26"/>
      <c r="C53" s="26"/>
      <c r="D53" s="55"/>
      <c r="E53" s="55"/>
      <c r="F53" s="55"/>
      <c r="G53" s="55"/>
      <c r="H53" s="55"/>
      <c r="I53" s="53"/>
      <c r="J53" s="53"/>
      <c r="K53" s="53"/>
      <c r="L53" s="53"/>
      <c r="M53" s="53"/>
      <c r="N53" s="26"/>
      <c r="O53" s="28"/>
    </row>
    <row r="54" spans="1:15">
      <c r="A54" s="25"/>
      <c r="B54" s="26"/>
      <c r="C54" s="26"/>
      <c r="D54" s="55"/>
      <c r="E54" s="55"/>
      <c r="F54" s="55"/>
      <c r="G54" s="55"/>
      <c r="H54" s="55"/>
      <c r="I54" s="53"/>
      <c r="J54" s="53"/>
      <c r="K54" s="53"/>
      <c r="L54" s="53"/>
      <c r="M54" s="53"/>
      <c r="N54" s="26"/>
      <c r="O54" s="28"/>
    </row>
    <row r="55" spans="1:15">
      <c r="A55" s="25"/>
      <c r="B55" s="26"/>
      <c r="C55" s="26"/>
      <c r="D55" s="55"/>
      <c r="E55" s="55"/>
      <c r="F55" s="55"/>
      <c r="G55" s="55"/>
      <c r="H55" s="55"/>
      <c r="I55" s="53"/>
      <c r="J55" s="53"/>
      <c r="K55" s="53"/>
      <c r="L55" s="53"/>
      <c r="M55" s="53"/>
      <c r="N55" s="26"/>
      <c r="O55" s="28"/>
    </row>
    <row r="56" spans="1:15">
      <c r="A56" s="25"/>
      <c r="B56" s="26"/>
      <c r="C56" s="26"/>
      <c r="D56" s="55"/>
      <c r="E56" s="55"/>
      <c r="F56" s="55"/>
      <c r="G56" s="55"/>
      <c r="H56" s="55"/>
      <c r="I56" s="53"/>
      <c r="J56" s="53"/>
      <c r="K56" s="53"/>
      <c r="L56" s="53"/>
      <c r="M56" s="53"/>
      <c r="N56" s="26"/>
      <c r="O56" s="28"/>
    </row>
    <row r="57" spans="1:15">
      <c r="A57" s="25"/>
      <c r="B57" s="26"/>
      <c r="C57" s="26"/>
      <c r="D57" s="55"/>
      <c r="E57" s="55"/>
      <c r="F57" s="55"/>
      <c r="G57" s="55"/>
      <c r="H57" s="55"/>
      <c r="I57" s="53"/>
      <c r="J57" s="53"/>
      <c r="K57" s="53"/>
      <c r="L57" s="53"/>
      <c r="M57" s="53"/>
      <c r="N57" s="26"/>
      <c r="O57" s="28"/>
    </row>
    <row r="58" spans="1:15">
      <c r="A58" s="25"/>
      <c r="B58" s="26"/>
      <c r="C58" s="26"/>
      <c r="D58" s="55"/>
      <c r="E58" s="55"/>
      <c r="F58" s="55"/>
      <c r="G58" s="55"/>
      <c r="H58" s="55"/>
      <c r="I58" s="53"/>
      <c r="J58" s="53"/>
      <c r="K58" s="53"/>
      <c r="L58" s="53"/>
      <c r="M58" s="53"/>
      <c r="N58" s="26"/>
      <c r="O58" s="28"/>
    </row>
    <row r="59" spans="1:15">
      <c r="A59" s="25"/>
      <c r="B59" s="26"/>
      <c r="C59" s="26"/>
      <c r="D59" s="55"/>
      <c r="E59" s="55"/>
      <c r="F59" s="55"/>
      <c r="G59" s="55"/>
      <c r="H59" s="55"/>
      <c r="I59" s="53"/>
      <c r="J59" s="53"/>
      <c r="K59" s="53"/>
      <c r="L59" s="53"/>
      <c r="M59" s="53"/>
      <c r="N59" s="26"/>
      <c r="O59" s="28"/>
    </row>
    <row r="60" spans="1:15">
      <c r="A60" s="25"/>
      <c r="B60" s="26"/>
      <c r="C60" s="26"/>
      <c r="D60" s="55"/>
      <c r="E60" s="55"/>
      <c r="F60" s="55"/>
      <c r="G60" s="55"/>
      <c r="H60" s="55"/>
      <c r="I60" s="53"/>
      <c r="J60" s="53"/>
      <c r="K60" s="53"/>
      <c r="L60" s="53"/>
      <c r="M60" s="53"/>
      <c r="N60" s="26"/>
      <c r="O60" s="28"/>
    </row>
    <row r="61" spans="1:15">
      <c r="A61" s="25"/>
      <c r="B61" s="26"/>
      <c r="C61" s="26"/>
      <c r="D61" s="55"/>
      <c r="E61" s="55"/>
      <c r="F61" s="55"/>
      <c r="G61" s="55"/>
      <c r="H61" s="55"/>
      <c r="I61" s="53"/>
      <c r="J61" s="53"/>
      <c r="K61" s="53"/>
      <c r="L61" s="53"/>
      <c r="M61" s="53"/>
      <c r="N61" s="26"/>
      <c r="O61" s="28"/>
    </row>
    <row r="62" spans="1:15">
      <c r="A62" s="25"/>
      <c r="B62" s="26"/>
      <c r="C62" s="26"/>
      <c r="D62" s="55"/>
      <c r="E62" s="55"/>
      <c r="F62" s="55"/>
      <c r="G62" s="55"/>
      <c r="H62" s="55"/>
      <c r="I62" s="53"/>
      <c r="J62" s="53"/>
      <c r="K62" s="53"/>
      <c r="L62" s="53"/>
      <c r="M62" s="53"/>
      <c r="N62" s="26"/>
      <c r="O62" s="28"/>
    </row>
    <row r="63" spans="1:15">
      <c r="A63" s="25"/>
      <c r="B63" s="26"/>
      <c r="C63" s="26"/>
      <c r="D63" s="55"/>
      <c r="E63" s="55"/>
      <c r="F63" s="55"/>
      <c r="G63" s="55"/>
      <c r="H63" s="55"/>
      <c r="I63" s="53"/>
      <c r="J63" s="53"/>
      <c r="K63" s="53"/>
      <c r="L63" s="53"/>
      <c r="M63" s="53"/>
      <c r="N63" s="26"/>
      <c r="O63" s="28"/>
    </row>
    <row r="64" spans="1:15">
      <c r="A64" s="25"/>
      <c r="B64" s="26"/>
      <c r="C64" s="26"/>
      <c r="D64" s="55"/>
      <c r="E64" s="55"/>
      <c r="F64" s="55"/>
      <c r="G64" s="55"/>
      <c r="H64" s="55"/>
      <c r="I64" s="53"/>
      <c r="J64" s="53"/>
      <c r="K64" s="53"/>
      <c r="L64" s="53"/>
      <c r="M64" s="53"/>
      <c r="N64" s="26"/>
      <c r="O64" s="28"/>
    </row>
    <row r="65" spans="1:15">
      <c r="A65" s="25"/>
      <c r="B65" s="26"/>
      <c r="C65" s="26"/>
      <c r="D65" s="55"/>
      <c r="E65" s="55"/>
      <c r="F65" s="55"/>
      <c r="G65" s="55"/>
      <c r="H65" s="55"/>
      <c r="I65" s="53"/>
      <c r="J65" s="53"/>
      <c r="K65" s="53"/>
      <c r="L65" s="53"/>
      <c r="M65" s="53"/>
      <c r="N65" s="26"/>
      <c r="O65" s="28"/>
    </row>
    <row r="66" spans="1:15">
      <c r="A66" s="25"/>
      <c r="B66" s="26"/>
      <c r="C66" s="26"/>
      <c r="D66" s="55"/>
      <c r="E66" s="55"/>
      <c r="F66" s="55"/>
      <c r="G66" s="55"/>
      <c r="H66" s="55"/>
      <c r="I66" s="53"/>
      <c r="J66" s="53"/>
      <c r="K66" s="53"/>
      <c r="L66" s="53"/>
      <c r="M66" s="53"/>
      <c r="N66" s="26"/>
      <c r="O66" s="28"/>
    </row>
    <row r="67" spans="1:15">
      <c r="A67" s="25"/>
      <c r="B67" s="26"/>
      <c r="C67" s="26"/>
      <c r="D67" s="55"/>
      <c r="E67" s="55"/>
      <c r="F67" s="55"/>
      <c r="G67" s="55"/>
      <c r="H67" s="55"/>
      <c r="I67" s="53"/>
      <c r="J67" s="53"/>
      <c r="K67" s="53"/>
      <c r="L67" s="53"/>
      <c r="M67" s="53"/>
      <c r="N67" s="26"/>
      <c r="O67" s="28"/>
    </row>
    <row r="68" spans="1:15">
      <c r="A68" s="25"/>
      <c r="B68" s="26"/>
      <c r="C68" s="26"/>
      <c r="D68" s="55"/>
      <c r="E68" s="55"/>
      <c r="F68" s="55"/>
      <c r="G68" s="55"/>
      <c r="H68" s="55"/>
      <c r="I68" s="53"/>
      <c r="J68" s="53"/>
      <c r="K68" s="53"/>
      <c r="L68" s="53"/>
      <c r="M68" s="53"/>
      <c r="N68" s="26"/>
      <c r="O68" s="28"/>
    </row>
    <row r="69" spans="1:15">
      <c r="A69" s="25"/>
      <c r="B69" s="26"/>
      <c r="C69" s="26"/>
      <c r="D69" s="55"/>
      <c r="E69" s="55"/>
      <c r="F69" s="55"/>
      <c r="G69" s="55"/>
      <c r="H69" s="55"/>
      <c r="I69" s="53"/>
      <c r="J69" s="53"/>
      <c r="K69" s="53"/>
      <c r="L69" s="53"/>
      <c r="M69" s="53"/>
      <c r="N69" s="26"/>
      <c r="O69" s="28"/>
    </row>
    <row r="70" spans="1:15">
      <c r="A70" s="29"/>
      <c r="B70" s="30"/>
      <c r="C70" s="30"/>
      <c r="D70" s="56"/>
      <c r="E70" s="56"/>
      <c r="F70" s="56"/>
      <c r="G70" s="56"/>
      <c r="H70" s="56"/>
      <c r="I70" s="54"/>
      <c r="J70" s="54"/>
      <c r="K70" s="54"/>
      <c r="L70" s="54"/>
      <c r="M70" s="54"/>
      <c r="N70" s="30"/>
      <c r="O70" s="32"/>
    </row>
  </sheetData>
  <mergeCells count="2">
    <mergeCell ref="A1:O1"/>
    <mergeCell ref="A2:O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55"/>
  <sheetViews>
    <sheetView showGridLines="0" topLeftCell="B1" workbookViewId="0">
      <selection sqref="A1:O1"/>
    </sheetView>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509</v>
      </c>
      <c r="B1" s="467"/>
      <c r="C1" s="467"/>
      <c r="D1" s="467"/>
      <c r="E1" s="467"/>
      <c r="F1" s="467"/>
      <c r="G1" s="467"/>
      <c r="H1" s="467"/>
      <c r="I1" s="467"/>
      <c r="J1" s="467"/>
      <c r="K1" s="467"/>
      <c r="L1" s="467"/>
      <c r="M1" s="467"/>
      <c r="N1" s="467"/>
      <c r="O1" s="468"/>
    </row>
    <row r="2" spans="1:15" ht="14.4">
      <c r="A2" s="469" t="s">
        <v>510</v>
      </c>
      <c r="B2" s="470"/>
      <c r="C2" s="470"/>
      <c r="D2" s="470"/>
      <c r="E2" s="470"/>
      <c r="F2" s="470"/>
      <c r="G2" s="470"/>
      <c r="H2" s="470"/>
      <c r="I2" s="470"/>
      <c r="J2" s="470"/>
      <c r="K2" s="470"/>
      <c r="L2" s="470"/>
      <c r="M2" s="470"/>
      <c r="N2" s="470"/>
      <c r="O2" s="465"/>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30" customHeight="1">
      <c r="A5" s="352" t="s">
        <v>511</v>
      </c>
      <c r="B5" s="327"/>
      <c r="C5" s="327"/>
      <c r="D5" s="353"/>
      <c r="E5" s="353"/>
      <c r="F5" s="353"/>
      <c r="G5" s="353"/>
      <c r="H5" s="353"/>
      <c r="I5" s="353"/>
      <c r="J5" s="353"/>
      <c r="K5" s="353"/>
      <c r="L5" s="353"/>
      <c r="M5" s="353"/>
      <c r="N5" s="327"/>
      <c r="O5" s="356"/>
    </row>
    <row r="6" spans="1:15">
      <c r="A6" s="25" t="s">
        <v>512</v>
      </c>
      <c r="B6" s="26" t="s">
        <v>48</v>
      </c>
      <c r="C6" s="26" t="s">
        <v>14</v>
      </c>
      <c r="D6" s="33">
        <f>'03_Historical_FS'!D24</f>
        <v>4901.4266738899996</v>
      </c>
      <c r="E6" s="33">
        <f>'03_Historical_FS'!E24</f>
        <v>4101.7144250000001</v>
      </c>
      <c r="F6" s="33">
        <f>'03_Historical_FS'!F24</f>
        <v>167.82915499999999</v>
      </c>
      <c r="G6" s="33">
        <f>'03_Historical_FS'!G24</f>
        <v>3733.2882289999998</v>
      </c>
      <c r="H6" s="33">
        <f>'03_Historical_FS'!H24</f>
        <v>7072.6228860000001</v>
      </c>
      <c r="I6" s="38">
        <f>'12_Income_Statement'!I23</f>
        <v>9302.316386390401</v>
      </c>
      <c r="J6" s="38">
        <f>'12_Income_Statement'!J23</f>
        <v>11459.27053665854</v>
      </c>
      <c r="K6" s="38">
        <f>'12_Income_Statement'!K23</f>
        <v>13456.35169806733</v>
      </c>
      <c r="L6" s="38">
        <f>'12_Income_Statement'!L23</f>
        <v>15262.155758722449</v>
      </c>
      <c r="M6" s="38">
        <f>'12_Income_Statement'!M23</f>
        <v>16567.428108352113</v>
      </c>
      <c r="N6" s="26" t="s">
        <v>513</v>
      </c>
      <c r="O6" s="28" t="s">
        <v>514</v>
      </c>
    </row>
    <row r="7" spans="1:15">
      <c r="A7" s="25" t="s">
        <v>512</v>
      </c>
      <c r="B7" s="26" t="s">
        <v>104</v>
      </c>
      <c r="C7" s="26" t="s">
        <v>14</v>
      </c>
      <c r="D7" s="33">
        <f>'03_Historical_FS'!D55</f>
        <v>2920.7136084099998</v>
      </c>
      <c r="E7" s="33">
        <f>'03_Historical_FS'!E55</f>
        <v>3540.3247259999998</v>
      </c>
      <c r="F7" s="33">
        <f>'03_Historical_FS'!F55</f>
        <v>3351.3142680000001</v>
      </c>
      <c r="G7" s="33">
        <f>'03_Historical_FS'!G55</f>
        <v>2913.419081</v>
      </c>
      <c r="H7" s="33">
        <f>'03_Historical_FS'!H55</f>
        <v>1890.8821089999999</v>
      </c>
      <c r="I7" s="38">
        <f>'11_Capex_DA'!I10</f>
        <v>2127.5</v>
      </c>
      <c r="J7" s="38">
        <f>'11_Capex_DA'!J10</f>
        <v>2317.7249706727725</v>
      </c>
      <c r="K7" s="38">
        <f>'11_Capex_DA'!K10</f>
        <v>2436.1757248122531</v>
      </c>
      <c r="L7" s="38">
        <f>'11_Capex_DA'!L10</f>
        <v>2507.9707281390979</v>
      </c>
      <c r="M7" s="38">
        <f>'11_Capex_DA'!M10</f>
        <v>2538.6892006598141</v>
      </c>
      <c r="N7" s="26" t="s">
        <v>483</v>
      </c>
      <c r="O7" s="28" t="s">
        <v>515</v>
      </c>
    </row>
    <row r="8" spans="1:15">
      <c r="A8" s="25" t="s">
        <v>512</v>
      </c>
      <c r="B8" s="26" t="s">
        <v>411</v>
      </c>
      <c r="C8" s="26" t="s">
        <v>14</v>
      </c>
      <c r="D8" s="33"/>
      <c r="E8" s="33">
        <f>'09_Working_Capital'!E15</f>
        <v>-198.51162477400067</v>
      </c>
      <c r="F8" s="33">
        <f>'09_Working_Capital'!F15</f>
        <v>-895.04863299999852</v>
      </c>
      <c r="G8" s="33">
        <f>'09_Working_Capital'!G15</f>
        <v>2834.9172610000023</v>
      </c>
      <c r="H8" s="33">
        <f>'09_Working_Capital'!H15</f>
        <v>2444.8517829999982</v>
      </c>
      <c r="I8" s="38">
        <f>'09_Working_Capital'!I15</f>
        <v>905.3076104109532</v>
      </c>
      <c r="J8" s="38">
        <f>'09_Working_Capital'!J15</f>
        <v>1945.8468789053331</v>
      </c>
      <c r="K8" s="38">
        <f>'09_Working_Capital'!K15</f>
        <v>1061.8893795830081</v>
      </c>
      <c r="L8" s="38">
        <f>'09_Working_Capital'!L15</f>
        <v>1032.5849962096436</v>
      </c>
      <c r="M8" s="38">
        <f>'09_Working_Capital'!M15</f>
        <v>1316.1024147973185</v>
      </c>
      <c r="N8" s="26" t="s">
        <v>478</v>
      </c>
      <c r="O8" s="28" t="s">
        <v>516</v>
      </c>
    </row>
    <row r="9" spans="1:15">
      <c r="A9" s="25" t="s">
        <v>512</v>
      </c>
      <c r="B9" s="26" t="s">
        <v>517</v>
      </c>
      <c r="C9" s="26" t="s">
        <v>14</v>
      </c>
      <c r="D9" s="33">
        <f t="shared" ref="D9:M9" si="0">D6+D7-D8</f>
        <v>7822.1402822999989</v>
      </c>
      <c r="E9" s="33">
        <f t="shared" si="0"/>
        <v>7840.5507757740006</v>
      </c>
      <c r="F9" s="33">
        <f t="shared" si="0"/>
        <v>4414.192055999998</v>
      </c>
      <c r="G9" s="33">
        <f t="shared" si="0"/>
        <v>3811.7900489999975</v>
      </c>
      <c r="H9" s="33">
        <f t="shared" si="0"/>
        <v>6518.6532120000011</v>
      </c>
      <c r="I9" s="38">
        <f t="shared" si="0"/>
        <v>10524.508775979448</v>
      </c>
      <c r="J9" s="38">
        <f t="shared" si="0"/>
        <v>11831.148628425979</v>
      </c>
      <c r="K9" s="38">
        <f t="shared" si="0"/>
        <v>14830.638043296574</v>
      </c>
      <c r="L9" s="38">
        <f t="shared" si="0"/>
        <v>16737.541490651904</v>
      </c>
      <c r="M9" s="38">
        <f t="shared" si="0"/>
        <v>17790.014894214608</v>
      </c>
      <c r="N9" s="26" t="s">
        <v>24</v>
      </c>
      <c r="O9" s="28" t="s">
        <v>518</v>
      </c>
    </row>
    <row r="10" spans="1:15">
      <c r="A10" s="25" t="s">
        <v>519</v>
      </c>
      <c r="B10" s="26" t="s">
        <v>112</v>
      </c>
      <c r="C10" s="26" t="s">
        <v>14</v>
      </c>
      <c r="D10" s="33">
        <f>'03_Historical_FS'!D59</f>
        <v>-4976.8765900159997</v>
      </c>
      <c r="E10" s="33">
        <f>'03_Historical_FS'!E59</f>
        <v>-4465.3595240000004</v>
      </c>
      <c r="F10" s="33">
        <f>'03_Historical_FS'!F59</f>
        <v>-523.383331</v>
      </c>
      <c r="G10" s="33">
        <f>'03_Historical_FS'!G59</f>
        <v>-303.74782699999997</v>
      </c>
      <c r="H10" s="33">
        <f>'03_Historical_FS'!H59</f>
        <v>-888.46189000000004</v>
      </c>
      <c r="I10" s="38">
        <f>-'11_Capex_DA'!I8</f>
        <v>-2220</v>
      </c>
      <c r="J10" s="38">
        <f>-'11_Capex_DA'!J8</f>
        <v>-2528.427240733934</v>
      </c>
      <c r="K10" s="38">
        <f>-'11_Capex_DA'!K8</f>
        <v>-2552.1840926604555</v>
      </c>
      <c r="L10" s="38">
        <f>-'11_Capex_DA'!L8</f>
        <v>-2507.9707281390979</v>
      </c>
      <c r="M10" s="38">
        <f>-'11_Capex_DA'!M8</f>
        <v>-2672.3044217471725</v>
      </c>
      <c r="N10" s="26" t="s">
        <v>483</v>
      </c>
      <c r="O10" s="28" t="s">
        <v>520</v>
      </c>
    </row>
    <row r="11" spans="1:15" ht="28.5" customHeight="1">
      <c r="A11" s="25" t="s">
        <v>519</v>
      </c>
      <c r="B11" s="26" t="s">
        <v>521</v>
      </c>
      <c r="C11" s="26" t="s">
        <v>14</v>
      </c>
      <c r="D11" s="33">
        <f>'03_Historical_FS'!D60</f>
        <v>-11254.869604436</v>
      </c>
      <c r="E11" s="33">
        <f>'03_Historical_FS'!E60</f>
        <v>1549.1114230000001</v>
      </c>
      <c r="F11" s="33">
        <f>'03_Historical_FS'!F60</f>
        <v>-10831.294696999999</v>
      </c>
      <c r="G11" s="33">
        <f>'03_Historical_FS'!G60</f>
        <v>-11743.285669999999</v>
      </c>
      <c r="H11" s="33">
        <f>'03_Historical_FS'!H60</f>
        <v>-6660.7753919999996</v>
      </c>
      <c r="I11" s="38">
        <f>I10</f>
        <v>-2220</v>
      </c>
      <c r="J11" s="38">
        <f>J10</f>
        <v>-2528.427240733934</v>
      </c>
      <c r="K11" s="38">
        <f>K10</f>
        <v>-2552.1840926604555</v>
      </c>
      <c r="L11" s="38">
        <f>L10</f>
        <v>-2507.9707281390979</v>
      </c>
      <c r="M11" s="38">
        <f>M10</f>
        <v>-2672.3044217471725</v>
      </c>
      <c r="N11" s="26" t="s">
        <v>24</v>
      </c>
      <c r="O11" s="28" t="s">
        <v>522</v>
      </c>
    </row>
    <row r="12" spans="1:15">
      <c r="A12" s="25" t="s">
        <v>523</v>
      </c>
      <c r="B12" s="26" t="s">
        <v>524</v>
      </c>
      <c r="C12" s="26" t="s">
        <v>14</v>
      </c>
      <c r="D12" s="33">
        <f>'03_Historical_FS'!D61+'03_Historical_FS'!D62</f>
        <v>7891.0772902130047</v>
      </c>
      <c r="E12" s="33">
        <f>'13_Balance_Sheet'!E18-'13_Balance_Sheet'!D18</f>
        <v>-8058.0856477859998</v>
      </c>
      <c r="F12" s="33">
        <f>'13_Balance_Sheet'!F18-'13_Balance_Sheet'!E18</f>
        <v>8524.4031869999999</v>
      </c>
      <c r="G12" s="33">
        <f>'13_Balance_Sheet'!G18-'13_Balance_Sheet'!F18</f>
        <v>2186.4549039999984</v>
      </c>
      <c r="H12" s="33">
        <f>'13_Balance_Sheet'!H18-'13_Balance_Sheet'!G18</f>
        <v>2630.6962400000011</v>
      </c>
      <c r="I12" s="38">
        <f>'13_Balance_Sheet'!I18-'13_Balance_Sheet'!H18</f>
        <v>5219.057037999999</v>
      </c>
      <c r="J12" s="38">
        <f>'13_Balance_Sheet'!J18-'13_Balance_Sheet'!I18</f>
        <v>2776.4086110090066</v>
      </c>
      <c r="K12" s="38">
        <f>'13_Balance_Sheet'!K18-'13_Balance_Sheet'!J18</f>
        <v>1516.4364573798593</v>
      </c>
      <c r="L12" s="38">
        <f>'13_Balance_Sheet'!L18-'13_Balance_Sheet'!K18</f>
        <v>684.6865818367005</v>
      </c>
      <c r="M12" s="38">
        <f>'13_Balance_Sheet'!M18-'13_Balance_Sheet'!L18</f>
        <v>-42.965324017975945</v>
      </c>
      <c r="N12" s="26" t="s">
        <v>24</v>
      </c>
      <c r="O12" s="28" t="s">
        <v>525</v>
      </c>
    </row>
    <row r="13" spans="1:15">
      <c r="A13" s="25" t="s">
        <v>523</v>
      </c>
      <c r="B13" s="26" t="s">
        <v>120</v>
      </c>
      <c r="C13" s="26" t="s">
        <v>14</v>
      </c>
      <c r="D13" s="33">
        <f>'03_Historical_FS'!D63</f>
        <v>-239.51944106299999</v>
      </c>
      <c r="E13" s="33">
        <f>'03_Historical_FS'!E63</f>
        <v>-731.85481500000003</v>
      </c>
      <c r="F13" s="33">
        <f>'03_Historical_FS'!F63</f>
        <v>-731.28002400000003</v>
      </c>
      <c r="G13" s="33">
        <f>'03_Historical_FS'!G63</f>
        <v>-730.95769399999995</v>
      </c>
      <c r="H13" s="33">
        <f>'03_Historical_FS'!H63</f>
        <v>-1478.4567629999999</v>
      </c>
      <c r="I13" s="38">
        <f>-'12_Income_Statement'!I25*'08_P5_Assumptions'!I16</f>
        <v>-1849.3004976144121</v>
      </c>
      <c r="J13" s="38">
        <f>-'12_Income_Statement'!J25*'08_P5_Assumptions'!J16</f>
        <v>-2276.9570556340518</v>
      </c>
      <c r="K13" s="38">
        <f>-'12_Income_Statement'!K25*'08_P5_Assumptions'!K16</f>
        <v>-2672.4314472361721</v>
      </c>
      <c r="L13" s="38">
        <f>-'12_Income_Statement'!L25*'08_P5_Assumptions'!L16</f>
        <v>-3029.5379181064063</v>
      </c>
      <c r="M13" s="38">
        <f>-'12_Income_Statement'!M25*'08_P5_Assumptions'!M16</f>
        <v>-3286.9777366970593</v>
      </c>
      <c r="N13" s="26" t="s">
        <v>24</v>
      </c>
      <c r="O13" s="28" t="s">
        <v>526</v>
      </c>
    </row>
    <row r="14" spans="1:15">
      <c r="A14" s="25" t="s">
        <v>523</v>
      </c>
      <c r="B14" s="26" t="s">
        <v>122</v>
      </c>
      <c r="C14" s="26" t="s">
        <v>14</v>
      </c>
      <c r="D14" s="33">
        <f>'03_Historical_FS'!D64</f>
        <v>7877.4908791500002</v>
      </c>
      <c r="E14" s="33">
        <f>'03_Historical_FS'!E64</f>
        <v>-8606.3435210000007</v>
      </c>
      <c r="F14" s="33">
        <f>'03_Historical_FS'!F64</f>
        <v>7699.7831029999998</v>
      </c>
      <c r="G14" s="33">
        <f>'03_Historical_FS'!G64</f>
        <v>2757.4755140000002</v>
      </c>
      <c r="H14" s="33">
        <f>'03_Historical_FS'!H64</f>
        <v>667.17174599999998</v>
      </c>
      <c r="I14" s="38">
        <f>I12+I13</f>
        <v>3369.756540385587</v>
      </c>
      <c r="J14" s="38">
        <f>J12+J13</f>
        <v>499.45155537495475</v>
      </c>
      <c r="K14" s="38">
        <f>K12+K13</f>
        <v>-1155.9949898563127</v>
      </c>
      <c r="L14" s="38">
        <f>L12+L13</f>
        <v>-2344.8513362697058</v>
      </c>
      <c r="M14" s="38">
        <f>M12+M13</f>
        <v>-3329.9430607150352</v>
      </c>
      <c r="N14" s="26" t="s">
        <v>24</v>
      </c>
      <c r="O14" s="28" t="s">
        <v>527</v>
      </c>
    </row>
    <row r="15" spans="1:15">
      <c r="A15" s="25" t="s">
        <v>443</v>
      </c>
      <c r="B15" s="26" t="s">
        <v>528</v>
      </c>
      <c r="C15" s="26" t="s">
        <v>14</v>
      </c>
      <c r="D15" s="33"/>
      <c r="E15" s="33">
        <f t="shared" ref="E15:M15" si="1">E17-E16</f>
        <v>-3248.3719442620004</v>
      </c>
      <c r="F15" s="33">
        <f t="shared" si="1"/>
        <v>9172.4427780000024</v>
      </c>
      <c r="G15" s="33">
        <f t="shared" si="1"/>
        <v>9919.0603659999979</v>
      </c>
      <c r="H15" s="33">
        <f t="shared" si="1"/>
        <v>4652.4225230000011</v>
      </c>
      <c r="I15" s="38">
        <f t="shared" si="1"/>
        <v>13413.152335365034</v>
      </c>
      <c r="J15" s="38">
        <f t="shared" si="1"/>
        <v>10629.729694596041</v>
      </c>
      <c r="K15" s="38">
        <f t="shared" si="1"/>
        <v>11423.303865964466</v>
      </c>
      <c r="L15" s="38">
        <f t="shared" si="1"/>
        <v>12335.447517063236</v>
      </c>
      <c r="M15" s="38">
        <f t="shared" si="1"/>
        <v>11914.937834237047</v>
      </c>
      <c r="N15" s="26" t="s">
        <v>24</v>
      </c>
      <c r="O15" s="28" t="s">
        <v>529</v>
      </c>
    </row>
    <row r="16" spans="1:15">
      <c r="A16" s="25" t="s">
        <v>443</v>
      </c>
      <c r="B16" s="26" t="s">
        <v>530</v>
      </c>
      <c r="C16" s="26" t="s">
        <v>14</v>
      </c>
      <c r="D16" s="33"/>
      <c r="E16" s="33">
        <f>'13_Balance_Sheet'!D6</f>
        <v>18378.642097262</v>
      </c>
      <c r="F16" s="33">
        <f>'13_Balance_Sheet'!E6</f>
        <v>15130.270152999999</v>
      </c>
      <c r="G16" s="33">
        <f>'13_Balance_Sheet'!F6</f>
        <v>24302.712931000002</v>
      </c>
      <c r="H16" s="33">
        <f>'13_Balance_Sheet'!G6</f>
        <v>34221.773297</v>
      </c>
      <c r="I16" s="38">
        <f>'13_Balance_Sheet'!H6</f>
        <v>38874.195820000001</v>
      </c>
      <c r="J16" s="38">
        <f>'13_Balance_Sheet'!I6</f>
        <v>52287.348155365034</v>
      </c>
      <c r="K16" s="38">
        <f>'13_Balance_Sheet'!J6</f>
        <v>62917.077849961075</v>
      </c>
      <c r="L16" s="38">
        <f>'13_Balance_Sheet'!K6</f>
        <v>74340.381715925541</v>
      </c>
      <c r="M16" s="38">
        <f>'13_Balance_Sheet'!L6</f>
        <v>86675.829232988777</v>
      </c>
      <c r="N16" s="26" t="s">
        <v>24</v>
      </c>
      <c r="O16" s="28" t="s">
        <v>531</v>
      </c>
    </row>
    <row r="17" spans="1:15">
      <c r="A17" s="25" t="s">
        <v>443</v>
      </c>
      <c r="B17" s="26" t="s">
        <v>532</v>
      </c>
      <c r="C17" s="26" t="s">
        <v>14</v>
      </c>
      <c r="D17" s="33">
        <f>'13_Balance_Sheet'!D6</f>
        <v>18378.642097262</v>
      </c>
      <c r="E17" s="33">
        <f>'13_Balance_Sheet'!E6</f>
        <v>15130.270152999999</v>
      </c>
      <c r="F17" s="33">
        <f>'13_Balance_Sheet'!F6</f>
        <v>24302.712931000002</v>
      </c>
      <c r="G17" s="33">
        <f>'13_Balance_Sheet'!G6</f>
        <v>34221.773297</v>
      </c>
      <c r="H17" s="33">
        <f>'13_Balance_Sheet'!H6</f>
        <v>38874.195820000001</v>
      </c>
      <c r="I17" s="38">
        <f>'13_Balance_Sheet'!I6</f>
        <v>52287.348155365034</v>
      </c>
      <c r="J17" s="38">
        <f>'13_Balance_Sheet'!J6</f>
        <v>62917.077849961075</v>
      </c>
      <c r="K17" s="38">
        <f>'13_Balance_Sheet'!K6</f>
        <v>74340.381715925541</v>
      </c>
      <c r="L17" s="38">
        <f>'13_Balance_Sheet'!L6</f>
        <v>86675.829232988777</v>
      </c>
      <c r="M17" s="38">
        <f>'13_Balance_Sheet'!M6</f>
        <v>98590.767067225825</v>
      </c>
      <c r="N17" s="26" t="s">
        <v>533</v>
      </c>
      <c r="O17" s="28" t="s">
        <v>534</v>
      </c>
    </row>
    <row r="18" spans="1:15" ht="28.5" customHeight="1">
      <c r="A18" s="25" t="s">
        <v>443</v>
      </c>
      <c r="B18" s="26" t="s">
        <v>535</v>
      </c>
      <c r="C18" s="26" t="s">
        <v>14</v>
      </c>
      <c r="D18" s="33">
        <f>D15-D9-D11-D14</f>
        <v>-4444.7615570139988</v>
      </c>
      <c r="E18" s="33">
        <f>E15-E9-E11-E14</f>
        <v>-4031.6906220359997</v>
      </c>
      <c r="F18" s="33">
        <f t="shared" ref="F18:M18" si="2">F15-F9-F11-F14</f>
        <v>7889.7623160000039</v>
      </c>
      <c r="G18" s="33">
        <f t="shared" si="2"/>
        <v>15093.080473</v>
      </c>
      <c r="H18" s="33">
        <f t="shared" si="2"/>
        <v>4127.3729569999996</v>
      </c>
      <c r="I18" s="38">
        <f t="shared" si="2"/>
        <v>1738.8870189999989</v>
      </c>
      <c r="J18" s="38">
        <f t="shared" si="2"/>
        <v>827.55675152904087</v>
      </c>
      <c r="K18" s="38">
        <f t="shared" si="2"/>
        <v>300.84490518466009</v>
      </c>
      <c r="L18" s="38">
        <f t="shared" si="2"/>
        <v>450.728090820136</v>
      </c>
      <c r="M18" s="38">
        <f t="shared" si="2"/>
        <v>127.17042248464713</v>
      </c>
      <c r="N18" s="26" t="s">
        <v>24</v>
      </c>
      <c r="O18" s="28" t="s">
        <v>536</v>
      </c>
    </row>
    <row r="19" spans="1:15" ht="28.5" customHeight="1">
      <c r="A19" s="25" t="s">
        <v>427</v>
      </c>
      <c r="B19" s="26" t="s">
        <v>141</v>
      </c>
      <c r="C19" s="26" t="s">
        <v>14</v>
      </c>
      <c r="D19" s="33">
        <f>D16+D15-D17</f>
        <v>-18378.642097262</v>
      </c>
      <c r="E19" s="33">
        <f>E16+E15-E17</f>
        <v>0</v>
      </c>
      <c r="F19" s="33">
        <f t="shared" ref="F19:M19" si="3">F16+F15-F17</f>
        <v>0</v>
      </c>
      <c r="G19" s="33">
        <f t="shared" si="3"/>
        <v>0</v>
      </c>
      <c r="H19" s="33">
        <f t="shared" si="3"/>
        <v>0</v>
      </c>
      <c r="I19" s="38">
        <f t="shared" si="3"/>
        <v>0</v>
      </c>
      <c r="J19" s="38">
        <f t="shared" si="3"/>
        <v>0</v>
      </c>
      <c r="K19" s="38">
        <f t="shared" si="3"/>
        <v>0</v>
      </c>
      <c r="L19" s="38">
        <f t="shared" si="3"/>
        <v>0</v>
      </c>
      <c r="M19" s="38">
        <f t="shared" si="3"/>
        <v>0</v>
      </c>
      <c r="N19" s="26" t="s">
        <v>24</v>
      </c>
      <c r="O19" s="28" t="s">
        <v>537</v>
      </c>
    </row>
    <row r="20" spans="1:15">
      <c r="A20" s="25" t="s">
        <v>538</v>
      </c>
      <c r="B20" s="26" t="s">
        <v>538</v>
      </c>
      <c r="C20" s="26" t="s">
        <v>14</v>
      </c>
      <c r="D20" s="33">
        <f>'12_Income_Statement'!D15*(1-'08_P5_Assumptions'!D14)+D7-ABS(D10)-D8</f>
        <v>2840.736978911209</v>
      </c>
      <c r="E20" s="33">
        <f>'12_Income_Statement'!E15*(1-'08_P5_Assumptions'!E14)+E7-ABS(E10)-E8</f>
        <v>3726.2399689298827</v>
      </c>
      <c r="F20" s="33">
        <f>'12_Income_Statement'!F15*(1-'08_P5_Assumptions'!F14)+F7-ABS(F10)-F8</f>
        <v>3977.7722938757843</v>
      </c>
      <c r="G20" s="33">
        <f>'12_Income_Statement'!G15*(1-'08_P5_Assumptions'!G14)+G7-ABS(G10)-G8</f>
        <v>3818.4807788020262</v>
      </c>
      <c r="H20" s="33">
        <f>'12_Income_Statement'!H15*(1-'08_P5_Assumptions'!H14)+H7-ABS(H10)-H8</f>
        <v>5655.5985815433978</v>
      </c>
      <c r="I20" s="38">
        <f>'12_Income_Statement'!I15*(1-'08_P5_Assumptions'!I14)+I7-ABS(I10)-I8</f>
        <v>7142.1923895890468</v>
      </c>
      <c r="J20" s="38">
        <f>'12_Income_Statement'!J15*(1-'08_P5_Assumptions'!J14)+J7-ABS(J10)-J8</f>
        <v>8125.7216300181699</v>
      </c>
      <c r="K20" s="38">
        <f>'12_Income_Statement'!K15*(1-'08_P5_Assumptions'!K14)+K7-ABS(K10)-K8</f>
        <v>11072.585897338973</v>
      </c>
      <c r="L20" s="38">
        <f>'12_Income_Statement'!L15*(1-'08_P5_Assumptions'!L14)+L7-ABS(L10)-L8</f>
        <v>13012.051081369304</v>
      </c>
      <c r="M20" s="38">
        <f>'12_Income_Statement'!M15*(1-'08_P5_Assumptions'!M14)+M7-ABS(M10)-M8</f>
        <v>13942.755833379037</v>
      </c>
      <c r="N20" s="26" t="s">
        <v>24</v>
      </c>
      <c r="O20" s="28" t="s">
        <v>539</v>
      </c>
    </row>
    <row r="21" spans="1:15">
      <c r="A21" s="25" t="s">
        <v>538</v>
      </c>
      <c r="B21" s="26" t="s">
        <v>540</v>
      </c>
      <c r="C21" s="26" t="s">
        <v>23</v>
      </c>
      <c r="D21" s="36">
        <f>IFERROR(D20/'12_Income_Statement'!D6,"")</f>
        <v>2.3103291592077305E-2</v>
      </c>
      <c r="E21" s="36">
        <f>IFERROR(E20/'12_Income_Statement'!E6,"")</f>
        <v>2.7931832998920044E-2</v>
      </c>
      <c r="F21" s="36">
        <f>IFERROR(F20/'12_Income_Statement'!F6,"")</f>
        <v>3.3630194522956416E-2</v>
      </c>
      <c r="G21" s="36">
        <f>IFERROR(G20/'12_Income_Statement'!G6,"")</f>
        <v>2.8423760685558609E-2</v>
      </c>
      <c r="H21" s="36">
        <f>IFERROR(H20/'12_Income_Statement'!H6,"")</f>
        <v>3.6270543455076257E-2</v>
      </c>
      <c r="I21" s="34">
        <f>IFERROR(I20/'12_Income_Statement'!I6,"")</f>
        <v>3.8606445349129985E-2</v>
      </c>
      <c r="J21" s="34">
        <f>IFERROR(J20/'12_Income_Statement'!J6,"")</f>
        <v>3.8564945824548988E-2</v>
      </c>
      <c r="K21" s="34">
        <f>IFERROR(K20/'12_Income_Statement'!K6,"")</f>
        <v>4.7723220758641743E-2</v>
      </c>
      <c r="L21" s="34">
        <f>IFERROR(L20/'12_Income_Statement'!L6,"")</f>
        <v>5.1882786889718535E-2</v>
      </c>
      <c r="M21" s="34">
        <f>IFERROR(M20/'12_Income_Statement'!M6,"")</f>
        <v>5.217502811398695E-2</v>
      </c>
      <c r="N21" s="26" t="s">
        <v>24</v>
      </c>
      <c r="O21" s="28" t="s">
        <v>541</v>
      </c>
    </row>
    <row r="22" spans="1:15">
      <c r="A22" s="25"/>
      <c r="B22" s="26"/>
      <c r="C22" s="26"/>
      <c r="D22" s="55"/>
      <c r="E22" s="55"/>
      <c r="F22" s="55"/>
      <c r="G22" s="55"/>
      <c r="H22" s="55"/>
      <c r="I22" s="53"/>
      <c r="J22" s="53"/>
      <c r="K22" s="53"/>
      <c r="L22" s="53"/>
      <c r="M22" s="53"/>
      <c r="N22" s="26"/>
      <c r="O22" s="28"/>
    </row>
    <row r="23" spans="1:15">
      <c r="A23" s="25"/>
      <c r="B23" s="26"/>
      <c r="C23" s="26"/>
      <c r="D23" s="55"/>
      <c r="E23" s="55"/>
      <c r="F23" s="55"/>
      <c r="G23" s="55"/>
      <c r="H23" s="55"/>
      <c r="I23" s="53"/>
      <c r="J23" s="53"/>
      <c r="K23" s="53"/>
      <c r="L23" s="53"/>
      <c r="M23" s="53"/>
      <c r="N23" s="26"/>
      <c r="O23" s="28"/>
    </row>
    <row r="24" spans="1:15">
      <c r="A24" s="25"/>
      <c r="B24" s="26"/>
      <c r="C24" s="26"/>
      <c r="D24" s="55"/>
      <c r="E24" s="55"/>
      <c r="F24" s="55"/>
      <c r="G24" s="55"/>
      <c r="H24" s="55"/>
      <c r="I24" s="53"/>
      <c r="J24" s="53"/>
      <c r="K24" s="53"/>
      <c r="L24" s="53"/>
      <c r="M24" s="53"/>
      <c r="N24" s="26"/>
      <c r="O24" s="28"/>
    </row>
    <row r="25" spans="1:15">
      <c r="A25" s="25"/>
      <c r="B25" s="26"/>
      <c r="C25" s="26"/>
      <c r="D25" s="55"/>
      <c r="E25" s="55"/>
      <c r="F25" s="55"/>
      <c r="G25" s="55"/>
      <c r="H25" s="55"/>
      <c r="I25" s="53"/>
      <c r="J25" s="53"/>
      <c r="K25" s="53"/>
      <c r="L25" s="53"/>
      <c r="M25" s="53"/>
      <c r="N25" s="26"/>
      <c r="O25" s="28"/>
    </row>
    <row r="26" spans="1:15">
      <c r="A26" s="25"/>
      <c r="B26" s="26"/>
      <c r="C26" s="26"/>
      <c r="D26" s="55"/>
      <c r="E26" s="55"/>
      <c r="F26" s="55"/>
      <c r="G26" s="55"/>
      <c r="H26" s="55"/>
      <c r="I26" s="53"/>
      <c r="J26" s="53"/>
      <c r="K26" s="53"/>
      <c r="L26" s="53"/>
      <c r="M26" s="53"/>
      <c r="N26" s="26"/>
      <c r="O26" s="28"/>
    </row>
    <row r="27" spans="1:15">
      <c r="A27" s="25"/>
      <c r="B27" s="26"/>
      <c r="C27" s="26"/>
      <c r="D27" s="55"/>
      <c r="E27" s="55"/>
      <c r="F27" s="55"/>
      <c r="G27" s="55"/>
      <c r="H27" s="55"/>
      <c r="I27" s="53"/>
      <c r="J27" s="53"/>
      <c r="K27" s="53"/>
      <c r="L27" s="53"/>
      <c r="M27" s="53"/>
      <c r="N27" s="26"/>
      <c r="O27" s="28"/>
    </row>
    <row r="28" spans="1:15">
      <c r="A28" s="25"/>
      <c r="B28" s="26"/>
      <c r="C28" s="26"/>
      <c r="D28" s="55"/>
      <c r="E28" s="55"/>
      <c r="F28" s="55"/>
      <c r="G28" s="55"/>
      <c r="H28" s="55"/>
      <c r="I28" s="53"/>
      <c r="J28" s="53"/>
      <c r="K28" s="53"/>
      <c r="L28" s="53"/>
      <c r="M28" s="53"/>
      <c r="N28" s="26"/>
      <c r="O28" s="28"/>
    </row>
    <row r="29" spans="1:15">
      <c r="A29" s="25"/>
      <c r="B29" s="26"/>
      <c r="C29" s="26"/>
      <c r="D29" s="55"/>
      <c r="E29" s="55"/>
      <c r="F29" s="55"/>
      <c r="G29" s="55"/>
      <c r="H29" s="55"/>
      <c r="I29" s="53"/>
      <c r="J29" s="53"/>
      <c r="K29" s="53"/>
      <c r="L29" s="53"/>
      <c r="M29" s="53"/>
      <c r="N29" s="26"/>
      <c r="O29" s="28"/>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5"/>
      <c r="B45" s="26"/>
      <c r="C45" s="26"/>
      <c r="D45" s="55"/>
      <c r="E45" s="55"/>
      <c r="F45" s="55"/>
      <c r="G45" s="55"/>
      <c r="H45" s="55"/>
      <c r="I45" s="53"/>
      <c r="J45" s="53"/>
      <c r="K45" s="53"/>
      <c r="L45" s="53"/>
      <c r="M45" s="53"/>
      <c r="N45" s="26"/>
      <c r="O45" s="28"/>
    </row>
    <row r="46" spans="1:15">
      <c r="A46" s="25"/>
      <c r="B46" s="26"/>
      <c r="C46" s="26"/>
      <c r="D46" s="55"/>
      <c r="E46" s="55"/>
      <c r="F46" s="55"/>
      <c r="G46" s="55"/>
      <c r="H46" s="55"/>
      <c r="I46" s="53"/>
      <c r="J46" s="53"/>
      <c r="K46" s="53"/>
      <c r="L46" s="53"/>
      <c r="M46" s="53"/>
      <c r="N46" s="26"/>
      <c r="O46" s="28"/>
    </row>
    <row r="47" spans="1:15">
      <c r="A47" s="25"/>
      <c r="B47" s="26"/>
      <c r="C47" s="26"/>
      <c r="D47" s="55"/>
      <c r="E47" s="55"/>
      <c r="F47" s="55"/>
      <c r="G47" s="55"/>
      <c r="H47" s="55"/>
      <c r="I47" s="53"/>
      <c r="J47" s="53"/>
      <c r="K47" s="53"/>
      <c r="L47" s="53"/>
      <c r="M47" s="53"/>
      <c r="N47" s="26"/>
      <c r="O47" s="28"/>
    </row>
    <row r="48" spans="1:15">
      <c r="A48" s="25"/>
      <c r="B48" s="26"/>
      <c r="C48" s="26"/>
      <c r="D48" s="55"/>
      <c r="E48" s="55"/>
      <c r="F48" s="55"/>
      <c r="G48" s="55"/>
      <c r="H48" s="55"/>
      <c r="I48" s="53"/>
      <c r="J48" s="53"/>
      <c r="K48" s="53"/>
      <c r="L48" s="53"/>
      <c r="M48" s="53"/>
      <c r="N48" s="26"/>
      <c r="O48" s="28"/>
    </row>
    <row r="49" spans="1:15">
      <c r="A49" s="25"/>
      <c r="B49" s="26"/>
      <c r="C49" s="26"/>
      <c r="D49" s="55"/>
      <c r="E49" s="55"/>
      <c r="F49" s="55"/>
      <c r="G49" s="55"/>
      <c r="H49" s="55"/>
      <c r="I49" s="53"/>
      <c r="J49" s="53"/>
      <c r="K49" s="53"/>
      <c r="L49" s="53"/>
      <c r="M49" s="53"/>
      <c r="N49" s="26"/>
      <c r="O49" s="28"/>
    </row>
    <row r="50" spans="1:15">
      <c r="A50" s="25"/>
      <c r="B50" s="26"/>
      <c r="C50" s="26"/>
      <c r="D50" s="55"/>
      <c r="E50" s="55"/>
      <c r="F50" s="55"/>
      <c r="G50" s="55"/>
      <c r="H50" s="55"/>
      <c r="I50" s="53"/>
      <c r="J50" s="53"/>
      <c r="K50" s="53"/>
      <c r="L50" s="53"/>
      <c r="M50" s="53"/>
      <c r="N50" s="26"/>
      <c r="O50" s="28"/>
    </row>
    <row r="51" spans="1:15">
      <c r="A51" s="25"/>
      <c r="B51" s="26"/>
      <c r="C51" s="26"/>
      <c r="D51" s="55"/>
      <c r="E51" s="55"/>
      <c r="F51" s="55"/>
      <c r="G51" s="55"/>
      <c r="H51" s="55"/>
      <c r="I51" s="53"/>
      <c r="J51" s="53"/>
      <c r="K51" s="53"/>
      <c r="L51" s="53"/>
      <c r="M51" s="53"/>
      <c r="N51" s="26"/>
      <c r="O51" s="28"/>
    </row>
    <row r="52" spans="1:15">
      <c r="A52" s="25"/>
      <c r="B52" s="26"/>
      <c r="C52" s="26"/>
      <c r="D52" s="55"/>
      <c r="E52" s="55"/>
      <c r="F52" s="55"/>
      <c r="G52" s="55"/>
      <c r="H52" s="55"/>
      <c r="I52" s="53"/>
      <c r="J52" s="53"/>
      <c r="K52" s="53"/>
      <c r="L52" s="53"/>
      <c r="M52" s="53"/>
      <c r="N52" s="26"/>
      <c r="O52" s="28"/>
    </row>
    <row r="53" spans="1:15">
      <c r="A53" s="25"/>
      <c r="B53" s="26"/>
      <c r="C53" s="26"/>
      <c r="D53" s="55"/>
      <c r="E53" s="55"/>
      <c r="F53" s="55"/>
      <c r="G53" s="55"/>
      <c r="H53" s="55"/>
      <c r="I53" s="53"/>
      <c r="J53" s="53"/>
      <c r="K53" s="53"/>
      <c r="L53" s="53"/>
      <c r="M53" s="53"/>
      <c r="N53" s="26"/>
      <c r="O53" s="28"/>
    </row>
    <row r="54" spans="1:15">
      <c r="A54" s="25"/>
      <c r="B54" s="26"/>
      <c r="C54" s="26"/>
      <c r="D54" s="55"/>
      <c r="E54" s="55"/>
      <c r="F54" s="55"/>
      <c r="G54" s="55"/>
      <c r="H54" s="55"/>
      <c r="I54" s="53"/>
      <c r="J54" s="53"/>
      <c r="K54" s="53"/>
      <c r="L54" s="53"/>
      <c r="M54" s="53"/>
      <c r="N54" s="26"/>
      <c r="O54" s="28"/>
    </row>
    <row r="55" spans="1:15">
      <c r="A55" s="29"/>
      <c r="B55" s="30"/>
      <c r="C55" s="30"/>
      <c r="D55" s="56"/>
      <c r="E55" s="56"/>
      <c r="F55" s="56"/>
      <c r="G55" s="56"/>
      <c r="H55" s="56"/>
      <c r="I55" s="54"/>
      <c r="J55" s="54"/>
      <c r="K55" s="54"/>
      <c r="L55" s="54"/>
      <c r="M55" s="54"/>
      <c r="N55" s="30"/>
      <c r="O55" s="32"/>
    </row>
  </sheetData>
  <mergeCells count="2">
    <mergeCell ref="A1:O1"/>
    <mergeCell ref="A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29"/>
  <sheetViews>
    <sheetView showGridLines="0" topLeftCell="L1" workbookViewId="0">
      <selection sqref="A1:Z1"/>
    </sheetView>
  </sheetViews>
  <sheetFormatPr defaultRowHeight="13.8"/>
  <cols>
    <col min="1" max="1" width="18" customWidth="1"/>
    <col min="2" max="2" width="27" customWidth="1"/>
    <col min="3" max="3" width="24" customWidth="1"/>
    <col min="4" max="4" width="14" customWidth="1"/>
    <col min="5" max="5" width="16" customWidth="1"/>
    <col min="6" max="6" width="34.19921875" customWidth="1"/>
    <col min="7" max="7" width="18" customWidth="1"/>
    <col min="8" max="18" width="16" customWidth="1"/>
    <col min="19" max="19" width="13" customWidth="1"/>
    <col min="20" max="20" width="15" customWidth="1"/>
    <col min="21" max="21" width="14" customWidth="1"/>
    <col min="22" max="22" width="13" customWidth="1"/>
    <col min="23" max="23" width="15" customWidth="1"/>
    <col min="24" max="24" width="14" customWidth="1"/>
    <col min="25" max="25" width="12" customWidth="1"/>
    <col min="26" max="26" width="34" customWidth="1"/>
  </cols>
  <sheetData>
    <row r="1" spans="1:26" ht="16.649999999999999" customHeight="1">
      <c r="A1" s="473" t="s">
        <v>542</v>
      </c>
      <c r="B1" s="452"/>
      <c r="C1" s="452"/>
      <c r="D1" s="452"/>
      <c r="E1" s="452"/>
      <c r="F1" s="452"/>
      <c r="G1" s="452"/>
      <c r="H1" s="452"/>
      <c r="I1" s="452"/>
      <c r="J1" s="452"/>
      <c r="K1" s="452"/>
      <c r="L1" s="452"/>
      <c r="M1" s="452"/>
      <c r="N1" s="452"/>
      <c r="O1" s="452"/>
      <c r="P1" s="452"/>
      <c r="Q1" s="452"/>
      <c r="R1" s="452"/>
      <c r="S1" s="452"/>
      <c r="T1" s="452"/>
      <c r="U1" s="452"/>
      <c r="V1" s="452"/>
      <c r="W1" s="452"/>
      <c r="X1" s="452"/>
      <c r="Y1" s="452"/>
      <c r="Z1" s="452"/>
    </row>
    <row r="2" spans="1:26" ht="14.25" customHeight="1">
      <c r="A2" s="476" t="s">
        <v>543</v>
      </c>
      <c r="B2" s="452"/>
      <c r="C2" s="452"/>
      <c r="D2" s="452"/>
      <c r="E2" s="452"/>
      <c r="F2" s="452"/>
      <c r="G2" s="452"/>
      <c r="H2" s="452"/>
      <c r="I2" s="452"/>
      <c r="J2" s="452"/>
      <c r="K2" s="452"/>
      <c r="L2" s="452"/>
      <c r="M2" s="452"/>
      <c r="N2" s="452"/>
      <c r="O2" s="452"/>
      <c r="P2" s="452"/>
      <c r="Q2" s="452"/>
      <c r="R2" s="452"/>
      <c r="S2" s="452"/>
      <c r="T2" s="452"/>
      <c r="U2" s="452"/>
      <c r="V2" s="452"/>
      <c r="W2" s="452"/>
      <c r="X2" s="452"/>
      <c r="Y2" s="452"/>
      <c r="Z2" s="452"/>
    </row>
    <row r="4" spans="1:26" ht="14.25" customHeight="1">
      <c r="A4" s="357" t="s">
        <v>544</v>
      </c>
      <c r="B4" s="358" t="s">
        <v>545</v>
      </c>
      <c r="C4" s="358" t="s">
        <v>546</v>
      </c>
      <c r="D4" s="358" t="s">
        <v>547</v>
      </c>
      <c r="E4" s="358" t="s">
        <v>548</v>
      </c>
      <c r="F4" s="359" t="s">
        <v>549</v>
      </c>
    </row>
    <row r="5" spans="1:26">
      <c r="E5" s="61"/>
    </row>
    <row r="6" spans="1:26" ht="14.25" customHeight="1">
      <c r="A6" s="477" t="s">
        <v>550</v>
      </c>
      <c r="B6" s="452"/>
      <c r="C6" s="452"/>
      <c r="D6" s="452"/>
      <c r="E6" s="452"/>
      <c r="F6" s="452"/>
      <c r="G6" s="452"/>
      <c r="H6" s="452"/>
      <c r="I6" s="452"/>
      <c r="J6" s="452"/>
      <c r="K6" s="452"/>
      <c r="L6" s="452"/>
      <c r="M6" s="452"/>
      <c r="N6" s="452"/>
      <c r="O6" s="452"/>
      <c r="P6" s="452"/>
      <c r="Q6" s="452"/>
      <c r="R6" s="452"/>
      <c r="S6" s="452"/>
      <c r="T6" s="452"/>
      <c r="U6" s="452"/>
      <c r="V6" s="452"/>
      <c r="W6" s="452"/>
      <c r="X6" s="452"/>
      <c r="Y6" s="452"/>
      <c r="Z6" s="452"/>
    </row>
    <row r="7" spans="1:26" ht="14.25" customHeight="1">
      <c r="A7" s="360" t="s">
        <v>551</v>
      </c>
      <c r="B7" s="360" t="s">
        <v>552</v>
      </c>
      <c r="C7" s="360" t="s">
        <v>553</v>
      </c>
      <c r="D7" s="360" t="s">
        <v>554</v>
      </c>
      <c r="E7" s="360" t="s">
        <v>555</v>
      </c>
      <c r="F7" s="360" t="s">
        <v>556</v>
      </c>
      <c r="G7" s="360" t="s">
        <v>557</v>
      </c>
      <c r="H7" s="360" t="s">
        <v>558</v>
      </c>
      <c r="I7" s="360" t="s">
        <v>559</v>
      </c>
      <c r="J7" s="360" t="s">
        <v>560</v>
      </c>
      <c r="K7" s="360" t="s">
        <v>561</v>
      </c>
      <c r="L7" s="360" t="s">
        <v>562</v>
      </c>
      <c r="M7" s="360" t="s">
        <v>563</v>
      </c>
      <c r="N7" s="360" t="s">
        <v>564</v>
      </c>
      <c r="O7" s="360" t="s">
        <v>565</v>
      </c>
      <c r="P7" s="360" t="s">
        <v>566</v>
      </c>
      <c r="Q7" s="360" t="s">
        <v>567</v>
      </c>
      <c r="R7" s="360" t="s">
        <v>568</v>
      </c>
      <c r="S7" s="360" t="s">
        <v>569</v>
      </c>
      <c r="T7" s="360" t="s">
        <v>570</v>
      </c>
      <c r="U7" s="360" t="s">
        <v>571</v>
      </c>
      <c r="V7" s="360" t="s">
        <v>572</v>
      </c>
      <c r="W7" s="360" t="s">
        <v>573</v>
      </c>
      <c r="X7" s="360" t="s">
        <v>574</v>
      </c>
      <c r="Y7" s="360" t="s">
        <v>575</v>
      </c>
      <c r="Z7" s="360" t="s">
        <v>576</v>
      </c>
    </row>
    <row r="8" spans="1:26" ht="14.25" customHeight="1">
      <c r="A8" s="114" t="str">
        <f>'100_Raw_Peer_Metrics'!A5</f>
        <v>MWG</v>
      </c>
      <c r="B8" s="115" t="str">
        <f>'100_Raw_Peer_Metrics'!B5</f>
        <v>Target company</v>
      </c>
      <c r="C8" s="115" t="str">
        <f>'100_Raw_Peer_Metrics'!D5</f>
        <v>Thế giới di động</v>
      </c>
      <c r="D8" s="115" t="str">
        <f>'100_Raw_Peer_Metrics'!F5</f>
        <v>2026-06-26</v>
      </c>
      <c r="E8" s="123">
        <f>'100_Raw_Peer_Metrics'!G5</f>
        <v>78500</v>
      </c>
      <c r="F8" s="126">
        <f>'100_Raw_Peer_Metrics'!H5</f>
        <v>1468423529</v>
      </c>
      <c r="G8" s="105">
        <f>IFERROR(E8*F8/1000000000,"")</f>
        <v>115271.2470265</v>
      </c>
      <c r="H8" s="123">
        <f>'100_Raw_Peer_Metrics'!K5</f>
        <v>46384.806297955998</v>
      </c>
      <c r="I8" s="123">
        <f>'100_Raw_Peer_Metrics'!L5</f>
        <v>28100.653169211</v>
      </c>
      <c r="J8" s="105">
        <f>IFERROR(I8-H8,"")</f>
        <v>-18284.153128744998</v>
      </c>
      <c r="K8" s="105">
        <f>IFERROR(G8+J8,"")</f>
        <v>96987.093897754996</v>
      </c>
      <c r="L8" s="123">
        <f>'100_Raw_Peer_Metrics'!O5</f>
        <v>155928.14561936699</v>
      </c>
      <c r="M8" s="123">
        <f>'100_Raw_Peer_Metrics'!P5</f>
        <v>8965.7814584230018</v>
      </c>
      <c r="N8" s="123">
        <f>'100_Raw_Peer_Metrics'!Q5</f>
        <v>7033.7307701689997</v>
      </c>
      <c r="O8" s="123">
        <f>'100_Raw_Peer_Metrics'!X5</f>
        <v>166255.13922793098</v>
      </c>
      <c r="P8" s="123">
        <f>'100_Raw_Peer_Metrics'!Y5</f>
        <v>10169.999928797002</v>
      </c>
      <c r="Q8" s="123">
        <f>'100_Raw_Peer_Metrics'!Z5</f>
        <v>8202.224531333999</v>
      </c>
      <c r="R8" s="123">
        <f>'100_Raw_Peer_Metrics'!AA5</f>
        <v>35933.342055104004</v>
      </c>
      <c r="S8" s="129">
        <f>IFERROR(G8/N8,"")</f>
        <v>16.388350761928635</v>
      </c>
      <c r="T8" s="129">
        <f>IFERROR(K8/M8,"")</f>
        <v>10.817472447606828</v>
      </c>
      <c r="U8" s="129">
        <f>IFERROR(K8/L8,"")</f>
        <v>0.62199863605450811</v>
      </c>
      <c r="V8" s="129">
        <f>IFERROR(G8/Q8,"")</f>
        <v>14.053656613049636</v>
      </c>
      <c r="W8" s="129">
        <f>IFERROR(K8/P8,"")</f>
        <v>9.5365874706773468</v>
      </c>
      <c r="X8" s="129">
        <f>IFERROR(K8/O8,"")</f>
        <v>0.58336298263110231</v>
      </c>
      <c r="Y8" s="129">
        <f>IFERROR(G8/R8,"")</f>
        <v>3.2079188974332205</v>
      </c>
      <c r="Z8" s="116" t="str">
        <f>'100_Raw_Peer_Metrics'!AC5</f>
        <v>MWG cash/debt links to 04A_Q1_Historical_FS; other metrics use vnstock Finance source=VCI</v>
      </c>
    </row>
    <row r="9" spans="1:26" ht="14.25" customHeight="1">
      <c r="A9" s="117" t="str">
        <f>'100_Raw_Peer_Metrics'!A6</f>
        <v>FRT</v>
      </c>
      <c r="B9" s="118" t="str">
        <f>'100_Raw_Peer_Metrics'!B6</f>
        <v>Core Vietnam retail peer</v>
      </c>
      <c r="C9" s="118" t="str">
        <f>'100_Raw_Peer_Metrics'!D6</f>
        <v>Bán lẻ FPT</v>
      </c>
      <c r="D9" s="118" t="str">
        <f>'100_Raw_Peer_Metrics'!F6</f>
        <v>2026-06-26</v>
      </c>
      <c r="E9" s="124">
        <f>'100_Raw_Peer_Metrics'!G6</f>
        <v>124000</v>
      </c>
      <c r="F9" s="127">
        <f>'100_Raw_Peer_Metrics'!H6</f>
        <v>170301785</v>
      </c>
      <c r="G9" s="106">
        <f>IFERROR(E9*F9/1000000000,"")</f>
        <v>21117.421340000001</v>
      </c>
      <c r="H9" s="124">
        <f>'100_Raw_Peer_Metrics'!K6</f>
        <v>8649.1619377679999</v>
      </c>
      <c r="I9" s="124">
        <f>'100_Raw_Peer_Metrics'!L6</f>
        <v>12381.417771551</v>
      </c>
      <c r="J9" s="106">
        <f>IFERROR(I9-H9,"")</f>
        <v>3732.2558337829996</v>
      </c>
      <c r="K9" s="106">
        <f>IFERROR(G9+J9,"")</f>
        <v>24849.677173782999</v>
      </c>
      <c r="L9" s="124">
        <f>'100_Raw_Peer_Metrics'!O6</f>
        <v>51082.868444767999</v>
      </c>
      <c r="M9" s="124">
        <f>'100_Raw_Peer_Metrics'!P6</f>
        <v>1716.3106105109991</v>
      </c>
      <c r="N9" s="124">
        <f>'100_Raw_Peer_Metrics'!Q6</f>
        <v>794.86494355100001</v>
      </c>
      <c r="O9" s="124">
        <f>'100_Raw_Peer_Metrics'!X6</f>
        <v>54529.932081150997</v>
      </c>
      <c r="P9" s="124">
        <f>'100_Raw_Peer_Metrics'!Y6</f>
        <v>1896.7749049599993</v>
      </c>
      <c r="Q9" s="124">
        <f>'100_Raw_Peer_Metrics'!Z6</f>
        <v>914.25406661400007</v>
      </c>
      <c r="R9" s="124">
        <f>'100_Raw_Peer_Metrics'!AA6</f>
        <v>5513.8731866899998</v>
      </c>
      <c r="S9" s="130">
        <f>IFERROR(G9/N9,"")</f>
        <v>26.567307454345002</v>
      </c>
      <c r="T9" s="130">
        <f>IFERROR(K9/M9,"")</f>
        <v>14.478543115447195</v>
      </c>
      <c r="U9" s="130">
        <f>IFERROR(K9/L9,"")</f>
        <v>0.48645814008371624</v>
      </c>
      <c r="V9" s="130">
        <f>IFERROR(G9/Q9,"")</f>
        <v>23.09797911887858</v>
      </c>
      <c r="W9" s="130">
        <f>IFERROR(K9/P9,"")</f>
        <v>13.101015364976609</v>
      </c>
      <c r="X9" s="130">
        <f>IFERROR(K9/O9,"")</f>
        <v>0.45570709930102082</v>
      </c>
      <c r="Y9" s="130">
        <f>IFERROR(G9/R9,"")</f>
        <v>3.8298706961515872</v>
      </c>
      <c r="Z9" s="119" t="str">
        <f>'100_Raw_Peer_Metrics'!AC6</f>
        <v>vnstock Finance source=VCI; formula pulls from Raw_Peer_IS/BS/CF</v>
      </c>
    </row>
    <row r="10" spans="1:26" ht="14.25" customHeight="1">
      <c r="A10" s="117" t="str">
        <f>'100_Raw_Peer_Metrics'!A7</f>
        <v>DGW</v>
      </c>
      <c r="B10" s="118" t="str">
        <f>'100_Raw_Peer_Metrics'!B7</f>
        <v>ICT distribution proxy</v>
      </c>
      <c r="C10" s="118" t="str">
        <f>'100_Raw_Peer_Metrics'!D7</f>
        <v>Thế Giới Số</v>
      </c>
      <c r="D10" s="118" t="str">
        <f>'100_Raw_Peer_Metrics'!F7</f>
        <v>2026-06-26</v>
      </c>
      <c r="E10" s="124">
        <f>'100_Raw_Peer_Metrics'!G7</f>
        <v>39100</v>
      </c>
      <c r="F10" s="127">
        <f>'100_Raw_Peer_Metrics'!H7</f>
        <v>221168700</v>
      </c>
      <c r="G10" s="106">
        <f>IFERROR(E10*F10/1000000000,"")</f>
        <v>8647.6961699999993</v>
      </c>
      <c r="H10" s="124">
        <f>'100_Raw_Peer_Metrics'!K7</f>
        <v>2604.248487113</v>
      </c>
      <c r="I10" s="124">
        <f>'100_Raw_Peer_Metrics'!L7</f>
        <v>2789.9615306599999</v>
      </c>
      <c r="J10" s="106">
        <f>IFERROR(I10-H10,"")</f>
        <v>185.71304354699987</v>
      </c>
      <c r="K10" s="106">
        <f>IFERROR(G10+J10,"")</f>
        <v>8833.4092135469982</v>
      </c>
      <c r="L10" s="124">
        <f>'100_Raw_Peer_Metrics'!O7</f>
        <v>26631.545770247001</v>
      </c>
      <c r="M10" s="124">
        <f>'100_Raw_Peer_Metrics'!P7</f>
        <v>768.96003292400007</v>
      </c>
      <c r="N10" s="124">
        <f>'100_Raw_Peer_Metrics'!Q7</f>
        <v>547.33123654200006</v>
      </c>
      <c r="O10" s="124">
        <f>'100_Raw_Peer_Metrics'!X7</f>
        <v>29612.411543729002</v>
      </c>
      <c r="P10" s="124">
        <f>'100_Raw_Peer_Metrics'!Y7</f>
        <v>839.30247936299997</v>
      </c>
      <c r="Q10" s="124">
        <f>'100_Raw_Peer_Metrics'!Z7</f>
        <v>641.62527462700007</v>
      </c>
      <c r="R10" s="124">
        <f>'100_Raw_Peer_Metrics'!AA7</f>
        <v>3674.3532509820002</v>
      </c>
      <c r="S10" s="130">
        <f>IFERROR(G10/N10,"")</f>
        <v>15.799749023343763</v>
      </c>
      <c r="T10" s="130">
        <f>IFERROR(K10/M10,"")</f>
        <v>11.487475077160539</v>
      </c>
      <c r="U10" s="130">
        <f>IFERROR(K10/L10,"")</f>
        <v>0.33168969198234677</v>
      </c>
      <c r="V10" s="130">
        <f>IFERROR(G10/Q10,"")</f>
        <v>13.477798509460552</v>
      </c>
      <c r="W10" s="130">
        <f>IFERROR(K10/P10,"")</f>
        <v>10.524702870234858</v>
      </c>
      <c r="X10" s="130">
        <f>IFERROR(K10/O10,"")</f>
        <v>0.2983009067161787</v>
      </c>
      <c r="Y10" s="130">
        <f>IFERROR(G10/R10,"")</f>
        <v>2.3535287924994237</v>
      </c>
      <c r="Z10" s="119" t="str">
        <f>'100_Raw_Peer_Metrics'!AC7</f>
        <v>vnstock Finance source=VCI; formula pulls from Raw_Peer_IS/BS/CF</v>
      </c>
    </row>
    <row r="11" spans="1:26" ht="14.25" customHeight="1">
      <c r="A11" s="117" t="str">
        <f>'100_Raw_Peer_Metrics'!A8</f>
        <v>PET</v>
      </c>
      <c r="B11" s="118" t="str">
        <f>'100_Raw_Peer_Metrics'!B8</f>
        <v>ICT distribution proxy</v>
      </c>
      <c r="C11" s="118" t="str">
        <f>'100_Raw_Peer_Metrics'!D8</f>
        <v>Dịch vụ Tổng hợp Dầu khí</v>
      </c>
      <c r="D11" s="118" t="str">
        <f>'100_Raw_Peer_Metrics'!F8</f>
        <v>2026-06-26</v>
      </c>
      <c r="E11" s="124">
        <f>'100_Raw_Peer_Metrics'!G8</f>
        <v>52900</v>
      </c>
      <c r="F11" s="127">
        <f>'100_Raw_Peer_Metrics'!H8</f>
        <v>106722131</v>
      </c>
      <c r="G11" s="106">
        <f>IFERROR(E11*F11/1000000000,"")</f>
        <v>5645.6007299000003</v>
      </c>
      <c r="H11" s="124">
        <f>'100_Raw_Peer_Metrics'!K8</f>
        <v>5521.381625166</v>
      </c>
      <c r="I11" s="124">
        <f>'100_Raw_Peer_Metrics'!L8</f>
        <v>7222.3143383240003</v>
      </c>
      <c r="J11" s="106">
        <f>IFERROR(I11-H11,"")</f>
        <v>1700.9327131580003</v>
      </c>
      <c r="K11" s="106">
        <f>IFERROR(G11+J11,"")</f>
        <v>7346.5334430580006</v>
      </c>
      <c r="L11" s="124">
        <f>'100_Raw_Peer_Metrics'!O8</f>
        <v>21815.238024741</v>
      </c>
      <c r="M11" s="124">
        <f>'100_Raw_Peer_Metrics'!P8</f>
        <v>385.73690319600001</v>
      </c>
      <c r="N11" s="124">
        <f>'100_Raw_Peer_Metrics'!Q8</f>
        <v>258.13390851499997</v>
      </c>
      <c r="O11" s="124">
        <f>'100_Raw_Peer_Metrics'!X8</f>
        <v>23927.603632486</v>
      </c>
      <c r="P11" s="124">
        <f>'100_Raw_Peer_Metrics'!Y8</f>
        <v>503.54124348100004</v>
      </c>
      <c r="Q11" s="124">
        <f>'100_Raw_Peer_Metrics'!Z8</f>
        <v>294.29752885299996</v>
      </c>
      <c r="R11" s="124">
        <f>'100_Raw_Peer_Metrics'!AA8</f>
        <v>2707.6212224840001</v>
      </c>
      <c r="S11" s="130">
        <f>IFERROR(G11/N11,"")</f>
        <v>21.870821862877957</v>
      </c>
      <c r="T11" s="130">
        <f>IFERROR(K11/M11,"")</f>
        <v>19.045451400135008</v>
      </c>
      <c r="U11" s="130">
        <f>IFERROR(K11/L11,"")</f>
        <v>0.33676155331086383</v>
      </c>
      <c r="V11" s="130">
        <f>IFERROR(G11/Q11,"")</f>
        <v>19.183310005704968</v>
      </c>
      <c r="W11" s="130">
        <f>IFERROR(K11/P11,"")</f>
        <v>14.589735276242978</v>
      </c>
      <c r="X11" s="130">
        <f>IFERROR(K11/O11,"")</f>
        <v>0.30703172603059037</v>
      </c>
      <c r="Y11" s="130">
        <f>IFERROR(G11/R11,"")</f>
        <v>2.0850777365087523</v>
      </c>
      <c r="Z11" s="119" t="str">
        <f>'100_Raw_Peer_Metrics'!AC8</f>
        <v>vnstock Finance source=VCI; formula pulls from Raw_Peer_IS/BS/CF</v>
      </c>
    </row>
    <row r="12" spans="1:26" ht="14.25" customHeight="1">
      <c r="A12" s="120" t="str">
        <f>'100_Raw_Peer_Metrics'!A9</f>
        <v>MSN</v>
      </c>
      <c r="B12" s="121" t="str">
        <f>'100_Raw_Peer_Metrics'!B9</f>
        <v>Modern grocery / consumer proxy</v>
      </c>
      <c r="C12" s="121" t="str">
        <f>'100_Raw_Peer_Metrics'!D9</f>
        <v>Tập đoàn Masan</v>
      </c>
      <c r="D12" s="121" t="str">
        <f>'100_Raw_Peer_Metrics'!F9</f>
        <v>2026-06-26</v>
      </c>
      <c r="E12" s="125">
        <f>'100_Raw_Peer_Metrics'!G9</f>
        <v>71400</v>
      </c>
      <c r="F12" s="128">
        <f>'100_Raw_Peer_Metrics'!H9</f>
        <v>1460374611</v>
      </c>
      <c r="G12" s="107">
        <f>IFERROR(E12*F12/1000000000,"")</f>
        <v>104270.7472254</v>
      </c>
      <c r="H12" s="125">
        <f>'100_Raw_Peer_Metrics'!K9</f>
        <v>16208.23</v>
      </c>
      <c r="I12" s="125">
        <f>'100_Raw_Peer_Metrics'!L9</f>
        <v>65037.165999999997</v>
      </c>
      <c r="J12" s="107">
        <f>IFERROR(I12-H12,"")</f>
        <v>48828.936000000002</v>
      </c>
      <c r="K12" s="107">
        <f>IFERROR(G12+J12,"")</f>
        <v>153099.68322539999</v>
      </c>
      <c r="L12" s="125">
        <f>'100_Raw_Peer_Metrics'!O9</f>
        <v>81621.328999999998</v>
      </c>
      <c r="M12" s="125">
        <f>'100_Raw_Peer_Metrics'!P9</f>
        <v>11092.993</v>
      </c>
      <c r="N12" s="125">
        <f>'100_Raw_Peer_Metrics'!Q9</f>
        <v>4108.3059999999996</v>
      </c>
      <c r="O12" s="125">
        <f>'100_Raw_Peer_Metrics'!X9</f>
        <v>86744.544999999998</v>
      </c>
      <c r="P12" s="125">
        <f>'100_Raw_Peer_Metrics'!Y9</f>
        <v>11954.655999999999</v>
      </c>
      <c r="Q12" s="125">
        <f>'100_Raw_Peer_Metrics'!Z9</f>
        <v>4960.5999999999995</v>
      </c>
      <c r="R12" s="125">
        <f>'100_Raw_Peer_Metrics'!AA9</f>
        <v>46262.607000000004</v>
      </c>
      <c r="S12" s="131">
        <f>IFERROR(G12/N12,"")</f>
        <v>25.380472444214238</v>
      </c>
      <c r="T12" s="131">
        <f>IFERROR(K12/M12,"")</f>
        <v>13.801476592061311</v>
      </c>
      <c r="U12" s="131">
        <f>IFERROR(K12/L12,"")</f>
        <v>1.8757313204909956</v>
      </c>
      <c r="V12" s="131">
        <f>IFERROR(G12/Q12,"")</f>
        <v>21.019785353666897</v>
      </c>
      <c r="W12" s="131">
        <f>IFERROR(K12/P12,"")</f>
        <v>12.80669918276193</v>
      </c>
      <c r="X12" s="131">
        <f>IFERROR(K12/O12,"")</f>
        <v>1.7649488302163554</v>
      </c>
      <c r="Y12" s="131">
        <f>IFERROR(G12/R12,"")</f>
        <v>2.2538882693186744</v>
      </c>
      <c r="Z12" s="122" t="str">
        <f>'100_Raw_Peer_Metrics'!AC9</f>
        <v>vnstock Finance source=VCI; formula pulls from Raw_Peer_IS/BS/CF</v>
      </c>
    </row>
    <row r="14" spans="1:26" ht="14.25" customHeight="1">
      <c r="A14" s="145" t="s">
        <v>577</v>
      </c>
      <c r="B14" s="146" t="s">
        <v>578</v>
      </c>
      <c r="C14" s="146" t="s">
        <v>579</v>
      </c>
      <c r="D14" s="146"/>
      <c r="E14" s="146"/>
      <c r="F14" s="146"/>
      <c r="G14" s="146"/>
      <c r="H14" s="146"/>
      <c r="I14" s="146"/>
      <c r="J14" s="146"/>
      <c r="K14" s="146"/>
      <c r="L14" s="146"/>
      <c r="M14" s="146"/>
      <c r="N14" s="146"/>
      <c r="O14" s="146"/>
      <c r="P14" s="146"/>
      <c r="Q14" s="146"/>
      <c r="R14" s="146"/>
      <c r="S14" s="151">
        <f t="shared" ref="S14:Y14" si="0">IFERROR(MEDIAN(S9:S11),"")</f>
        <v>21.870821862877957</v>
      </c>
      <c r="T14" s="151">
        <f t="shared" si="0"/>
        <v>14.478543115447195</v>
      </c>
      <c r="U14" s="151">
        <f t="shared" si="0"/>
        <v>0.33676155331086383</v>
      </c>
      <c r="V14" s="151">
        <f t="shared" si="0"/>
        <v>19.183310005704968</v>
      </c>
      <c r="W14" s="151">
        <f t="shared" si="0"/>
        <v>13.101015364976609</v>
      </c>
      <c r="X14" s="151">
        <f t="shared" si="0"/>
        <v>0.30703172603059037</v>
      </c>
      <c r="Y14" s="151">
        <f t="shared" si="0"/>
        <v>2.3535287924994237</v>
      </c>
      <c r="Z14" s="147"/>
    </row>
    <row r="15" spans="1:26" ht="14.25" customHeight="1">
      <c r="A15" s="148" t="s">
        <v>580</v>
      </c>
      <c r="B15" s="149" t="s">
        <v>581</v>
      </c>
      <c r="C15" s="149" t="s">
        <v>582</v>
      </c>
      <c r="D15" s="149"/>
      <c r="E15" s="149"/>
      <c r="F15" s="149"/>
      <c r="G15" s="149"/>
      <c r="H15" s="149"/>
      <c r="I15" s="149"/>
      <c r="J15" s="149"/>
      <c r="K15" s="149"/>
      <c r="L15" s="149"/>
      <c r="M15" s="149"/>
      <c r="N15" s="149"/>
      <c r="O15" s="149"/>
      <c r="P15" s="149"/>
      <c r="Q15" s="149"/>
      <c r="R15" s="149"/>
      <c r="S15" s="152">
        <f t="shared" ref="S15:Y15" si="1">IFERROR(MEDIAN(S9:S12),"")</f>
        <v>23.625647153546097</v>
      </c>
      <c r="T15" s="152">
        <f t="shared" si="1"/>
        <v>14.140009853754254</v>
      </c>
      <c r="U15" s="152">
        <f t="shared" si="1"/>
        <v>0.41160984669729006</v>
      </c>
      <c r="V15" s="152">
        <f t="shared" si="1"/>
        <v>20.101547679685932</v>
      </c>
      <c r="W15" s="152">
        <f t="shared" si="1"/>
        <v>12.95385727386927</v>
      </c>
      <c r="X15" s="152">
        <f t="shared" si="1"/>
        <v>0.3813694126658056</v>
      </c>
      <c r="Y15" s="152">
        <f t="shared" si="1"/>
        <v>2.303708530909049</v>
      </c>
      <c r="Z15" s="150"/>
    </row>
    <row r="18" spans="1:14" ht="14.25" customHeight="1">
      <c r="A18" s="474" t="s">
        <v>583</v>
      </c>
      <c r="B18" s="475"/>
      <c r="C18" s="475"/>
      <c r="D18" s="475"/>
      <c r="E18" s="475"/>
      <c r="F18" s="475"/>
      <c r="G18" s="475"/>
      <c r="H18" s="475"/>
      <c r="I18" s="475"/>
      <c r="J18" s="475"/>
      <c r="K18" s="475"/>
      <c r="L18" s="475"/>
      <c r="M18" s="475"/>
      <c r="N18" s="475"/>
    </row>
    <row r="19" spans="1:14" ht="14.25" customHeight="1">
      <c r="A19" s="360" t="s">
        <v>551</v>
      </c>
      <c r="B19" s="360" t="s">
        <v>552</v>
      </c>
      <c r="C19" s="360" t="s">
        <v>584</v>
      </c>
      <c r="D19" s="360" t="s">
        <v>585</v>
      </c>
      <c r="E19" s="360" t="s">
        <v>586</v>
      </c>
      <c r="F19" s="360" t="s">
        <v>587</v>
      </c>
      <c r="G19" s="360" t="s">
        <v>588</v>
      </c>
      <c r="H19" s="360" t="s">
        <v>589</v>
      </c>
      <c r="I19" s="360" t="s">
        <v>590</v>
      </c>
      <c r="J19" s="360" t="s">
        <v>591</v>
      </c>
      <c r="K19" s="360" t="s">
        <v>592</v>
      </c>
      <c r="L19" s="360" t="s">
        <v>593</v>
      </c>
      <c r="M19" s="360" t="s">
        <v>594</v>
      </c>
      <c r="N19" s="360" t="s">
        <v>595</v>
      </c>
    </row>
    <row r="20" spans="1:14" ht="14.25" customHeight="1">
      <c r="A20" s="114" t="str">
        <f>A8</f>
        <v>MWG</v>
      </c>
      <c r="B20" s="115" t="str">
        <f>B8</f>
        <v>Target company</v>
      </c>
      <c r="C20" s="123">
        <f>'12_Income_Statement'!I6</f>
        <v>185000</v>
      </c>
      <c r="D20" s="123">
        <f>'12_Income_Statement'!I28</f>
        <v>12302.5</v>
      </c>
      <c r="E20" s="123">
        <f>'12_Income_Statement'!I25</f>
        <v>9246.5024880720594</v>
      </c>
      <c r="F20" s="123">
        <f>'12_Income_Statement'!J6</f>
        <v>210702.27006116117</v>
      </c>
      <c r="G20" s="123">
        <f>'12_Income_Statement'!J28</f>
        <v>15170.563444403602</v>
      </c>
      <c r="H20" s="123">
        <f>'12_Income_Statement'!J25</f>
        <v>11384.785278170259</v>
      </c>
      <c r="I20" s="129">
        <f>IFERROR(G8/E20,"")</f>
        <v>12.466470124806577</v>
      </c>
      <c r="J20" s="129">
        <f>IFERROR(K8/D20,"")</f>
        <v>7.8835272422479168</v>
      </c>
      <c r="K20" s="129">
        <f>IFERROR(K8/C20,"")</f>
        <v>0.52425456160948647</v>
      </c>
      <c r="L20" s="129">
        <f>IFERROR(G8/H20,"")</f>
        <v>10.125026007080406</v>
      </c>
      <c r="M20" s="129">
        <f>IFERROR(K8/G20,"")</f>
        <v>6.3931108592761854</v>
      </c>
      <c r="N20" s="129">
        <f>IFERROR(K8/F20,"")</f>
        <v>0.46030398186788529</v>
      </c>
    </row>
    <row r="21" spans="1:14" ht="14.25" customHeight="1"/>
    <row r="22" spans="1:14" ht="14.25" customHeight="1"/>
    <row r="23" spans="1:14" ht="14.25" customHeight="1"/>
    <row r="24" spans="1:14" ht="14.25" customHeight="1"/>
    <row r="26" spans="1:14" ht="52.65" customHeight="1"/>
    <row r="27" spans="1:14" ht="52.65" customHeight="1"/>
    <row r="28" spans="1:14" ht="66" customHeight="1"/>
    <row r="29" spans="1:14" ht="79.2" customHeight="1"/>
  </sheetData>
  <mergeCells count="4">
    <mergeCell ref="A1:Z1"/>
    <mergeCell ref="A18:N18"/>
    <mergeCell ref="A2:Z2"/>
    <mergeCell ref="A6:Z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29"/>
  <sheetViews>
    <sheetView showGridLines="0" topLeftCell="A52" workbookViewId="0">
      <selection sqref="A1:G1"/>
    </sheetView>
  </sheetViews>
  <sheetFormatPr defaultRowHeight="13.8"/>
  <cols>
    <col min="1" max="1" width="17" customWidth="1"/>
    <col min="2" max="2" width="15" customWidth="1"/>
    <col min="3" max="3" width="16" customWidth="1"/>
    <col min="4" max="4" width="32" customWidth="1"/>
    <col min="5" max="5" width="44" customWidth="1"/>
    <col min="6" max="6" width="36" customWidth="1"/>
    <col min="7" max="7" width="20" customWidth="1"/>
  </cols>
  <sheetData>
    <row r="1" spans="1:7" ht="18" customHeight="1">
      <c r="A1" s="482" t="s">
        <v>596</v>
      </c>
      <c r="B1" s="479"/>
      <c r="C1" s="479"/>
      <c r="D1" s="479"/>
      <c r="E1" s="479"/>
      <c r="F1" s="479"/>
      <c r="G1" s="480"/>
    </row>
    <row r="2" spans="1:7" ht="14.4">
      <c r="A2" s="481" t="s">
        <v>597</v>
      </c>
      <c r="B2" s="452"/>
      <c r="C2" s="452"/>
      <c r="D2" s="452"/>
      <c r="E2" s="452"/>
      <c r="F2" s="452"/>
      <c r="G2" s="452"/>
    </row>
    <row r="4" spans="1:7" ht="15" customHeight="1">
      <c r="A4" s="361" t="s">
        <v>206</v>
      </c>
      <c r="B4" s="361" t="s">
        <v>4</v>
      </c>
      <c r="C4" s="361" t="s">
        <v>598</v>
      </c>
      <c r="D4" s="361" t="s">
        <v>599</v>
      </c>
    </row>
    <row r="5" spans="1:7">
      <c r="A5" s="172" t="s">
        <v>600</v>
      </c>
      <c r="B5" s="172" t="s">
        <v>601</v>
      </c>
      <c r="C5" s="173" t="s">
        <v>602</v>
      </c>
      <c r="D5" s="172" t="s">
        <v>603</v>
      </c>
    </row>
    <row r="6" spans="1:7">
      <c r="A6" s="172" t="s">
        <v>604</v>
      </c>
      <c r="B6" s="172" t="s">
        <v>601</v>
      </c>
      <c r="C6" s="173" t="s">
        <v>605</v>
      </c>
      <c r="D6" s="172" t="s">
        <v>603</v>
      </c>
    </row>
    <row r="7" spans="1:7" ht="28.5" customHeight="1">
      <c r="A7" s="172" t="s">
        <v>606</v>
      </c>
      <c r="B7" s="172" t="s">
        <v>601</v>
      </c>
      <c r="C7" s="173" t="s">
        <v>607</v>
      </c>
      <c r="D7" s="172" t="s">
        <v>608</v>
      </c>
    </row>
    <row r="8" spans="1:7" ht="42.75" customHeight="1">
      <c r="A8" s="172" t="s">
        <v>150</v>
      </c>
      <c r="B8" s="172" t="s">
        <v>601</v>
      </c>
      <c r="C8" s="173" t="s">
        <v>603</v>
      </c>
      <c r="D8" s="172" t="s">
        <v>609</v>
      </c>
    </row>
    <row r="9" spans="1:7">
      <c r="A9" s="172" t="s">
        <v>610</v>
      </c>
      <c r="B9" s="172" t="s">
        <v>358</v>
      </c>
      <c r="C9" s="174">
        <f>COUNTA(A22:A129)</f>
        <v>108</v>
      </c>
      <c r="D9" s="172" t="s">
        <v>611</v>
      </c>
    </row>
    <row r="10" spans="1:7" ht="28.5" customHeight="1">
      <c r="A10" s="172" t="s">
        <v>612</v>
      </c>
      <c r="B10" s="172" t="s">
        <v>358</v>
      </c>
      <c r="C10" s="174">
        <f>COUNT(D23:D129)</f>
        <v>107</v>
      </c>
      <c r="D10" s="172" t="s">
        <v>613</v>
      </c>
    </row>
    <row r="11" spans="1:7">
      <c r="A11" s="172" t="s">
        <v>614</v>
      </c>
      <c r="B11" s="172" t="s">
        <v>615</v>
      </c>
      <c r="C11" s="175">
        <f>MIN(A23:A129)</f>
        <v>45443</v>
      </c>
      <c r="D11" s="172" t="s">
        <v>616</v>
      </c>
    </row>
    <row r="12" spans="1:7">
      <c r="A12" s="172" t="s">
        <v>617</v>
      </c>
      <c r="B12" s="172" t="s">
        <v>615</v>
      </c>
      <c r="C12" s="175">
        <f>MAX(A23:A129)</f>
        <v>46199</v>
      </c>
      <c r="D12" s="172" t="s">
        <v>618</v>
      </c>
    </row>
    <row r="13" spans="1:7" ht="42.75" customHeight="1">
      <c r="A13" s="172" t="s">
        <v>619</v>
      </c>
      <c r="B13" s="172" t="s">
        <v>226</v>
      </c>
      <c r="C13" s="176">
        <f>_xlfn.COVARIANCE.S(D23:D129,E23:E129)/_xlfn.VAR.S(E23:E129)</f>
        <v>1.0381347090365216</v>
      </c>
      <c r="D13" s="172" t="s">
        <v>620</v>
      </c>
    </row>
    <row r="14" spans="1:7" ht="28.5" customHeight="1">
      <c r="A14" s="172" t="s">
        <v>621</v>
      </c>
      <c r="B14" s="172" t="s">
        <v>226</v>
      </c>
      <c r="C14" s="176">
        <f>ROUND(C13,2)</f>
        <v>1.04</v>
      </c>
      <c r="D14" s="172" t="s">
        <v>622</v>
      </c>
    </row>
    <row r="15" spans="1:7" ht="28.5" customHeight="1">
      <c r="A15" s="172" t="s">
        <v>623</v>
      </c>
      <c r="B15" s="172" t="s">
        <v>226</v>
      </c>
      <c r="C15" s="176">
        <f>CORREL(D23:D129,E23:E129)</f>
        <v>0.60442059321019281</v>
      </c>
      <c r="D15" s="172" t="s">
        <v>624</v>
      </c>
    </row>
    <row r="16" spans="1:7">
      <c r="A16" s="172" t="s">
        <v>625</v>
      </c>
      <c r="B16" s="172" t="s">
        <v>23</v>
      </c>
      <c r="C16" s="177">
        <f>RSQ(D23:D129,E23:E129)</f>
        <v>0.36532425349656122</v>
      </c>
      <c r="D16" s="172" t="s">
        <v>626</v>
      </c>
    </row>
    <row r="20" spans="1:7" ht="15" customHeight="1">
      <c r="A20" s="478" t="s">
        <v>627</v>
      </c>
      <c r="B20" s="479"/>
      <c r="C20" s="479"/>
      <c r="D20" s="479"/>
      <c r="E20" s="479"/>
      <c r="F20" s="479"/>
      <c r="G20" s="480"/>
    </row>
    <row r="21" spans="1:7" ht="15" customHeight="1">
      <c r="A21" s="361" t="s">
        <v>628</v>
      </c>
      <c r="B21" s="361" t="s">
        <v>629</v>
      </c>
      <c r="C21" s="361" t="s">
        <v>605</v>
      </c>
      <c r="D21" s="361" t="s">
        <v>630</v>
      </c>
      <c r="E21" s="361" t="s">
        <v>631</v>
      </c>
      <c r="F21" s="361" t="s">
        <v>632</v>
      </c>
      <c r="G21" s="361" t="s">
        <v>633</v>
      </c>
    </row>
    <row r="22" spans="1:7">
      <c r="A22" s="171">
        <v>45436</v>
      </c>
      <c r="B22" s="179">
        <v>59.17</v>
      </c>
      <c r="C22" s="179">
        <v>1261.93</v>
      </c>
      <c r="D22" s="180"/>
      <c r="E22" s="180"/>
      <c r="F22" s="173" t="s">
        <v>603</v>
      </c>
      <c r="G22" s="173" t="s">
        <v>634</v>
      </c>
    </row>
    <row r="23" spans="1:7">
      <c r="A23" s="171">
        <v>45443</v>
      </c>
      <c r="B23" s="179">
        <v>62.2</v>
      </c>
      <c r="C23" s="179">
        <v>1261.72</v>
      </c>
      <c r="D23" s="181">
        <f t="shared" ref="D23:D54" si="0">IFERROR(B23/B22-1,"")</f>
        <v>5.1208382626330984E-2</v>
      </c>
      <c r="E23" s="181">
        <f t="shared" ref="E23:E54" si="1">IFERROR(C23/C22-1,"")</f>
        <v>-1.6641176610432407E-4</v>
      </c>
      <c r="F23" s="173" t="s">
        <v>603</v>
      </c>
      <c r="G23" s="178" t="str">
        <f t="shared" ref="G23:G54" si="2">IF(AND(ISNUMBER(D23),ISNUMBER(E23)),"OK","CHECK")</f>
        <v>OK</v>
      </c>
    </row>
    <row r="24" spans="1:7">
      <c r="A24" s="171">
        <v>45450</v>
      </c>
      <c r="B24" s="179">
        <v>60.73</v>
      </c>
      <c r="C24" s="179">
        <v>1287.58</v>
      </c>
      <c r="D24" s="181">
        <f t="shared" si="0"/>
        <v>-2.3633440514469584E-2</v>
      </c>
      <c r="E24" s="181">
        <f t="shared" si="1"/>
        <v>2.0495831087721461E-2</v>
      </c>
      <c r="F24" s="173" t="s">
        <v>603</v>
      </c>
      <c r="G24" s="178" t="str">
        <f t="shared" si="2"/>
        <v>OK</v>
      </c>
    </row>
    <row r="25" spans="1:7">
      <c r="A25" s="171">
        <v>45457</v>
      </c>
      <c r="B25" s="179">
        <v>61.61</v>
      </c>
      <c r="C25" s="179">
        <v>1279.9100000000001</v>
      </c>
      <c r="D25" s="181">
        <f t="shared" si="0"/>
        <v>1.4490367199077925E-2</v>
      </c>
      <c r="E25" s="181">
        <f t="shared" si="1"/>
        <v>-5.9569114152129288E-3</v>
      </c>
      <c r="F25" s="173" t="s">
        <v>603</v>
      </c>
      <c r="G25" s="178" t="str">
        <f t="shared" si="2"/>
        <v>OK</v>
      </c>
    </row>
    <row r="26" spans="1:7">
      <c r="A26" s="171">
        <v>45464</v>
      </c>
      <c r="B26" s="179">
        <v>62.1</v>
      </c>
      <c r="C26" s="179">
        <v>1282.02</v>
      </c>
      <c r="D26" s="181">
        <f t="shared" si="0"/>
        <v>7.953254341827698E-3</v>
      </c>
      <c r="E26" s="181">
        <f t="shared" si="1"/>
        <v>1.6485534139119018E-3</v>
      </c>
      <c r="F26" s="173" t="s">
        <v>603</v>
      </c>
      <c r="G26" s="178" t="str">
        <f t="shared" si="2"/>
        <v>OK</v>
      </c>
    </row>
    <row r="27" spans="1:7">
      <c r="A27" s="171">
        <v>45471</v>
      </c>
      <c r="B27" s="179">
        <v>61.51</v>
      </c>
      <c r="C27" s="179">
        <v>1245.32</v>
      </c>
      <c r="D27" s="181">
        <f t="shared" si="0"/>
        <v>-9.5008051529791304E-3</v>
      </c>
      <c r="E27" s="181">
        <f t="shared" si="1"/>
        <v>-2.8626698491443281E-2</v>
      </c>
      <c r="F27" s="173" t="s">
        <v>603</v>
      </c>
      <c r="G27" s="178" t="str">
        <f t="shared" si="2"/>
        <v>OK</v>
      </c>
    </row>
    <row r="28" spans="1:7">
      <c r="A28" s="171">
        <v>45478</v>
      </c>
      <c r="B28" s="179">
        <v>64.67</v>
      </c>
      <c r="C28" s="179">
        <v>1283.04</v>
      </c>
      <c r="D28" s="181">
        <f t="shared" si="0"/>
        <v>5.1373760364168408E-2</v>
      </c>
      <c r="E28" s="181">
        <f t="shared" si="1"/>
        <v>3.0289403526804426E-2</v>
      </c>
      <c r="F28" s="173" t="s">
        <v>603</v>
      </c>
      <c r="G28" s="178" t="str">
        <f t="shared" si="2"/>
        <v>OK</v>
      </c>
    </row>
    <row r="29" spans="1:7">
      <c r="A29" s="171">
        <v>45485</v>
      </c>
      <c r="B29" s="179">
        <v>63.88</v>
      </c>
      <c r="C29" s="179">
        <v>1280.75</v>
      </c>
      <c r="D29" s="181">
        <f t="shared" si="0"/>
        <v>-1.2215865161589567E-2</v>
      </c>
      <c r="E29" s="181">
        <f t="shared" si="1"/>
        <v>-1.7848235440828253E-3</v>
      </c>
      <c r="F29" s="173" t="s">
        <v>603</v>
      </c>
      <c r="G29" s="178" t="str">
        <f t="shared" si="2"/>
        <v>OK</v>
      </c>
    </row>
    <row r="30" spans="1:7">
      <c r="A30" s="171">
        <v>45492</v>
      </c>
      <c r="B30" s="179">
        <v>64.67</v>
      </c>
      <c r="C30" s="179">
        <v>1264.78</v>
      </c>
      <c r="D30" s="181">
        <f t="shared" si="0"/>
        <v>1.2366938008766315E-2</v>
      </c>
      <c r="E30" s="181">
        <f t="shared" si="1"/>
        <v>-1.2469256295139619E-2</v>
      </c>
      <c r="F30" s="173" t="s">
        <v>603</v>
      </c>
      <c r="G30" s="178" t="str">
        <f t="shared" si="2"/>
        <v>OK</v>
      </c>
    </row>
    <row r="31" spans="1:7">
      <c r="A31" s="171">
        <v>45499</v>
      </c>
      <c r="B31" s="179">
        <v>60.13</v>
      </c>
      <c r="C31" s="179">
        <v>1242.1099999999999</v>
      </c>
      <c r="D31" s="181">
        <f t="shared" si="0"/>
        <v>-7.0202566877995976E-2</v>
      </c>
      <c r="E31" s="181">
        <f t="shared" si="1"/>
        <v>-1.7924065845443482E-2</v>
      </c>
      <c r="F31" s="173" t="s">
        <v>603</v>
      </c>
      <c r="G31" s="178" t="str">
        <f t="shared" si="2"/>
        <v>OK</v>
      </c>
    </row>
    <row r="32" spans="1:7">
      <c r="A32" s="171">
        <v>45506</v>
      </c>
      <c r="B32" s="179">
        <v>62.01</v>
      </c>
      <c r="C32" s="179">
        <v>1236.5999999999999</v>
      </c>
      <c r="D32" s="181">
        <f t="shared" si="0"/>
        <v>3.126559121902539E-2</v>
      </c>
      <c r="E32" s="181">
        <f t="shared" si="1"/>
        <v>-4.4360000322032356E-3</v>
      </c>
      <c r="F32" s="173" t="s">
        <v>603</v>
      </c>
      <c r="G32" s="178" t="str">
        <f t="shared" si="2"/>
        <v>OK</v>
      </c>
    </row>
    <row r="33" spans="1:7">
      <c r="A33" s="171">
        <v>45513</v>
      </c>
      <c r="B33" s="179">
        <v>64.67</v>
      </c>
      <c r="C33" s="179">
        <v>1223.6400000000001</v>
      </c>
      <c r="D33" s="181">
        <f t="shared" si="0"/>
        <v>4.2896307047250559E-2</v>
      </c>
      <c r="E33" s="181">
        <f t="shared" si="1"/>
        <v>-1.0480349344977991E-2</v>
      </c>
      <c r="F33" s="173" t="s">
        <v>603</v>
      </c>
      <c r="G33" s="178" t="str">
        <f t="shared" si="2"/>
        <v>OK</v>
      </c>
    </row>
    <row r="34" spans="1:7">
      <c r="A34" s="171">
        <v>45520</v>
      </c>
      <c r="B34" s="179">
        <v>68.02</v>
      </c>
      <c r="C34" s="179">
        <v>1252.23</v>
      </c>
      <c r="D34" s="181">
        <f t="shared" si="0"/>
        <v>5.1801453533322883E-2</v>
      </c>
      <c r="E34" s="181">
        <f t="shared" si="1"/>
        <v>2.3364715112287771E-2</v>
      </c>
      <c r="F34" s="173" t="s">
        <v>603</v>
      </c>
      <c r="G34" s="178" t="str">
        <f t="shared" si="2"/>
        <v>OK</v>
      </c>
    </row>
    <row r="35" spans="1:7">
      <c r="A35" s="171">
        <v>45527</v>
      </c>
      <c r="B35" s="179">
        <v>69.010000000000005</v>
      </c>
      <c r="C35" s="179">
        <v>1285.32</v>
      </c>
      <c r="D35" s="181">
        <f t="shared" si="0"/>
        <v>1.4554542781535007E-2</v>
      </c>
      <c r="E35" s="181">
        <f t="shared" si="1"/>
        <v>2.6424858053232914E-2</v>
      </c>
      <c r="F35" s="173" t="s">
        <v>603</v>
      </c>
      <c r="G35" s="178" t="str">
        <f t="shared" si="2"/>
        <v>OK</v>
      </c>
    </row>
    <row r="36" spans="1:7">
      <c r="A36" s="171">
        <v>45534</v>
      </c>
      <c r="B36" s="179">
        <v>68.81</v>
      </c>
      <c r="C36" s="179">
        <v>1283.8699999999999</v>
      </c>
      <c r="D36" s="181">
        <f t="shared" si="0"/>
        <v>-2.8981307056948902E-3</v>
      </c>
      <c r="E36" s="181">
        <f t="shared" si="1"/>
        <v>-1.128123735723463E-3</v>
      </c>
      <c r="F36" s="173" t="s">
        <v>603</v>
      </c>
      <c r="G36" s="178" t="str">
        <f t="shared" si="2"/>
        <v>OK</v>
      </c>
    </row>
    <row r="37" spans="1:7">
      <c r="A37" s="171">
        <v>45541</v>
      </c>
      <c r="B37" s="179">
        <v>67.03</v>
      </c>
      <c r="C37" s="179">
        <v>1273.96</v>
      </c>
      <c r="D37" s="181">
        <f t="shared" si="0"/>
        <v>-2.5868333091120466E-2</v>
      </c>
      <c r="E37" s="181">
        <f t="shared" si="1"/>
        <v>-7.7188500393340354E-3</v>
      </c>
      <c r="F37" s="173" t="s">
        <v>603</v>
      </c>
      <c r="G37" s="178" t="str">
        <f t="shared" si="2"/>
        <v>OK</v>
      </c>
    </row>
    <row r="38" spans="1:7">
      <c r="A38" s="171">
        <v>45548</v>
      </c>
      <c r="B38" s="179">
        <v>66.25</v>
      </c>
      <c r="C38" s="179">
        <v>1251.71</v>
      </c>
      <c r="D38" s="181">
        <f t="shared" si="0"/>
        <v>-1.1636580635536298E-2</v>
      </c>
      <c r="E38" s="181">
        <f t="shared" si="1"/>
        <v>-1.7465226537724865E-2</v>
      </c>
      <c r="F38" s="173" t="s">
        <v>603</v>
      </c>
      <c r="G38" s="178" t="str">
        <f t="shared" si="2"/>
        <v>OK</v>
      </c>
    </row>
    <row r="39" spans="1:7">
      <c r="A39" s="171">
        <v>45555</v>
      </c>
      <c r="B39" s="179">
        <v>67.03</v>
      </c>
      <c r="C39" s="179">
        <v>1272.04</v>
      </c>
      <c r="D39" s="181">
        <f t="shared" si="0"/>
        <v>1.1773584905660384E-2</v>
      </c>
      <c r="E39" s="181">
        <f t="shared" si="1"/>
        <v>1.6241781243259146E-2</v>
      </c>
      <c r="F39" s="173" t="s">
        <v>603</v>
      </c>
      <c r="G39" s="178" t="str">
        <f t="shared" si="2"/>
        <v>OK</v>
      </c>
    </row>
    <row r="40" spans="1:7">
      <c r="A40" s="171">
        <v>45562</v>
      </c>
      <c r="B40" s="179">
        <v>66.540000000000006</v>
      </c>
      <c r="C40" s="179">
        <v>1290.92</v>
      </c>
      <c r="D40" s="181">
        <f t="shared" si="0"/>
        <v>-7.3101596300163552E-3</v>
      </c>
      <c r="E40" s="181">
        <f t="shared" si="1"/>
        <v>1.4842300556586308E-2</v>
      </c>
      <c r="F40" s="173" t="s">
        <v>603</v>
      </c>
      <c r="G40" s="178" t="str">
        <f t="shared" si="2"/>
        <v>OK</v>
      </c>
    </row>
    <row r="41" spans="1:7">
      <c r="A41" s="171">
        <v>45569</v>
      </c>
      <c r="B41" s="179">
        <v>65.459999999999994</v>
      </c>
      <c r="C41" s="179">
        <v>1270.5999999999999</v>
      </c>
      <c r="D41" s="181">
        <f t="shared" si="0"/>
        <v>-1.6230838593327523E-2</v>
      </c>
      <c r="E41" s="181">
        <f t="shared" si="1"/>
        <v>-1.5740712050320793E-2</v>
      </c>
      <c r="F41" s="173" t="s">
        <v>603</v>
      </c>
      <c r="G41" s="178" t="str">
        <f t="shared" si="2"/>
        <v>OK</v>
      </c>
    </row>
    <row r="42" spans="1:7">
      <c r="A42" s="171">
        <v>45576</v>
      </c>
      <c r="B42" s="179">
        <v>63.58</v>
      </c>
      <c r="C42" s="179">
        <v>1288.3900000000001</v>
      </c>
      <c r="D42" s="181">
        <f t="shared" si="0"/>
        <v>-2.8719828903146838E-2</v>
      </c>
      <c r="E42" s="181">
        <f t="shared" si="1"/>
        <v>1.4001259247599762E-2</v>
      </c>
      <c r="F42" s="173" t="s">
        <v>603</v>
      </c>
      <c r="G42" s="178" t="str">
        <f t="shared" si="2"/>
        <v>OK</v>
      </c>
    </row>
    <row r="43" spans="1:7">
      <c r="A43" s="171">
        <v>45583</v>
      </c>
      <c r="B43" s="179">
        <v>64.77</v>
      </c>
      <c r="C43" s="179">
        <v>1285.46</v>
      </c>
      <c r="D43" s="181">
        <f t="shared" si="0"/>
        <v>1.8716577540107027E-2</v>
      </c>
      <c r="E43" s="181">
        <f t="shared" si="1"/>
        <v>-2.2741561173247327E-3</v>
      </c>
      <c r="F43" s="173" t="s">
        <v>603</v>
      </c>
      <c r="G43" s="178" t="str">
        <f t="shared" si="2"/>
        <v>OK</v>
      </c>
    </row>
    <row r="44" spans="1:7">
      <c r="A44" s="171">
        <v>45590</v>
      </c>
      <c r="B44" s="179">
        <v>64.569999999999993</v>
      </c>
      <c r="C44" s="179">
        <v>1252.72</v>
      </c>
      <c r="D44" s="181">
        <f t="shared" si="0"/>
        <v>-3.0878493129535833E-3</v>
      </c>
      <c r="E44" s="181">
        <f t="shared" si="1"/>
        <v>-2.5469481741944522E-2</v>
      </c>
      <c r="F44" s="173" t="s">
        <v>603</v>
      </c>
      <c r="G44" s="178" t="str">
        <f t="shared" si="2"/>
        <v>OK</v>
      </c>
    </row>
    <row r="45" spans="1:7">
      <c r="A45" s="171">
        <v>45597</v>
      </c>
      <c r="B45" s="179">
        <v>65.06</v>
      </c>
      <c r="C45" s="179">
        <v>1254.8900000000001</v>
      </c>
      <c r="D45" s="181">
        <f t="shared" si="0"/>
        <v>7.5886634660060626E-3</v>
      </c>
      <c r="E45" s="181">
        <f t="shared" si="1"/>
        <v>1.7322306660707554E-3</v>
      </c>
      <c r="F45" s="173" t="s">
        <v>603</v>
      </c>
      <c r="G45" s="178" t="str">
        <f t="shared" si="2"/>
        <v>OK</v>
      </c>
    </row>
    <row r="46" spans="1:7">
      <c r="A46" s="171">
        <v>45604</v>
      </c>
      <c r="B46" s="179">
        <v>64.08</v>
      </c>
      <c r="C46" s="179">
        <v>1252.56</v>
      </c>
      <c r="D46" s="181">
        <f t="shared" si="0"/>
        <v>-1.5063018751921398E-2</v>
      </c>
      <c r="E46" s="181">
        <f t="shared" si="1"/>
        <v>-1.8567364470193359E-3</v>
      </c>
      <c r="F46" s="173" t="s">
        <v>603</v>
      </c>
      <c r="G46" s="178" t="str">
        <f t="shared" si="2"/>
        <v>OK</v>
      </c>
    </row>
    <row r="47" spans="1:7">
      <c r="A47" s="171">
        <v>45611</v>
      </c>
      <c r="B47" s="179">
        <v>59.05</v>
      </c>
      <c r="C47" s="179">
        <v>1218.57</v>
      </c>
      <c r="D47" s="181">
        <f t="shared" si="0"/>
        <v>-7.849563046192265E-2</v>
      </c>
      <c r="E47" s="181">
        <f t="shared" si="1"/>
        <v>-2.7136424602414277E-2</v>
      </c>
      <c r="F47" s="173" t="s">
        <v>603</v>
      </c>
      <c r="G47" s="178" t="str">
        <f t="shared" si="2"/>
        <v>OK</v>
      </c>
    </row>
    <row r="48" spans="1:7">
      <c r="A48" s="171">
        <v>45618</v>
      </c>
      <c r="B48" s="179">
        <v>58.16</v>
      </c>
      <c r="C48" s="179">
        <v>1228.0999999999999</v>
      </c>
      <c r="D48" s="181">
        <f t="shared" si="0"/>
        <v>-1.5071972904318387E-2</v>
      </c>
      <c r="E48" s="181">
        <f t="shared" si="1"/>
        <v>7.8206422281854593E-3</v>
      </c>
      <c r="F48" s="173" t="s">
        <v>603</v>
      </c>
      <c r="G48" s="178" t="str">
        <f t="shared" si="2"/>
        <v>OK</v>
      </c>
    </row>
    <row r="49" spans="1:7">
      <c r="A49" s="171">
        <v>45625</v>
      </c>
      <c r="B49" s="179">
        <v>59.64</v>
      </c>
      <c r="C49" s="179">
        <v>1250.46</v>
      </c>
      <c r="D49" s="181">
        <f t="shared" si="0"/>
        <v>2.5447042640990514E-2</v>
      </c>
      <c r="E49" s="181">
        <f t="shared" si="1"/>
        <v>1.8206986401758884E-2</v>
      </c>
      <c r="F49" s="173" t="s">
        <v>603</v>
      </c>
      <c r="G49" s="178" t="str">
        <f t="shared" si="2"/>
        <v>OK</v>
      </c>
    </row>
    <row r="50" spans="1:7">
      <c r="A50" s="171">
        <v>45632</v>
      </c>
      <c r="B50" s="179">
        <v>60.23</v>
      </c>
      <c r="C50" s="179">
        <v>1270.1400000000001</v>
      </c>
      <c r="D50" s="181">
        <f t="shared" si="0"/>
        <v>9.8926894701540924E-3</v>
      </c>
      <c r="E50" s="181">
        <f t="shared" si="1"/>
        <v>1.573820833933115E-2</v>
      </c>
      <c r="F50" s="173" t="s">
        <v>603</v>
      </c>
      <c r="G50" s="178" t="str">
        <f t="shared" si="2"/>
        <v>OK</v>
      </c>
    </row>
    <row r="51" spans="1:7">
      <c r="A51" s="171">
        <v>45639</v>
      </c>
      <c r="B51" s="179">
        <v>60.13</v>
      </c>
      <c r="C51" s="179">
        <v>1262.57</v>
      </c>
      <c r="D51" s="181">
        <f t="shared" si="0"/>
        <v>-1.660302174995798E-3</v>
      </c>
      <c r="E51" s="181">
        <f t="shared" si="1"/>
        <v>-5.9599729163715143E-3</v>
      </c>
      <c r="F51" s="173" t="s">
        <v>603</v>
      </c>
      <c r="G51" s="178" t="str">
        <f t="shared" si="2"/>
        <v>OK</v>
      </c>
    </row>
    <row r="52" spans="1:7">
      <c r="A52" s="171">
        <v>45646</v>
      </c>
      <c r="B52" s="179">
        <v>59.74</v>
      </c>
      <c r="C52" s="179">
        <v>1257.5</v>
      </c>
      <c r="D52" s="181">
        <f t="shared" si="0"/>
        <v>-6.4859471145850556E-3</v>
      </c>
      <c r="E52" s="181">
        <f t="shared" si="1"/>
        <v>-4.0156189359797922E-3</v>
      </c>
      <c r="F52" s="173" t="s">
        <v>603</v>
      </c>
      <c r="G52" s="178" t="str">
        <f t="shared" si="2"/>
        <v>OK</v>
      </c>
    </row>
    <row r="53" spans="1:7">
      <c r="A53" s="171">
        <v>45653</v>
      </c>
      <c r="B53" s="179">
        <v>60.53</v>
      </c>
      <c r="C53" s="179">
        <v>1275.1400000000001</v>
      </c>
      <c r="D53" s="181">
        <f t="shared" si="0"/>
        <v>1.3223970539002261E-2</v>
      </c>
      <c r="E53" s="181">
        <f t="shared" si="1"/>
        <v>1.4027833001988066E-2</v>
      </c>
      <c r="F53" s="173" t="s">
        <v>603</v>
      </c>
      <c r="G53" s="178" t="str">
        <f t="shared" si="2"/>
        <v>OK</v>
      </c>
    </row>
    <row r="54" spans="1:7">
      <c r="A54" s="171">
        <v>45660</v>
      </c>
      <c r="B54" s="179">
        <v>57.77</v>
      </c>
      <c r="C54" s="179">
        <v>1254.5899999999999</v>
      </c>
      <c r="D54" s="181">
        <f t="shared" si="0"/>
        <v>-4.5597224516768509E-2</v>
      </c>
      <c r="E54" s="181">
        <f t="shared" si="1"/>
        <v>-1.6115877472277718E-2</v>
      </c>
      <c r="F54" s="173" t="s">
        <v>603</v>
      </c>
      <c r="G54" s="178" t="str">
        <f t="shared" si="2"/>
        <v>OK</v>
      </c>
    </row>
    <row r="55" spans="1:7">
      <c r="A55" s="171">
        <v>45667</v>
      </c>
      <c r="B55" s="179">
        <v>56.68</v>
      </c>
      <c r="C55" s="179">
        <v>1230.48</v>
      </c>
      <c r="D55" s="181">
        <f t="shared" ref="D55:D86" si="3">IFERROR(B55/B54-1,"")</f>
        <v>-1.8867924528301994E-2</v>
      </c>
      <c r="E55" s="181">
        <f t="shared" ref="E55:E86" si="4">IFERROR(C55/C54-1,"")</f>
        <v>-1.921743358387995E-2</v>
      </c>
      <c r="F55" s="173" t="s">
        <v>603</v>
      </c>
      <c r="G55" s="178" t="str">
        <f t="shared" ref="G55:G86" si="5">IF(AND(ISNUMBER(D55),ISNUMBER(E55)),"OK","CHECK")</f>
        <v>OK</v>
      </c>
    </row>
    <row r="56" spans="1:7">
      <c r="A56" s="171">
        <v>45674</v>
      </c>
      <c r="B56" s="179">
        <v>56.88</v>
      </c>
      <c r="C56" s="179">
        <v>1249.1099999999999</v>
      </c>
      <c r="D56" s="181">
        <f t="shared" si="3"/>
        <v>3.5285815102328311E-3</v>
      </c>
      <c r="E56" s="181">
        <f t="shared" si="4"/>
        <v>1.5140433001755271E-2</v>
      </c>
      <c r="F56" s="173" t="s">
        <v>603</v>
      </c>
      <c r="G56" s="178" t="str">
        <f t="shared" si="5"/>
        <v>OK</v>
      </c>
    </row>
    <row r="57" spans="1:7">
      <c r="A57" s="171">
        <v>45681</v>
      </c>
      <c r="B57" s="179">
        <v>59.25</v>
      </c>
      <c r="C57" s="179">
        <v>1265.05</v>
      </c>
      <c r="D57" s="181">
        <f t="shared" si="3"/>
        <v>4.1666666666666519E-2</v>
      </c>
      <c r="E57" s="181">
        <f t="shared" si="4"/>
        <v>1.2761085893155943E-2</v>
      </c>
      <c r="F57" s="173" t="s">
        <v>603</v>
      </c>
      <c r="G57" s="178" t="str">
        <f t="shared" si="5"/>
        <v>OK</v>
      </c>
    </row>
    <row r="58" spans="1:7">
      <c r="A58" s="171">
        <v>45695</v>
      </c>
      <c r="B58" s="179">
        <v>58.06</v>
      </c>
      <c r="C58" s="179">
        <v>1275.2</v>
      </c>
      <c r="D58" s="181">
        <f t="shared" si="3"/>
        <v>-2.0084388185653945E-2</v>
      </c>
      <c r="E58" s="181">
        <f t="shared" si="4"/>
        <v>8.0233982846529273E-3</v>
      </c>
      <c r="F58" s="173" t="s">
        <v>603</v>
      </c>
      <c r="G58" s="178" t="str">
        <f t="shared" si="5"/>
        <v>OK</v>
      </c>
    </row>
    <row r="59" spans="1:7">
      <c r="A59" s="171">
        <v>45702</v>
      </c>
      <c r="B59" s="179">
        <v>54.42</v>
      </c>
      <c r="C59" s="179">
        <v>1276.08</v>
      </c>
      <c r="D59" s="181">
        <f t="shared" si="3"/>
        <v>-6.2693765070616636E-2</v>
      </c>
      <c r="E59" s="181">
        <f t="shared" si="4"/>
        <v>6.900878293600865E-4</v>
      </c>
      <c r="F59" s="173" t="s">
        <v>603</v>
      </c>
      <c r="G59" s="178" t="str">
        <f t="shared" si="5"/>
        <v>OK</v>
      </c>
    </row>
    <row r="60" spans="1:7">
      <c r="A60" s="171">
        <v>45709</v>
      </c>
      <c r="B60" s="179">
        <v>57.27</v>
      </c>
      <c r="C60" s="179">
        <v>1296.75</v>
      </c>
      <c r="D60" s="181">
        <f t="shared" si="3"/>
        <v>5.2370452039691262E-2</v>
      </c>
      <c r="E60" s="181">
        <f t="shared" si="4"/>
        <v>1.6198044009779977E-2</v>
      </c>
      <c r="F60" s="173" t="s">
        <v>603</v>
      </c>
      <c r="G60" s="178" t="str">
        <f t="shared" si="5"/>
        <v>OK</v>
      </c>
    </row>
    <row r="61" spans="1:7">
      <c r="A61" s="171">
        <v>45716</v>
      </c>
      <c r="B61" s="179">
        <v>57.47</v>
      </c>
      <c r="C61" s="179">
        <v>1305.3599999999999</v>
      </c>
      <c r="D61" s="181">
        <f t="shared" si="3"/>
        <v>3.4922297887201026E-3</v>
      </c>
      <c r="E61" s="181">
        <f t="shared" si="4"/>
        <v>6.6396761133602489E-3</v>
      </c>
      <c r="F61" s="173" t="s">
        <v>603</v>
      </c>
      <c r="G61" s="178" t="str">
        <f t="shared" si="5"/>
        <v>OK</v>
      </c>
    </row>
    <row r="62" spans="1:7">
      <c r="A62" s="171">
        <v>45723</v>
      </c>
      <c r="B62" s="179">
        <v>61.02</v>
      </c>
      <c r="C62" s="179">
        <v>1326.05</v>
      </c>
      <c r="D62" s="181">
        <f t="shared" si="3"/>
        <v>6.1771358969897383E-2</v>
      </c>
      <c r="E62" s="181">
        <f t="shared" si="4"/>
        <v>1.5850033707176525E-2</v>
      </c>
      <c r="F62" s="173" t="s">
        <v>603</v>
      </c>
      <c r="G62" s="178" t="str">
        <f t="shared" si="5"/>
        <v>OK</v>
      </c>
    </row>
    <row r="63" spans="1:7">
      <c r="A63" s="171">
        <v>45730</v>
      </c>
      <c r="B63" s="179">
        <v>60.63</v>
      </c>
      <c r="C63" s="179">
        <v>1326.15</v>
      </c>
      <c r="D63" s="181">
        <f t="shared" si="3"/>
        <v>-6.3913470993116617E-3</v>
      </c>
      <c r="E63" s="181">
        <f t="shared" si="4"/>
        <v>7.5411937709768395E-5</v>
      </c>
      <c r="F63" s="173" t="s">
        <v>603</v>
      </c>
      <c r="G63" s="178" t="str">
        <f t="shared" si="5"/>
        <v>OK</v>
      </c>
    </row>
    <row r="64" spans="1:7">
      <c r="A64" s="171">
        <v>45737</v>
      </c>
      <c r="B64" s="179">
        <v>59.44</v>
      </c>
      <c r="C64" s="179">
        <v>1321.88</v>
      </c>
      <c r="D64" s="181">
        <f t="shared" si="3"/>
        <v>-1.9627247237341328E-2</v>
      </c>
      <c r="E64" s="181">
        <f t="shared" si="4"/>
        <v>-3.219846925310077E-3</v>
      </c>
      <c r="F64" s="173" t="s">
        <v>603</v>
      </c>
      <c r="G64" s="178" t="str">
        <f t="shared" si="5"/>
        <v>OK</v>
      </c>
    </row>
    <row r="65" spans="1:7">
      <c r="A65" s="171">
        <v>45744</v>
      </c>
      <c r="B65" s="179">
        <v>58.95</v>
      </c>
      <c r="C65" s="179">
        <v>1317.46</v>
      </c>
      <c r="D65" s="181">
        <f t="shared" si="3"/>
        <v>-8.2436069986540073E-3</v>
      </c>
      <c r="E65" s="181">
        <f t="shared" si="4"/>
        <v>-3.3437225769359369E-3</v>
      </c>
      <c r="F65" s="173" t="s">
        <v>603</v>
      </c>
      <c r="G65" s="178" t="str">
        <f t="shared" si="5"/>
        <v>OK</v>
      </c>
    </row>
    <row r="66" spans="1:7">
      <c r="A66" s="171">
        <v>45751</v>
      </c>
      <c r="B66" s="179">
        <v>52.05</v>
      </c>
      <c r="C66" s="179">
        <v>1210.67</v>
      </c>
      <c r="D66" s="181">
        <f t="shared" si="3"/>
        <v>-0.11704834605597969</v>
      </c>
      <c r="E66" s="181">
        <f t="shared" si="4"/>
        <v>-8.1057489411443195E-2</v>
      </c>
      <c r="F66" s="173" t="s">
        <v>603</v>
      </c>
      <c r="G66" s="178" t="str">
        <f t="shared" si="5"/>
        <v>OK</v>
      </c>
    </row>
    <row r="67" spans="1:7">
      <c r="A67" s="171">
        <v>45758</v>
      </c>
      <c r="B67" s="179">
        <v>52.15</v>
      </c>
      <c r="C67" s="179">
        <v>1222.46</v>
      </c>
      <c r="D67" s="181">
        <f t="shared" si="3"/>
        <v>1.9212295869357465E-3</v>
      </c>
      <c r="E67" s="181">
        <f t="shared" si="4"/>
        <v>9.738409310547036E-3</v>
      </c>
      <c r="F67" s="173" t="s">
        <v>603</v>
      </c>
      <c r="G67" s="178" t="str">
        <f t="shared" si="5"/>
        <v>OK</v>
      </c>
    </row>
    <row r="68" spans="1:7">
      <c r="A68" s="171">
        <v>45765</v>
      </c>
      <c r="B68" s="179">
        <v>55.4</v>
      </c>
      <c r="C68" s="179">
        <v>1219.1199999999999</v>
      </c>
      <c r="D68" s="181">
        <f t="shared" si="3"/>
        <v>6.2320230105465058E-2</v>
      </c>
      <c r="E68" s="181">
        <f t="shared" si="4"/>
        <v>-2.7321957364658811E-3</v>
      </c>
      <c r="F68" s="173" t="s">
        <v>603</v>
      </c>
      <c r="G68" s="178" t="str">
        <f t="shared" si="5"/>
        <v>OK</v>
      </c>
    </row>
    <row r="69" spans="1:7">
      <c r="A69" s="171">
        <v>45772</v>
      </c>
      <c r="B69" s="179">
        <v>59.64</v>
      </c>
      <c r="C69" s="179">
        <v>1229.23</v>
      </c>
      <c r="D69" s="181">
        <f t="shared" si="3"/>
        <v>7.6534296028880844E-2</v>
      </c>
      <c r="E69" s="181">
        <f t="shared" si="4"/>
        <v>8.2928669860227178E-3</v>
      </c>
      <c r="F69" s="173" t="s">
        <v>603</v>
      </c>
      <c r="G69" s="178" t="str">
        <f t="shared" si="5"/>
        <v>OK</v>
      </c>
    </row>
    <row r="70" spans="1:7">
      <c r="A70" s="171">
        <v>45779</v>
      </c>
      <c r="B70" s="179">
        <v>59.94</v>
      </c>
      <c r="C70" s="179">
        <v>1226.3</v>
      </c>
      <c r="D70" s="181">
        <f t="shared" si="3"/>
        <v>5.0301810865189811E-3</v>
      </c>
      <c r="E70" s="181">
        <f t="shared" si="4"/>
        <v>-2.3836059972504042E-3</v>
      </c>
      <c r="F70" s="173" t="s">
        <v>603</v>
      </c>
      <c r="G70" s="178" t="str">
        <f t="shared" si="5"/>
        <v>OK</v>
      </c>
    </row>
    <row r="71" spans="1:7">
      <c r="A71" s="171">
        <v>45786</v>
      </c>
      <c r="B71" s="179">
        <v>59.54</v>
      </c>
      <c r="C71" s="179">
        <v>1267.3</v>
      </c>
      <c r="D71" s="181">
        <f t="shared" si="3"/>
        <v>-6.6733400066733006E-3</v>
      </c>
      <c r="E71" s="181">
        <f t="shared" si="4"/>
        <v>3.3433906874337449E-2</v>
      </c>
      <c r="F71" s="173" t="s">
        <v>603</v>
      </c>
      <c r="G71" s="178" t="str">
        <f t="shared" si="5"/>
        <v>OK</v>
      </c>
    </row>
    <row r="72" spans="1:7">
      <c r="A72" s="171">
        <v>45793</v>
      </c>
      <c r="B72" s="179">
        <v>62.89</v>
      </c>
      <c r="C72" s="179">
        <v>1301.3900000000001</v>
      </c>
      <c r="D72" s="181">
        <f t="shared" si="3"/>
        <v>5.6264696002687353E-2</v>
      </c>
      <c r="E72" s="181">
        <f t="shared" si="4"/>
        <v>2.6899708040716508E-2</v>
      </c>
      <c r="F72" s="173" t="s">
        <v>603</v>
      </c>
      <c r="G72" s="178" t="str">
        <f t="shared" si="5"/>
        <v>OK</v>
      </c>
    </row>
    <row r="73" spans="1:7">
      <c r="A73" s="171">
        <v>45800</v>
      </c>
      <c r="B73" s="179">
        <v>63.29</v>
      </c>
      <c r="C73" s="179">
        <v>1314.46</v>
      </c>
      <c r="D73" s="181">
        <f t="shared" si="3"/>
        <v>6.360311655271067E-3</v>
      </c>
      <c r="E73" s="181">
        <f t="shared" si="4"/>
        <v>1.0043107754016845E-2</v>
      </c>
      <c r="F73" s="173" t="s">
        <v>603</v>
      </c>
      <c r="G73" s="178" t="str">
        <f t="shared" si="5"/>
        <v>OK</v>
      </c>
    </row>
    <row r="74" spans="1:7">
      <c r="A74" s="171">
        <v>45807</v>
      </c>
      <c r="B74" s="179">
        <v>61.22</v>
      </c>
      <c r="C74" s="179">
        <v>1332.6</v>
      </c>
      <c r="D74" s="181">
        <f t="shared" si="3"/>
        <v>-3.2706588718596885E-2</v>
      </c>
      <c r="E74" s="181">
        <f t="shared" si="4"/>
        <v>1.3800343867443665E-2</v>
      </c>
      <c r="F74" s="173" t="s">
        <v>603</v>
      </c>
      <c r="G74" s="178" t="str">
        <f t="shared" si="5"/>
        <v>OK</v>
      </c>
    </row>
    <row r="75" spans="1:7">
      <c r="A75" s="171">
        <v>45814</v>
      </c>
      <c r="B75" s="179">
        <v>59.64</v>
      </c>
      <c r="C75" s="179">
        <v>1329.89</v>
      </c>
      <c r="D75" s="181">
        <f t="shared" si="3"/>
        <v>-2.5808559294348221E-2</v>
      </c>
      <c r="E75" s="181">
        <f t="shared" si="4"/>
        <v>-2.0336184901694754E-3</v>
      </c>
      <c r="F75" s="173" t="s">
        <v>603</v>
      </c>
      <c r="G75" s="178" t="str">
        <f t="shared" si="5"/>
        <v>OK</v>
      </c>
    </row>
    <row r="76" spans="1:7">
      <c r="A76" s="171">
        <v>45821</v>
      </c>
      <c r="B76" s="179">
        <v>62.3</v>
      </c>
      <c r="C76" s="179">
        <v>1315.49</v>
      </c>
      <c r="D76" s="181">
        <f t="shared" si="3"/>
        <v>4.4600938967136017E-2</v>
      </c>
      <c r="E76" s="181">
        <f t="shared" si="4"/>
        <v>-1.0827963215002789E-2</v>
      </c>
      <c r="F76" s="173" t="s">
        <v>603</v>
      </c>
      <c r="G76" s="178" t="str">
        <f t="shared" si="5"/>
        <v>OK</v>
      </c>
    </row>
    <row r="77" spans="1:7">
      <c r="A77" s="171">
        <v>45828</v>
      </c>
      <c r="B77" s="179">
        <v>63.19</v>
      </c>
      <c r="C77" s="179">
        <v>1349.35</v>
      </c>
      <c r="D77" s="181">
        <f t="shared" si="3"/>
        <v>1.4285714285714235E-2</v>
      </c>
      <c r="E77" s="181">
        <f t="shared" si="4"/>
        <v>2.5739458300709117E-2</v>
      </c>
      <c r="F77" s="173" t="s">
        <v>603</v>
      </c>
      <c r="G77" s="178" t="str">
        <f t="shared" si="5"/>
        <v>OK</v>
      </c>
    </row>
    <row r="78" spans="1:7">
      <c r="A78" s="171">
        <v>45835</v>
      </c>
      <c r="B78" s="179">
        <v>64.87</v>
      </c>
      <c r="C78" s="179">
        <v>1371.44</v>
      </c>
      <c r="D78" s="181">
        <f t="shared" si="3"/>
        <v>2.6586485203355048E-2</v>
      </c>
      <c r="E78" s="181">
        <f t="shared" si="4"/>
        <v>1.6370845221773456E-2</v>
      </c>
      <c r="F78" s="173" t="s">
        <v>603</v>
      </c>
      <c r="G78" s="178" t="str">
        <f t="shared" si="5"/>
        <v>OK</v>
      </c>
    </row>
    <row r="79" spans="1:7">
      <c r="A79" s="171">
        <v>45842</v>
      </c>
      <c r="B79" s="179">
        <v>65.36</v>
      </c>
      <c r="C79" s="179">
        <v>1386.97</v>
      </c>
      <c r="D79" s="181">
        <f t="shared" si="3"/>
        <v>7.5535686758130272E-3</v>
      </c>
      <c r="E79" s="181">
        <f t="shared" si="4"/>
        <v>1.1323863967800163E-2</v>
      </c>
      <c r="F79" s="173" t="s">
        <v>603</v>
      </c>
      <c r="G79" s="178" t="str">
        <f t="shared" si="5"/>
        <v>OK</v>
      </c>
    </row>
    <row r="80" spans="1:7">
      <c r="A80" s="171">
        <v>45849</v>
      </c>
      <c r="B80" s="179">
        <v>66.94</v>
      </c>
      <c r="C80" s="179">
        <v>1457.76</v>
      </c>
      <c r="D80" s="181">
        <f t="shared" si="3"/>
        <v>2.4173806609547155E-2</v>
      </c>
      <c r="E80" s="181">
        <f t="shared" si="4"/>
        <v>5.1039315918873562E-2</v>
      </c>
      <c r="F80" s="173" t="s">
        <v>603</v>
      </c>
      <c r="G80" s="178" t="str">
        <f t="shared" si="5"/>
        <v>OK</v>
      </c>
    </row>
    <row r="81" spans="1:7">
      <c r="A81" s="171">
        <v>45856</v>
      </c>
      <c r="B81" s="179">
        <v>69.7</v>
      </c>
      <c r="C81" s="179">
        <v>1497.28</v>
      </c>
      <c r="D81" s="181">
        <f t="shared" si="3"/>
        <v>4.1230953092321609E-2</v>
      </c>
      <c r="E81" s="181">
        <f t="shared" si="4"/>
        <v>2.7110086708374448E-2</v>
      </c>
      <c r="F81" s="173" t="s">
        <v>603</v>
      </c>
      <c r="G81" s="178" t="str">
        <f t="shared" si="5"/>
        <v>OK</v>
      </c>
    </row>
    <row r="82" spans="1:7">
      <c r="A82" s="171">
        <v>45863</v>
      </c>
      <c r="B82" s="179">
        <v>70.099999999999994</v>
      </c>
      <c r="C82" s="179">
        <v>1531.13</v>
      </c>
      <c r="D82" s="181">
        <f t="shared" si="3"/>
        <v>5.7388809182208345E-3</v>
      </c>
      <c r="E82" s="181">
        <f t="shared" si="4"/>
        <v>2.260766189356711E-2</v>
      </c>
      <c r="F82" s="173" t="s">
        <v>603</v>
      </c>
      <c r="G82" s="178" t="str">
        <f t="shared" si="5"/>
        <v>OK</v>
      </c>
    </row>
    <row r="83" spans="1:7">
      <c r="A83" s="171">
        <v>45870</v>
      </c>
      <c r="B83" s="179">
        <v>65.2</v>
      </c>
      <c r="C83" s="179">
        <v>1495.21</v>
      </c>
      <c r="D83" s="181">
        <f t="shared" si="3"/>
        <v>-6.9900142653352204E-2</v>
      </c>
      <c r="E83" s="181">
        <f t="shared" si="4"/>
        <v>-2.3459797665776327E-2</v>
      </c>
      <c r="F83" s="173" t="s">
        <v>603</v>
      </c>
      <c r="G83" s="178" t="str">
        <f t="shared" si="5"/>
        <v>OK</v>
      </c>
    </row>
    <row r="84" spans="1:7">
      <c r="A84" s="171">
        <v>45877</v>
      </c>
      <c r="B84" s="179">
        <v>72</v>
      </c>
      <c r="C84" s="179">
        <v>1584.95</v>
      </c>
      <c r="D84" s="181">
        <f t="shared" si="3"/>
        <v>0.1042944785276072</v>
      </c>
      <c r="E84" s="181">
        <f t="shared" si="4"/>
        <v>6.0018325185090982E-2</v>
      </c>
      <c r="F84" s="173" t="s">
        <v>603</v>
      </c>
      <c r="G84" s="178" t="str">
        <f t="shared" si="5"/>
        <v>OK</v>
      </c>
    </row>
    <row r="85" spans="1:7">
      <c r="A85" s="171">
        <v>45884</v>
      </c>
      <c r="B85" s="179">
        <v>70.5</v>
      </c>
      <c r="C85" s="179">
        <v>1630</v>
      </c>
      <c r="D85" s="181">
        <f t="shared" si="3"/>
        <v>-2.083333333333337E-2</v>
      </c>
      <c r="E85" s="181">
        <f t="shared" si="4"/>
        <v>2.842360957758916E-2</v>
      </c>
      <c r="F85" s="173" t="s">
        <v>603</v>
      </c>
      <c r="G85" s="178" t="str">
        <f t="shared" si="5"/>
        <v>OK</v>
      </c>
    </row>
    <row r="86" spans="1:7">
      <c r="A86" s="171">
        <v>45891</v>
      </c>
      <c r="B86" s="179">
        <v>70.3</v>
      </c>
      <c r="C86" s="179">
        <v>1645.47</v>
      </c>
      <c r="D86" s="181">
        <f t="shared" si="3"/>
        <v>-2.8368794326241176E-3</v>
      </c>
      <c r="E86" s="181">
        <f t="shared" si="4"/>
        <v>9.4907975460123417E-3</v>
      </c>
      <c r="F86" s="173" t="s">
        <v>603</v>
      </c>
      <c r="G86" s="178" t="str">
        <f t="shared" si="5"/>
        <v>OK</v>
      </c>
    </row>
    <row r="87" spans="1:7">
      <c r="A87" s="171">
        <v>45898</v>
      </c>
      <c r="B87" s="179">
        <v>78</v>
      </c>
      <c r="C87" s="179">
        <v>1682.21</v>
      </c>
      <c r="D87" s="181">
        <f t="shared" ref="D87:D118" si="6">IFERROR(B87/B86-1,"")</f>
        <v>0.1095305832147937</v>
      </c>
      <c r="E87" s="181">
        <f t="shared" ref="E87:E118" si="7">IFERROR(C87/C86-1,"")</f>
        <v>2.2327967085391975E-2</v>
      </c>
      <c r="F87" s="173" t="s">
        <v>603</v>
      </c>
      <c r="G87" s="178" t="str">
        <f t="shared" ref="G87:G118" si="8">IF(AND(ISNUMBER(D87),ISNUMBER(E87)),"OK","CHECK")</f>
        <v>OK</v>
      </c>
    </row>
    <row r="88" spans="1:7">
      <c r="A88" s="171">
        <v>45905</v>
      </c>
      <c r="B88" s="179">
        <v>75</v>
      </c>
      <c r="C88" s="179">
        <v>1666.97</v>
      </c>
      <c r="D88" s="181">
        <f t="shared" si="6"/>
        <v>-3.8461538461538436E-2</v>
      </c>
      <c r="E88" s="181">
        <f t="shared" si="7"/>
        <v>-9.0595110004101365E-3</v>
      </c>
      <c r="F88" s="173" t="s">
        <v>603</v>
      </c>
      <c r="G88" s="178" t="str">
        <f t="shared" si="8"/>
        <v>OK</v>
      </c>
    </row>
    <row r="89" spans="1:7">
      <c r="A89" s="171">
        <v>45912</v>
      </c>
      <c r="B89" s="179">
        <v>79</v>
      </c>
      <c r="C89" s="179">
        <v>1667.26</v>
      </c>
      <c r="D89" s="181">
        <f t="shared" si="6"/>
        <v>5.3333333333333233E-2</v>
      </c>
      <c r="E89" s="181">
        <f t="shared" si="7"/>
        <v>1.7396833776239795E-4</v>
      </c>
      <c r="F89" s="173" t="s">
        <v>603</v>
      </c>
      <c r="G89" s="178" t="str">
        <f t="shared" si="8"/>
        <v>OK</v>
      </c>
    </row>
    <row r="90" spans="1:7">
      <c r="A90" s="171">
        <v>45919</v>
      </c>
      <c r="B90" s="179">
        <v>78.599999999999994</v>
      </c>
      <c r="C90" s="179">
        <v>1658.62</v>
      </c>
      <c r="D90" s="181">
        <f t="shared" si="6"/>
        <v>-5.0632911392405333E-3</v>
      </c>
      <c r="E90" s="181">
        <f t="shared" si="7"/>
        <v>-5.1821551527656551E-3</v>
      </c>
      <c r="F90" s="173" t="s">
        <v>603</v>
      </c>
      <c r="G90" s="178" t="str">
        <f t="shared" si="8"/>
        <v>OK</v>
      </c>
    </row>
    <row r="91" spans="1:7">
      <c r="A91" s="171">
        <v>45926</v>
      </c>
      <c r="B91" s="179">
        <v>77.900000000000006</v>
      </c>
      <c r="C91" s="179">
        <v>1660.7</v>
      </c>
      <c r="D91" s="181">
        <f t="shared" si="6"/>
        <v>-8.9058524173026843E-3</v>
      </c>
      <c r="E91" s="181">
        <f t="shared" si="7"/>
        <v>1.2540545754906596E-3</v>
      </c>
      <c r="F91" s="173" t="s">
        <v>603</v>
      </c>
      <c r="G91" s="178" t="str">
        <f t="shared" si="8"/>
        <v>OK</v>
      </c>
    </row>
    <row r="92" spans="1:7">
      <c r="A92" s="171">
        <v>45933</v>
      </c>
      <c r="B92" s="179">
        <v>77</v>
      </c>
      <c r="C92" s="179">
        <v>1645.82</v>
      </c>
      <c r="D92" s="181">
        <f t="shared" si="6"/>
        <v>-1.1553273427471145E-2</v>
      </c>
      <c r="E92" s="181">
        <f t="shared" si="7"/>
        <v>-8.9600770759319381E-3</v>
      </c>
      <c r="F92" s="173" t="s">
        <v>603</v>
      </c>
      <c r="G92" s="178" t="str">
        <f t="shared" si="8"/>
        <v>OK</v>
      </c>
    </row>
    <row r="93" spans="1:7">
      <c r="A93" s="171">
        <v>45940</v>
      </c>
      <c r="B93" s="179">
        <v>82</v>
      </c>
      <c r="C93" s="179">
        <v>1747.55</v>
      </c>
      <c r="D93" s="181">
        <f t="shared" si="6"/>
        <v>6.4935064935064846E-2</v>
      </c>
      <c r="E93" s="181">
        <f t="shared" si="7"/>
        <v>6.1811133659817052E-2</v>
      </c>
      <c r="F93" s="173" t="s">
        <v>603</v>
      </c>
      <c r="G93" s="178" t="str">
        <f t="shared" si="8"/>
        <v>OK</v>
      </c>
    </row>
    <row r="94" spans="1:7">
      <c r="A94" s="171">
        <v>45947</v>
      </c>
      <c r="B94" s="179">
        <v>84.5</v>
      </c>
      <c r="C94" s="179">
        <v>1731.19</v>
      </c>
      <c r="D94" s="181">
        <f t="shared" si="6"/>
        <v>3.0487804878048808E-2</v>
      </c>
      <c r="E94" s="181">
        <f t="shared" si="7"/>
        <v>-9.3616777774597759E-3</v>
      </c>
      <c r="F94" s="173" t="s">
        <v>603</v>
      </c>
      <c r="G94" s="178" t="str">
        <f t="shared" si="8"/>
        <v>OK</v>
      </c>
    </row>
    <row r="95" spans="1:7">
      <c r="A95" s="171">
        <v>45954</v>
      </c>
      <c r="B95" s="179">
        <v>85.7</v>
      </c>
      <c r="C95" s="179">
        <v>1683.18</v>
      </c>
      <c r="D95" s="181">
        <f t="shared" si="6"/>
        <v>1.4201183431952646E-2</v>
      </c>
      <c r="E95" s="181">
        <f t="shared" si="7"/>
        <v>-2.7732369064054185E-2</v>
      </c>
      <c r="F95" s="173" t="s">
        <v>603</v>
      </c>
      <c r="G95" s="178" t="str">
        <f t="shared" si="8"/>
        <v>OK</v>
      </c>
    </row>
    <row r="96" spans="1:7">
      <c r="A96" s="171">
        <v>45961</v>
      </c>
      <c r="B96" s="179">
        <v>82.6</v>
      </c>
      <c r="C96" s="179">
        <v>1639.65</v>
      </c>
      <c r="D96" s="181">
        <f t="shared" si="6"/>
        <v>-3.6172695449241621E-2</v>
      </c>
      <c r="E96" s="181">
        <f t="shared" si="7"/>
        <v>-2.5861761665418981E-2</v>
      </c>
      <c r="F96" s="173" t="s">
        <v>603</v>
      </c>
      <c r="G96" s="178" t="str">
        <f t="shared" si="8"/>
        <v>OK</v>
      </c>
    </row>
    <row r="97" spans="1:7">
      <c r="A97" s="171">
        <v>45968</v>
      </c>
      <c r="B97" s="179">
        <v>76.5</v>
      </c>
      <c r="C97" s="179">
        <v>1599.1</v>
      </c>
      <c r="D97" s="181">
        <f t="shared" si="6"/>
        <v>-7.384987893462458E-2</v>
      </c>
      <c r="E97" s="181">
        <f t="shared" si="7"/>
        <v>-2.4730887689445979E-2</v>
      </c>
      <c r="F97" s="173" t="s">
        <v>603</v>
      </c>
      <c r="G97" s="178" t="str">
        <f t="shared" si="8"/>
        <v>OK</v>
      </c>
    </row>
    <row r="98" spans="1:7">
      <c r="A98" s="171">
        <v>45975</v>
      </c>
      <c r="B98" s="179">
        <v>81.400000000000006</v>
      </c>
      <c r="C98" s="179">
        <v>1635.46</v>
      </c>
      <c r="D98" s="181">
        <f t="shared" si="6"/>
        <v>6.4052287581699341E-2</v>
      </c>
      <c r="E98" s="181">
        <f t="shared" si="7"/>
        <v>2.2737790006879033E-2</v>
      </c>
      <c r="F98" s="173" t="s">
        <v>603</v>
      </c>
      <c r="G98" s="178" t="str">
        <f t="shared" si="8"/>
        <v>OK</v>
      </c>
    </row>
    <row r="99" spans="1:7">
      <c r="A99" s="171">
        <v>45982</v>
      </c>
      <c r="B99" s="179">
        <v>80</v>
      </c>
      <c r="C99" s="179">
        <v>1654.93</v>
      </c>
      <c r="D99" s="181">
        <f t="shared" si="6"/>
        <v>-1.7199017199017286E-2</v>
      </c>
      <c r="E99" s="181">
        <f t="shared" si="7"/>
        <v>1.1904907487801708E-2</v>
      </c>
      <c r="F99" s="173" t="s">
        <v>603</v>
      </c>
      <c r="G99" s="178" t="str">
        <f t="shared" si="8"/>
        <v>OK</v>
      </c>
    </row>
    <row r="100" spans="1:7">
      <c r="A100" s="171">
        <v>45989</v>
      </c>
      <c r="B100" s="179">
        <v>79.900000000000006</v>
      </c>
      <c r="C100" s="179">
        <v>1690.99</v>
      </c>
      <c r="D100" s="181">
        <f t="shared" si="6"/>
        <v>-1.2499999999999734E-3</v>
      </c>
      <c r="E100" s="181">
        <f t="shared" si="7"/>
        <v>2.1789441245249064E-2</v>
      </c>
      <c r="F100" s="173" t="s">
        <v>603</v>
      </c>
      <c r="G100" s="178" t="str">
        <f t="shared" si="8"/>
        <v>OK</v>
      </c>
    </row>
    <row r="101" spans="1:7">
      <c r="A101" s="171">
        <v>45996</v>
      </c>
      <c r="B101" s="179">
        <v>85.1</v>
      </c>
      <c r="C101" s="179">
        <v>1741.32</v>
      </c>
      <c r="D101" s="181">
        <f t="shared" si="6"/>
        <v>6.5081351689611822E-2</v>
      </c>
      <c r="E101" s="181">
        <f t="shared" si="7"/>
        <v>2.9763629589766971E-2</v>
      </c>
      <c r="F101" s="173" t="s">
        <v>603</v>
      </c>
      <c r="G101" s="178" t="str">
        <f t="shared" si="8"/>
        <v>OK</v>
      </c>
    </row>
    <row r="102" spans="1:7">
      <c r="A102" s="171">
        <v>46003</v>
      </c>
      <c r="B102" s="179">
        <v>78.5</v>
      </c>
      <c r="C102" s="179">
        <v>1646.89</v>
      </c>
      <c r="D102" s="181">
        <f t="shared" si="6"/>
        <v>-7.7555816686251444E-2</v>
      </c>
      <c r="E102" s="181">
        <f t="shared" si="7"/>
        <v>-5.4228975719568973E-2</v>
      </c>
      <c r="F102" s="173" t="s">
        <v>603</v>
      </c>
      <c r="G102" s="178" t="str">
        <f t="shared" si="8"/>
        <v>OK</v>
      </c>
    </row>
    <row r="103" spans="1:7">
      <c r="A103" s="171">
        <v>46010</v>
      </c>
      <c r="B103" s="179">
        <v>82.9</v>
      </c>
      <c r="C103" s="179">
        <v>1704.31</v>
      </c>
      <c r="D103" s="181">
        <f t="shared" si="6"/>
        <v>5.6050955414012726E-2</v>
      </c>
      <c r="E103" s="181">
        <f t="shared" si="7"/>
        <v>3.4865716593093454E-2</v>
      </c>
      <c r="F103" s="173" t="s">
        <v>603</v>
      </c>
      <c r="G103" s="178" t="str">
        <f t="shared" si="8"/>
        <v>OK</v>
      </c>
    </row>
    <row r="104" spans="1:7">
      <c r="A104" s="171">
        <v>46017</v>
      </c>
      <c r="B104" s="179">
        <v>87</v>
      </c>
      <c r="C104" s="179">
        <v>1729.8</v>
      </c>
      <c r="D104" s="181">
        <f t="shared" si="6"/>
        <v>4.9457177322074664E-2</v>
      </c>
      <c r="E104" s="181">
        <f t="shared" si="7"/>
        <v>1.4956199282994298E-2</v>
      </c>
      <c r="F104" s="173" t="s">
        <v>603</v>
      </c>
      <c r="G104" s="178" t="str">
        <f t="shared" si="8"/>
        <v>OK</v>
      </c>
    </row>
    <row r="105" spans="1:7">
      <c r="A105" s="171">
        <v>46024</v>
      </c>
      <c r="B105" s="179">
        <v>88.4</v>
      </c>
      <c r="C105" s="179">
        <v>1784.49</v>
      </c>
      <c r="D105" s="181">
        <f t="shared" si="6"/>
        <v>1.6091954022988464E-2</v>
      </c>
      <c r="E105" s="181">
        <f t="shared" si="7"/>
        <v>3.1616371834894297E-2</v>
      </c>
      <c r="F105" s="173" t="s">
        <v>603</v>
      </c>
      <c r="G105" s="178" t="str">
        <f t="shared" si="8"/>
        <v>OK</v>
      </c>
    </row>
    <row r="106" spans="1:7">
      <c r="A106" s="171">
        <v>46031</v>
      </c>
      <c r="B106" s="179">
        <v>86</v>
      </c>
      <c r="C106" s="179">
        <v>1867.9</v>
      </c>
      <c r="D106" s="181">
        <f t="shared" si="6"/>
        <v>-2.714932126696834E-2</v>
      </c>
      <c r="E106" s="181">
        <f t="shared" si="7"/>
        <v>4.6741646072547383E-2</v>
      </c>
      <c r="F106" s="173" t="s">
        <v>603</v>
      </c>
      <c r="G106" s="178" t="str">
        <f t="shared" si="8"/>
        <v>OK</v>
      </c>
    </row>
    <row r="107" spans="1:7">
      <c r="A107" s="171">
        <v>46038</v>
      </c>
      <c r="B107" s="179">
        <v>87</v>
      </c>
      <c r="C107" s="179">
        <v>1879.13</v>
      </c>
      <c r="D107" s="181">
        <f t="shared" si="6"/>
        <v>1.1627906976744207E-2</v>
      </c>
      <c r="E107" s="181">
        <f t="shared" si="7"/>
        <v>6.0120991487766506E-3</v>
      </c>
      <c r="F107" s="173" t="s">
        <v>603</v>
      </c>
      <c r="G107" s="178" t="str">
        <f t="shared" si="8"/>
        <v>OK</v>
      </c>
    </row>
    <row r="108" spans="1:7">
      <c r="A108" s="171">
        <v>46045</v>
      </c>
      <c r="B108" s="179">
        <v>85.8</v>
      </c>
      <c r="C108" s="179">
        <v>1870.79</v>
      </c>
      <c r="D108" s="181">
        <f t="shared" si="6"/>
        <v>-1.379310344827589E-2</v>
      </c>
      <c r="E108" s="181">
        <f t="shared" si="7"/>
        <v>-4.4382240717779631E-3</v>
      </c>
      <c r="F108" s="173" t="s">
        <v>603</v>
      </c>
      <c r="G108" s="178" t="str">
        <f t="shared" si="8"/>
        <v>OK</v>
      </c>
    </row>
    <row r="109" spans="1:7">
      <c r="A109" s="171">
        <v>46052</v>
      </c>
      <c r="B109" s="179">
        <v>92.9</v>
      </c>
      <c r="C109" s="179">
        <v>1829.04</v>
      </c>
      <c r="D109" s="181">
        <f t="shared" si="6"/>
        <v>8.275058275058278E-2</v>
      </c>
      <c r="E109" s="181">
        <f t="shared" si="7"/>
        <v>-2.2316775266064015E-2</v>
      </c>
      <c r="F109" s="173" t="s">
        <v>603</v>
      </c>
      <c r="G109" s="178" t="str">
        <f t="shared" si="8"/>
        <v>OK</v>
      </c>
    </row>
    <row r="110" spans="1:7">
      <c r="A110" s="171">
        <v>46059</v>
      </c>
      <c r="B110" s="179">
        <v>88.4</v>
      </c>
      <c r="C110" s="179">
        <v>1755.49</v>
      </c>
      <c r="D110" s="181">
        <f t="shared" si="6"/>
        <v>-4.8439181916038798E-2</v>
      </c>
      <c r="E110" s="181">
        <f t="shared" si="7"/>
        <v>-4.0212351834842286E-2</v>
      </c>
      <c r="F110" s="173" t="s">
        <v>603</v>
      </c>
      <c r="G110" s="178" t="str">
        <f t="shared" si="8"/>
        <v>OK</v>
      </c>
    </row>
    <row r="111" spans="1:7">
      <c r="A111" s="171">
        <v>46066</v>
      </c>
      <c r="B111" s="179">
        <v>92.8</v>
      </c>
      <c r="C111" s="179">
        <v>1824.09</v>
      </c>
      <c r="D111" s="181">
        <f t="shared" si="6"/>
        <v>4.977375565610842E-2</v>
      </c>
      <c r="E111" s="181">
        <f t="shared" si="7"/>
        <v>3.9077408586776219E-2</v>
      </c>
      <c r="F111" s="173" t="s">
        <v>603</v>
      </c>
      <c r="G111" s="178" t="str">
        <f t="shared" si="8"/>
        <v>OK</v>
      </c>
    </row>
    <row r="112" spans="1:7">
      <c r="A112" s="171">
        <v>46080</v>
      </c>
      <c r="B112" s="179">
        <v>93.1</v>
      </c>
      <c r="C112" s="179">
        <v>1880.33</v>
      </c>
      <c r="D112" s="181">
        <f t="shared" si="6"/>
        <v>3.2327586206897241E-3</v>
      </c>
      <c r="E112" s="181">
        <f t="shared" si="7"/>
        <v>3.083181202681895E-2</v>
      </c>
      <c r="F112" s="173" t="s">
        <v>603</v>
      </c>
      <c r="G112" s="178" t="str">
        <f t="shared" si="8"/>
        <v>OK</v>
      </c>
    </row>
    <row r="113" spans="1:7">
      <c r="A113" s="171">
        <v>46087</v>
      </c>
      <c r="B113" s="179">
        <v>82.7</v>
      </c>
      <c r="C113" s="179">
        <v>1767.84</v>
      </c>
      <c r="D113" s="181">
        <f t="shared" si="6"/>
        <v>-0.11170784103114917</v>
      </c>
      <c r="E113" s="181">
        <f t="shared" si="7"/>
        <v>-5.9824605255460517E-2</v>
      </c>
      <c r="F113" s="173" t="s">
        <v>603</v>
      </c>
      <c r="G113" s="178" t="str">
        <f t="shared" si="8"/>
        <v>OK</v>
      </c>
    </row>
    <row r="114" spans="1:7">
      <c r="A114" s="171">
        <v>46094</v>
      </c>
      <c r="B114" s="179">
        <v>82</v>
      </c>
      <c r="C114" s="179">
        <v>1696.24</v>
      </c>
      <c r="D114" s="181">
        <f t="shared" si="6"/>
        <v>-8.46432889963733E-3</v>
      </c>
      <c r="E114" s="181">
        <f t="shared" si="7"/>
        <v>-4.0501402841886081E-2</v>
      </c>
      <c r="F114" s="173" t="s">
        <v>603</v>
      </c>
      <c r="G114" s="178" t="str">
        <f t="shared" si="8"/>
        <v>OK</v>
      </c>
    </row>
    <row r="115" spans="1:7">
      <c r="A115" s="171">
        <v>46101</v>
      </c>
      <c r="B115" s="179">
        <v>79.7</v>
      </c>
      <c r="C115" s="179">
        <v>1647.81</v>
      </c>
      <c r="D115" s="181">
        <f t="shared" si="6"/>
        <v>-2.8048780487804792E-2</v>
      </c>
      <c r="E115" s="181">
        <f t="shared" si="7"/>
        <v>-2.8551384238079569E-2</v>
      </c>
      <c r="F115" s="173" t="s">
        <v>603</v>
      </c>
      <c r="G115" s="178" t="str">
        <f t="shared" si="8"/>
        <v>OK</v>
      </c>
    </row>
    <row r="116" spans="1:7">
      <c r="A116" s="171">
        <v>46108</v>
      </c>
      <c r="B116" s="179">
        <v>81</v>
      </c>
      <c r="C116" s="179">
        <v>1672.8</v>
      </c>
      <c r="D116" s="181">
        <f t="shared" si="6"/>
        <v>1.6311166875784044E-2</v>
      </c>
      <c r="E116" s="181">
        <f t="shared" si="7"/>
        <v>1.5165583410708727E-2</v>
      </c>
      <c r="F116" s="173" t="s">
        <v>603</v>
      </c>
      <c r="G116" s="178" t="str">
        <f t="shared" si="8"/>
        <v>OK</v>
      </c>
    </row>
    <row r="117" spans="1:7">
      <c r="A117" s="171">
        <v>46115</v>
      </c>
      <c r="B117" s="179">
        <v>79.3</v>
      </c>
      <c r="C117" s="179">
        <v>1684.04</v>
      </c>
      <c r="D117" s="181">
        <f t="shared" si="6"/>
        <v>-2.0987654320987703E-2</v>
      </c>
      <c r="E117" s="181">
        <f t="shared" si="7"/>
        <v>6.7192730750837981E-3</v>
      </c>
      <c r="F117" s="173" t="s">
        <v>603</v>
      </c>
      <c r="G117" s="178" t="str">
        <f t="shared" si="8"/>
        <v>OK</v>
      </c>
    </row>
    <row r="118" spans="1:7">
      <c r="A118" s="171">
        <v>46122</v>
      </c>
      <c r="B118" s="179">
        <v>81.5</v>
      </c>
      <c r="C118" s="179">
        <v>1750</v>
      </c>
      <c r="D118" s="181">
        <f t="shared" si="6"/>
        <v>2.774274905422458E-2</v>
      </c>
      <c r="E118" s="181">
        <f t="shared" si="7"/>
        <v>3.91677157312178E-2</v>
      </c>
      <c r="F118" s="173" t="s">
        <v>603</v>
      </c>
      <c r="G118" s="178" t="str">
        <f t="shared" si="8"/>
        <v>OK</v>
      </c>
    </row>
    <row r="119" spans="1:7">
      <c r="A119" s="171">
        <v>46129</v>
      </c>
      <c r="B119" s="179">
        <v>86.9</v>
      </c>
      <c r="C119" s="179">
        <v>1817.17</v>
      </c>
      <c r="D119" s="181">
        <f t="shared" ref="D119:D129" si="9">IFERROR(B119/B118-1,"")</f>
        <v>6.6257668711656503E-2</v>
      </c>
      <c r="E119" s="181">
        <f t="shared" ref="E119:E129" si="10">IFERROR(C119/C118-1,"")</f>
        <v>3.8382857142857274E-2</v>
      </c>
      <c r="F119" s="173" t="s">
        <v>603</v>
      </c>
      <c r="G119" s="178" t="str">
        <f t="shared" ref="G119:G129" si="11">IF(AND(ISNUMBER(D119),ISNUMBER(E119)),"OK","CHECK")</f>
        <v>OK</v>
      </c>
    </row>
    <row r="120" spans="1:7">
      <c r="A120" s="171">
        <v>46136</v>
      </c>
      <c r="B120" s="179">
        <v>83.5</v>
      </c>
      <c r="C120" s="179">
        <v>1853.29</v>
      </c>
      <c r="D120" s="181">
        <f t="shared" si="9"/>
        <v>-3.9125431530494859E-2</v>
      </c>
      <c r="E120" s="181">
        <f t="shared" si="10"/>
        <v>1.9877061584771871E-2</v>
      </c>
      <c r="F120" s="173" t="s">
        <v>603</v>
      </c>
      <c r="G120" s="178" t="str">
        <f t="shared" si="11"/>
        <v>OK</v>
      </c>
    </row>
    <row r="121" spans="1:7">
      <c r="A121" s="171">
        <v>46143</v>
      </c>
      <c r="B121" s="179">
        <v>84</v>
      </c>
      <c r="C121" s="179">
        <v>1854.1</v>
      </c>
      <c r="D121" s="181">
        <f t="shared" si="9"/>
        <v>5.9880239520957446E-3</v>
      </c>
      <c r="E121" s="181">
        <f t="shared" si="10"/>
        <v>4.370605787544779E-4</v>
      </c>
      <c r="F121" s="173" t="s">
        <v>603</v>
      </c>
      <c r="G121" s="178" t="str">
        <f t="shared" si="11"/>
        <v>OK</v>
      </c>
    </row>
    <row r="122" spans="1:7">
      <c r="A122" s="171">
        <v>46150</v>
      </c>
      <c r="B122" s="179">
        <v>84.6</v>
      </c>
      <c r="C122" s="179">
        <v>1915.37</v>
      </c>
      <c r="D122" s="181">
        <f t="shared" si="9"/>
        <v>7.1428571428571175E-3</v>
      </c>
      <c r="E122" s="181">
        <f t="shared" si="10"/>
        <v>3.3045682541394727E-2</v>
      </c>
      <c r="F122" s="173" t="s">
        <v>603</v>
      </c>
      <c r="G122" s="178" t="str">
        <f t="shared" si="11"/>
        <v>OK</v>
      </c>
    </row>
    <row r="123" spans="1:7">
      <c r="A123" s="171">
        <v>46157</v>
      </c>
      <c r="B123" s="179">
        <v>82</v>
      </c>
      <c r="C123" s="179">
        <v>1921.6</v>
      </c>
      <c r="D123" s="181">
        <f t="shared" si="9"/>
        <v>-3.0732860520094496E-2</v>
      </c>
      <c r="E123" s="181">
        <f t="shared" si="10"/>
        <v>3.2526352610722231E-3</v>
      </c>
      <c r="F123" s="173" t="s">
        <v>603</v>
      </c>
      <c r="G123" s="178" t="str">
        <f t="shared" si="11"/>
        <v>OK</v>
      </c>
    </row>
    <row r="124" spans="1:7">
      <c r="A124" s="171">
        <v>46164</v>
      </c>
      <c r="B124" s="179">
        <v>79.400000000000006</v>
      </c>
      <c r="C124" s="179">
        <v>1877.13</v>
      </c>
      <c r="D124" s="181">
        <f t="shared" si="9"/>
        <v>-3.1707317073170649E-2</v>
      </c>
      <c r="E124" s="181">
        <f t="shared" si="10"/>
        <v>-2.3142173189009019E-2</v>
      </c>
      <c r="F124" s="173" t="s">
        <v>603</v>
      </c>
      <c r="G124" s="178" t="str">
        <f t="shared" si="11"/>
        <v>OK</v>
      </c>
    </row>
    <row r="125" spans="1:7">
      <c r="A125" s="171">
        <v>46171</v>
      </c>
      <c r="B125" s="179">
        <v>76.3</v>
      </c>
      <c r="C125" s="179">
        <v>1863.49</v>
      </c>
      <c r="D125" s="181">
        <f t="shared" si="9"/>
        <v>-3.9042821158690288E-2</v>
      </c>
      <c r="E125" s="181">
        <f t="shared" si="10"/>
        <v>-7.2664120226090256E-3</v>
      </c>
      <c r="F125" s="173" t="s">
        <v>603</v>
      </c>
      <c r="G125" s="178" t="str">
        <f t="shared" si="11"/>
        <v>OK</v>
      </c>
    </row>
    <row r="126" spans="1:7">
      <c r="A126" s="171">
        <v>46178</v>
      </c>
      <c r="B126" s="179">
        <v>78</v>
      </c>
      <c r="C126" s="179">
        <v>1838.9</v>
      </c>
      <c r="D126" s="181">
        <f t="shared" si="9"/>
        <v>2.2280471821756187E-2</v>
      </c>
      <c r="E126" s="181">
        <f t="shared" si="10"/>
        <v>-1.3195670489243305E-2</v>
      </c>
      <c r="F126" s="173" t="s">
        <v>603</v>
      </c>
      <c r="G126" s="178" t="str">
        <f t="shared" si="11"/>
        <v>OK</v>
      </c>
    </row>
    <row r="127" spans="1:7">
      <c r="A127" s="171">
        <v>46185</v>
      </c>
      <c r="B127" s="179">
        <v>76.400000000000006</v>
      </c>
      <c r="C127" s="179">
        <v>1791.65</v>
      </c>
      <c r="D127" s="181">
        <f t="shared" si="9"/>
        <v>-2.051282051282044E-2</v>
      </c>
      <c r="E127" s="181">
        <f t="shared" si="10"/>
        <v>-2.569470879330038E-2</v>
      </c>
      <c r="F127" s="173" t="s">
        <v>603</v>
      </c>
      <c r="G127" s="178" t="str">
        <f t="shared" si="11"/>
        <v>OK</v>
      </c>
    </row>
    <row r="128" spans="1:7">
      <c r="A128" s="171">
        <v>46192</v>
      </c>
      <c r="B128" s="179">
        <v>78</v>
      </c>
      <c r="C128" s="179">
        <v>1824.53</v>
      </c>
      <c r="D128" s="181">
        <f t="shared" si="9"/>
        <v>2.0942408376963373E-2</v>
      </c>
      <c r="E128" s="181">
        <f t="shared" si="10"/>
        <v>1.8351798621382365E-2</v>
      </c>
      <c r="F128" s="173" t="s">
        <v>603</v>
      </c>
      <c r="G128" s="178" t="str">
        <f t="shared" si="11"/>
        <v>OK</v>
      </c>
    </row>
    <row r="129" spans="1:7">
      <c r="A129" s="171">
        <v>46199</v>
      </c>
      <c r="B129" s="179">
        <v>78.5</v>
      </c>
      <c r="C129" s="179">
        <v>1871.91</v>
      </c>
      <c r="D129" s="181">
        <f t="shared" si="9"/>
        <v>6.4102564102563875E-3</v>
      </c>
      <c r="E129" s="181">
        <f t="shared" si="10"/>
        <v>2.5968331570322301E-2</v>
      </c>
      <c r="F129" s="173" t="s">
        <v>603</v>
      </c>
      <c r="G129" s="178" t="str">
        <f t="shared" si="11"/>
        <v>OK</v>
      </c>
    </row>
  </sheetData>
  <mergeCells count="3">
    <mergeCell ref="A20:G20"/>
    <mergeCell ref="A2:G2"/>
    <mergeCell ref="A1:G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49"/>
  <sheetViews>
    <sheetView showGridLines="0" workbookViewId="0">
      <selection sqref="A1:I1"/>
    </sheetView>
  </sheetViews>
  <sheetFormatPr defaultRowHeight="13.8"/>
  <cols>
    <col min="1" max="1" width="18" customWidth="1"/>
    <col min="2" max="2" width="32" customWidth="1"/>
    <col min="3" max="3" width="12" customWidth="1"/>
    <col min="4" max="6" width="14" customWidth="1"/>
    <col min="7" max="7" width="42" customWidth="1"/>
    <col min="8" max="8" width="40" customWidth="1"/>
    <col min="9" max="9" width="64" customWidth="1"/>
  </cols>
  <sheetData>
    <row r="1" spans="1:9" ht="16.649999999999999" customHeight="1">
      <c r="A1" s="473" t="s">
        <v>635</v>
      </c>
      <c r="B1" s="452"/>
      <c r="C1" s="452"/>
      <c r="D1" s="452"/>
      <c r="E1" s="452"/>
      <c r="F1" s="452"/>
      <c r="G1" s="452"/>
      <c r="H1" s="452"/>
      <c r="I1" s="452"/>
    </row>
    <row r="2" spans="1:9" ht="15" customHeight="1">
      <c r="A2" s="476" t="s">
        <v>636</v>
      </c>
      <c r="B2" s="452"/>
      <c r="C2" s="452"/>
      <c r="D2" s="452"/>
      <c r="E2" s="452"/>
      <c r="F2" s="452"/>
      <c r="G2" s="452"/>
      <c r="H2" s="452"/>
      <c r="I2" s="452"/>
    </row>
    <row r="3" spans="1:9">
      <c r="G3" s="61"/>
    </row>
    <row r="4" spans="1:9" ht="15" customHeight="1">
      <c r="A4" s="360" t="s">
        <v>2</v>
      </c>
      <c r="B4" s="360" t="s">
        <v>3</v>
      </c>
      <c r="C4" s="360" t="s">
        <v>4</v>
      </c>
      <c r="D4" s="360" t="s">
        <v>637</v>
      </c>
      <c r="E4" s="360" t="s">
        <v>291</v>
      </c>
      <c r="F4" s="360" t="s">
        <v>638</v>
      </c>
      <c r="G4" s="360" t="s">
        <v>639</v>
      </c>
      <c r="H4" s="360" t="s">
        <v>150</v>
      </c>
      <c r="I4" s="360" t="s">
        <v>640</v>
      </c>
    </row>
    <row r="5" spans="1:9" ht="15" customHeight="1">
      <c r="A5" s="477" t="s">
        <v>641</v>
      </c>
      <c r="B5" s="452"/>
      <c r="C5" s="452"/>
      <c r="D5" s="452"/>
      <c r="E5" s="452"/>
      <c r="F5" s="452"/>
      <c r="G5" s="452"/>
      <c r="H5" s="452"/>
      <c r="I5" s="452"/>
    </row>
    <row r="6" spans="1:9" ht="26.4" customHeight="1">
      <c r="A6" s="132" t="s">
        <v>642</v>
      </c>
      <c r="B6" s="133" t="s">
        <v>643</v>
      </c>
      <c r="C6" s="133" t="s">
        <v>23</v>
      </c>
      <c r="D6" s="157">
        <f>E6-0.005</f>
        <v>0.04</v>
      </c>
      <c r="E6" s="157">
        <v>4.4999999999999998E-2</v>
      </c>
      <c r="F6" s="157">
        <f>E6+0.005</f>
        <v>4.9999999999999996E-2</v>
      </c>
      <c r="G6" s="133" t="s">
        <v>644</v>
      </c>
      <c r="H6" s="133" t="s">
        <v>645</v>
      </c>
      <c r="I6" s="136"/>
    </row>
    <row r="7" spans="1:9" ht="26.4" customHeight="1">
      <c r="A7" s="135" t="s">
        <v>642</v>
      </c>
      <c r="B7" s="136" t="s">
        <v>646</v>
      </c>
      <c r="C7" s="136" t="s">
        <v>23</v>
      </c>
      <c r="D7" s="158">
        <f>E7</f>
        <v>4.2299999999999997E-2</v>
      </c>
      <c r="E7" s="158">
        <v>4.2299999999999997E-2</v>
      </c>
      <c r="F7" s="158">
        <f>E7</f>
        <v>4.2299999999999997E-2</v>
      </c>
      <c r="G7" s="136" t="s">
        <v>647</v>
      </c>
      <c r="H7" s="136" t="s">
        <v>648</v>
      </c>
      <c r="I7" s="136"/>
    </row>
    <row r="8" spans="1:9" ht="26.4" customHeight="1">
      <c r="A8" s="135" t="s">
        <v>642</v>
      </c>
      <c r="B8" s="136" t="s">
        <v>649</v>
      </c>
      <c r="C8" s="136" t="s">
        <v>23</v>
      </c>
      <c r="D8" s="158">
        <f>E8</f>
        <v>3.9E-2</v>
      </c>
      <c r="E8" s="158">
        <v>3.9E-2</v>
      </c>
      <c r="F8" s="158">
        <f>E8</f>
        <v>3.9E-2</v>
      </c>
      <c r="G8" s="136" t="s">
        <v>650</v>
      </c>
      <c r="H8" s="136" t="s">
        <v>651</v>
      </c>
      <c r="I8" s="136"/>
    </row>
    <row r="9" spans="1:9" ht="26.4" customHeight="1">
      <c r="A9" s="135" t="s">
        <v>642</v>
      </c>
      <c r="B9" s="136" t="s">
        <v>652</v>
      </c>
      <c r="C9" s="136" t="s">
        <v>23</v>
      </c>
      <c r="D9" s="158">
        <f>E9-0.005</f>
        <v>7.6299999999999993E-2</v>
      </c>
      <c r="E9" s="158">
        <f>E7+E8</f>
        <v>8.1299999999999997E-2</v>
      </c>
      <c r="F9" s="158">
        <f>E9+0.01</f>
        <v>9.1299999999999992E-2</v>
      </c>
      <c r="G9" s="136" t="s">
        <v>653</v>
      </c>
      <c r="H9" s="136" t="s">
        <v>651</v>
      </c>
      <c r="I9" s="136"/>
    </row>
    <row r="10" spans="1:9" ht="26.4" customHeight="1">
      <c r="A10" s="135" t="s">
        <v>642</v>
      </c>
      <c r="B10" s="136" t="s">
        <v>654</v>
      </c>
      <c r="C10" s="136" t="s">
        <v>226</v>
      </c>
      <c r="D10" s="183">
        <f>E10-0.1</f>
        <v>0.94000000000000006</v>
      </c>
      <c r="E10" s="182">
        <f>'18_Beta_Calculation'!C14</f>
        <v>1.04</v>
      </c>
      <c r="F10" s="183">
        <f>E10+0.1</f>
        <v>1.1400000000000001</v>
      </c>
      <c r="G10" s="136" t="s">
        <v>655</v>
      </c>
      <c r="H10" s="136" t="s">
        <v>656</v>
      </c>
      <c r="I10" s="136"/>
    </row>
    <row r="11" spans="1:9" ht="26.4" customHeight="1">
      <c r="A11" s="135" t="s">
        <v>642</v>
      </c>
      <c r="B11" s="136" t="s">
        <v>657</v>
      </c>
      <c r="C11" s="136" t="s">
        <v>23</v>
      </c>
      <c r="D11" s="161">
        <f>D6+D10*D9</f>
        <v>0.11172199999999999</v>
      </c>
      <c r="E11" s="161">
        <f>E6+E10*E9</f>
        <v>0.129552</v>
      </c>
      <c r="F11" s="161">
        <f>F6+F10*F9</f>
        <v>0.154082</v>
      </c>
      <c r="G11" s="136" t="s">
        <v>658</v>
      </c>
      <c r="H11" s="136" t="s">
        <v>24</v>
      </c>
      <c r="I11" s="136"/>
    </row>
    <row r="12" spans="1:9" ht="15" customHeight="1">
      <c r="A12" s="138" t="s">
        <v>427</v>
      </c>
      <c r="B12" s="139" t="s">
        <v>659</v>
      </c>
      <c r="C12" s="139" t="s">
        <v>329</v>
      </c>
      <c r="D12" s="162" t="str">
        <f>IF(D11&gt;D6,"OK","CHECK")</f>
        <v>OK</v>
      </c>
      <c r="E12" s="162" t="str">
        <f>IF(E11&gt;E6,"OK","CHECK")</f>
        <v>OK</v>
      </c>
      <c r="F12" s="162" t="str">
        <f>IF(F11&gt;F6,"OK","CHECK")</f>
        <v>OK</v>
      </c>
      <c r="G12" s="139" t="s">
        <v>2845</v>
      </c>
      <c r="H12" s="139" t="s">
        <v>24</v>
      </c>
      <c r="I12" s="136"/>
    </row>
    <row r="13" spans="1:9" ht="15" customHeight="1">
      <c r="D13" s="10"/>
      <c r="E13" s="10"/>
      <c r="F13" s="10"/>
      <c r="I13" s="136"/>
    </row>
    <row r="14" spans="1:9" ht="15" customHeight="1">
      <c r="A14" s="477" t="s">
        <v>660</v>
      </c>
      <c r="B14" s="452"/>
      <c r="C14" s="452"/>
      <c r="D14" s="452"/>
      <c r="E14" s="452"/>
      <c r="F14" s="452"/>
      <c r="G14" s="452"/>
      <c r="H14" s="452"/>
      <c r="I14" s="452"/>
    </row>
    <row r="15" spans="1:9" ht="26.4" customHeight="1">
      <c r="A15" s="132" t="s">
        <v>380</v>
      </c>
      <c r="B15" s="133" t="s">
        <v>661</v>
      </c>
      <c r="C15" s="133" t="s">
        <v>23</v>
      </c>
      <c r="D15" s="159">
        <f>E15-0.005</f>
        <v>4.7E-2</v>
      </c>
      <c r="E15" s="159">
        <f>'08_P5_Assumptions'!I12</f>
        <v>5.1999999999999998E-2</v>
      </c>
      <c r="F15" s="159">
        <f>E15+0.005</f>
        <v>5.6999999999999995E-2</v>
      </c>
      <c r="G15" s="133" t="s">
        <v>662</v>
      </c>
      <c r="H15" s="133" t="s">
        <v>663</v>
      </c>
      <c r="I15" s="136"/>
    </row>
    <row r="16" spans="1:9" ht="15" customHeight="1">
      <c r="A16" s="135" t="s">
        <v>372</v>
      </c>
      <c r="B16" s="136" t="s">
        <v>664</v>
      </c>
      <c r="C16" s="136" t="s">
        <v>23</v>
      </c>
      <c r="D16" s="160">
        <f>'08_P5_Assumptions'!I14</f>
        <v>0.2</v>
      </c>
      <c r="E16" s="160">
        <f>'08_P5_Assumptions'!I14</f>
        <v>0.2</v>
      </c>
      <c r="F16" s="160">
        <f>'08_P5_Assumptions'!I14</f>
        <v>0.2</v>
      </c>
      <c r="G16" s="136" t="s">
        <v>665</v>
      </c>
      <c r="H16" s="136" t="s">
        <v>666</v>
      </c>
      <c r="I16" s="136"/>
    </row>
    <row r="17" spans="1:9" ht="26.4" customHeight="1">
      <c r="A17" s="135" t="s">
        <v>380</v>
      </c>
      <c r="B17" s="136" t="s">
        <v>667</v>
      </c>
      <c r="C17" s="136" t="s">
        <v>23</v>
      </c>
      <c r="D17" s="161">
        <f>D15*(1-D16)</f>
        <v>3.7600000000000001E-2</v>
      </c>
      <c r="E17" s="161">
        <f>E15*(1-E16)</f>
        <v>4.1599999999999998E-2</v>
      </c>
      <c r="F17" s="161">
        <f>F15*(1-F16)</f>
        <v>4.5600000000000002E-2</v>
      </c>
      <c r="G17" s="136" t="s">
        <v>668</v>
      </c>
      <c r="H17" s="136" t="s">
        <v>24</v>
      </c>
      <c r="I17" s="136"/>
    </row>
    <row r="18" spans="1:9" ht="26.4" customHeight="1">
      <c r="A18" s="135" t="s">
        <v>669</v>
      </c>
      <c r="B18" s="136" t="s">
        <v>670</v>
      </c>
      <c r="C18" s="136" t="s">
        <v>14</v>
      </c>
      <c r="D18" s="168">
        <f>'100_Raw_Peer_Metrics'!J5</f>
        <v>115271.2470265</v>
      </c>
      <c r="E18" s="168">
        <f>'100_Raw_Peer_Metrics'!J5</f>
        <v>115271.2470265</v>
      </c>
      <c r="F18" s="168">
        <f>'100_Raw_Peer_Metrics'!J5</f>
        <v>115271.2470265</v>
      </c>
      <c r="G18" s="136" t="s">
        <v>671</v>
      </c>
      <c r="H18" s="136" t="s">
        <v>672</v>
      </c>
      <c r="I18" s="136"/>
    </row>
    <row r="19" spans="1:9" ht="26.4" customHeight="1">
      <c r="A19" s="135" t="s">
        <v>669</v>
      </c>
      <c r="B19" s="136" t="s">
        <v>673</v>
      </c>
      <c r="C19" s="136" t="s">
        <v>14</v>
      </c>
      <c r="D19" s="168">
        <f>'100_Raw_Peer_Metrics'!L5</f>
        <v>28100.653169211</v>
      </c>
      <c r="E19" s="168">
        <f>'100_Raw_Peer_Metrics'!L5</f>
        <v>28100.653169211</v>
      </c>
      <c r="F19" s="168">
        <f>'100_Raw_Peer_Metrics'!L5</f>
        <v>28100.653169211</v>
      </c>
      <c r="G19" s="136" t="s">
        <v>674</v>
      </c>
      <c r="H19" s="136" t="s">
        <v>672</v>
      </c>
      <c r="I19" s="136"/>
    </row>
    <row r="20" spans="1:9" ht="15" customHeight="1">
      <c r="A20" s="135" t="s">
        <v>669</v>
      </c>
      <c r="B20" s="136" t="s">
        <v>675</v>
      </c>
      <c r="C20" s="136" t="s">
        <v>14</v>
      </c>
      <c r="D20" s="163">
        <f>D18+D19</f>
        <v>143371.900195711</v>
      </c>
      <c r="E20" s="163">
        <f>E18+E19</f>
        <v>143371.900195711</v>
      </c>
      <c r="F20" s="163">
        <f>F18+F19</f>
        <v>143371.900195711</v>
      </c>
      <c r="G20" s="136" t="s">
        <v>676</v>
      </c>
      <c r="H20" s="136" t="s">
        <v>24</v>
      </c>
      <c r="I20" s="136"/>
    </row>
    <row r="21" spans="1:9" ht="15" customHeight="1">
      <c r="A21" s="135" t="s">
        <v>669</v>
      </c>
      <c r="B21" s="136" t="s">
        <v>677</v>
      </c>
      <c r="C21" s="136" t="s">
        <v>23</v>
      </c>
      <c r="D21" s="161">
        <f>IFERROR(D18/D20,"")</f>
        <v>0.80400166887059477</v>
      </c>
      <c r="E21" s="161">
        <f>IFERROR(E18/E20,"")</f>
        <v>0.80400166887059477</v>
      </c>
      <c r="F21" s="161">
        <f>IFERROR(F18/F20,"")</f>
        <v>0.80400166887059477</v>
      </c>
      <c r="G21" s="136" t="s">
        <v>678</v>
      </c>
      <c r="H21" s="136" t="s">
        <v>24</v>
      </c>
      <c r="I21" s="136"/>
    </row>
    <row r="22" spans="1:9" ht="15" customHeight="1">
      <c r="A22" s="135" t="s">
        <v>669</v>
      </c>
      <c r="B22" s="136" t="s">
        <v>679</v>
      </c>
      <c r="C22" s="136" t="s">
        <v>23</v>
      </c>
      <c r="D22" s="161">
        <f>IFERROR(D19/D20,"")</f>
        <v>0.19599833112940521</v>
      </c>
      <c r="E22" s="161">
        <f>IFERROR(E19/E20,"")</f>
        <v>0.19599833112940521</v>
      </c>
      <c r="F22" s="161">
        <f>IFERROR(F19/F20,"")</f>
        <v>0.19599833112940521</v>
      </c>
      <c r="G22" s="136" t="s">
        <v>680</v>
      </c>
      <c r="H22" s="136" t="s">
        <v>24</v>
      </c>
      <c r="I22" s="136"/>
    </row>
    <row r="23" spans="1:9" ht="26.4" customHeight="1">
      <c r="A23" s="135" t="s">
        <v>681</v>
      </c>
      <c r="B23" s="136" t="s">
        <v>681</v>
      </c>
      <c r="C23" s="136" t="s">
        <v>23</v>
      </c>
      <c r="D23" s="362">
        <f>D11*D21+D17*D22</f>
        <v>9.7194211700026206E-2</v>
      </c>
      <c r="E23" s="362">
        <f>E11*E21+E17*E22</f>
        <v>0.11231355478050656</v>
      </c>
      <c r="F23" s="362">
        <f>F11*F21+F17*F22</f>
        <v>0.13281970904241985</v>
      </c>
      <c r="G23" s="136" t="s">
        <v>682</v>
      </c>
      <c r="H23" s="136" t="s">
        <v>24</v>
      </c>
      <c r="I23" s="136"/>
    </row>
    <row r="24" spans="1:9" ht="26.4" customHeight="1">
      <c r="A24" s="164" t="s">
        <v>681</v>
      </c>
      <c r="B24" s="165" t="s">
        <v>683</v>
      </c>
      <c r="C24" s="165" t="s">
        <v>23</v>
      </c>
      <c r="D24" s="363">
        <f>ROUND(D23,3)</f>
        <v>9.7000000000000003E-2</v>
      </c>
      <c r="E24" s="363">
        <f>ROUND(E23,3)</f>
        <v>0.112</v>
      </c>
      <c r="F24" s="363">
        <f>ROUND(F23,3)</f>
        <v>0.13300000000000001</v>
      </c>
      <c r="G24" s="165" t="s">
        <v>684</v>
      </c>
      <c r="H24" s="165" t="s">
        <v>24</v>
      </c>
      <c r="I24" s="136"/>
    </row>
    <row r="25" spans="1:9" ht="15" customHeight="1"/>
    <row r="26" spans="1:9" ht="15" customHeight="1">
      <c r="A26" s="477" t="s">
        <v>685</v>
      </c>
      <c r="B26" s="452"/>
      <c r="C26" s="452"/>
      <c r="D26" s="452"/>
      <c r="E26" s="452"/>
      <c r="F26" s="452"/>
      <c r="G26" s="452"/>
      <c r="H26" s="452"/>
      <c r="I26" s="452"/>
    </row>
    <row r="27" spans="1:9" ht="15" customHeight="1">
      <c r="A27" s="132" t="s">
        <v>686</v>
      </c>
      <c r="B27" s="133" t="s">
        <v>600</v>
      </c>
      <c r="C27" s="133" t="s">
        <v>601</v>
      </c>
      <c r="D27" s="155"/>
      <c r="E27" s="184" t="str">
        <f>'18_Beta_Calculation'!C5</f>
        <v>MWG</v>
      </c>
      <c r="F27" s="155"/>
      <c r="G27" s="133" t="s">
        <v>687</v>
      </c>
      <c r="H27" s="133" t="s">
        <v>656</v>
      </c>
      <c r="I27" s="136"/>
    </row>
    <row r="28" spans="1:9" ht="15" customHeight="1">
      <c r="A28" s="135" t="s">
        <v>686</v>
      </c>
      <c r="B28" s="136" t="s">
        <v>604</v>
      </c>
      <c r="C28" s="136" t="s">
        <v>601</v>
      </c>
      <c r="D28" s="156"/>
      <c r="E28" s="185" t="str">
        <f>'18_Beta_Calculation'!C6</f>
        <v>VNINDEX</v>
      </c>
      <c r="F28" s="156"/>
      <c r="G28" s="136" t="s">
        <v>688</v>
      </c>
      <c r="H28" s="136" t="s">
        <v>656</v>
      </c>
      <c r="I28" s="136"/>
    </row>
    <row r="29" spans="1:9" ht="26.4" customHeight="1">
      <c r="A29" s="135" t="s">
        <v>686</v>
      </c>
      <c r="B29" s="136" t="s">
        <v>606</v>
      </c>
      <c r="C29" s="136" t="s">
        <v>601</v>
      </c>
      <c r="D29" s="156"/>
      <c r="E29" s="185" t="str">
        <f>'18_Beta_Calculation'!C7</f>
        <v>Weekly Friday close</v>
      </c>
      <c r="F29" s="156"/>
      <c r="G29" s="136" t="s">
        <v>689</v>
      </c>
      <c r="H29" s="136" t="s">
        <v>656</v>
      </c>
      <c r="I29" s="136"/>
    </row>
    <row r="30" spans="1:9" ht="15" customHeight="1">
      <c r="A30" s="135" t="s">
        <v>686</v>
      </c>
      <c r="B30" s="136" t="s">
        <v>614</v>
      </c>
      <c r="C30" s="136" t="s">
        <v>615</v>
      </c>
      <c r="D30" s="156"/>
      <c r="E30" s="186">
        <f>'18_Beta_Calculation'!C11</f>
        <v>45443</v>
      </c>
      <c r="F30" s="156"/>
      <c r="G30" s="136" t="s">
        <v>690</v>
      </c>
      <c r="H30" s="136" t="s">
        <v>656</v>
      </c>
      <c r="I30" s="136"/>
    </row>
    <row r="31" spans="1:9" ht="15" customHeight="1">
      <c r="A31" s="135" t="s">
        <v>686</v>
      </c>
      <c r="B31" s="136" t="s">
        <v>617</v>
      </c>
      <c r="C31" s="136" t="s">
        <v>615</v>
      </c>
      <c r="D31" s="156"/>
      <c r="E31" s="186">
        <f>'18_Beta_Calculation'!C12</f>
        <v>46199</v>
      </c>
      <c r="F31" s="156"/>
      <c r="G31" s="136" t="s">
        <v>691</v>
      </c>
      <c r="H31" s="136" t="s">
        <v>656</v>
      </c>
      <c r="I31" s="136"/>
    </row>
    <row r="32" spans="1:9" ht="15" customHeight="1">
      <c r="A32" s="135" t="s">
        <v>686</v>
      </c>
      <c r="B32" s="136" t="s">
        <v>692</v>
      </c>
      <c r="C32" s="136" t="s">
        <v>358</v>
      </c>
      <c r="D32" s="156"/>
      <c r="E32" s="187">
        <f>'18_Beta_Calculation'!C10</f>
        <v>107</v>
      </c>
      <c r="F32" s="156"/>
      <c r="G32" s="136" t="s">
        <v>693</v>
      </c>
      <c r="H32" s="136" t="s">
        <v>656</v>
      </c>
      <c r="I32" s="136"/>
    </row>
    <row r="33" spans="1:9" ht="15" customHeight="1">
      <c r="A33" s="135" t="s">
        <v>686</v>
      </c>
      <c r="B33" s="136" t="s">
        <v>619</v>
      </c>
      <c r="C33" s="136" t="s">
        <v>226</v>
      </c>
      <c r="D33" s="156"/>
      <c r="E33" s="188">
        <f>'18_Beta_Calculation'!C13</f>
        <v>1.0381347090365216</v>
      </c>
      <c r="F33" s="156"/>
      <c r="G33" s="136" t="s">
        <v>694</v>
      </c>
      <c r="H33" s="136" t="s">
        <v>656</v>
      </c>
      <c r="I33" s="136"/>
    </row>
    <row r="34" spans="1:9" ht="26.4" customHeight="1">
      <c r="A34" s="138" t="s">
        <v>686</v>
      </c>
      <c r="B34" s="139" t="s">
        <v>625</v>
      </c>
      <c r="C34" s="139" t="s">
        <v>23</v>
      </c>
      <c r="D34" s="154"/>
      <c r="E34" s="189">
        <f>'18_Beta_Calculation'!C16</f>
        <v>0.36532425349656122</v>
      </c>
      <c r="F34" s="154"/>
      <c r="G34" s="139" t="s">
        <v>695</v>
      </c>
      <c r="H34" s="139" t="s">
        <v>656</v>
      </c>
      <c r="I34" s="136"/>
    </row>
    <row r="35" spans="1:9">
      <c r="I35" s="136"/>
    </row>
    <row r="36" spans="1:9" ht="15" customHeight="1">
      <c r="A36" s="477" t="s">
        <v>696</v>
      </c>
      <c r="B36" s="452"/>
      <c r="C36" s="452"/>
      <c r="D36" s="452"/>
      <c r="E36" s="452"/>
      <c r="F36" s="452"/>
      <c r="G36" s="452"/>
      <c r="H36" s="452"/>
      <c r="I36" s="452"/>
    </row>
    <row r="37" spans="1:9" ht="26.4" customHeight="1">
      <c r="A37" s="132" t="s">
        <v>150</v>
      </c>
      <c r="B37" s="133" t="s">
        <v>697</v>
      </c>
      <c r="C37" s="133" t="s">
        <v>23</v>
      </c>
      <c r="D37" s="153"/>
      <c r="E37" s="153">
        <v>4.5199999999999997E-2</v>
      </c>
      <c r="F37" s="153"/>
      <c r="G37" s="133" t="s">
        <v>698</v>
      </c>
      <c r="H37" s="169" t="s">
        <v>699</v>
      </c>
      <c r="I37" s="136"/>
    </row>
    <row r="38" spans="1:9" ht="26.4" customHeight="1">
      <c r="A38" s="135" t="s">
        <v>150</v>
      </c>
      <c r="B38" s="136" t="s">
        <v>700</v>
      </c>
      <c r="C38" s="136" t="s">
        <v>23</v>
      </c>
      <c r="D38" s="141"/>
      <c r="E38" s="141"/>
      <c r="F38" s="141"/>
      <c r="G38" s="136" t="s">
        <v>701</v>
      </c>
      <c r="H38" s="170" t="s">
        <v>702</v>
      </c>
      <c r="I38" s="136"/>
    </row>
    <row r="39" spans="1:9" ht="26.4" customHeight="1">
      <c r="A39" s="135" t="s">
        <v>150</v>
      </c>
      <c r="B39" s="136" t="s">
        <v>703</v>
      </c>
      <c r="C39" s="136" t="s">
        <v>23</v>
      </c>
      <c r="D39" s="141"/>
      <c r="E39" s="141">
        <v>4.2299999999999997E-2</v>
      </c>
      <c r="F39" s="141"/>
      <c r="G39" s="136" t="s">
        <v>704</v>
      </c>
      <c r="H39" s="166" t="s">
        <v>705</v>
      </c>
      <c r="I39" s="136"/>
    </row>
    <row r="40" spans="1:9" ht="26.4" customHeight="1">
      <c r="A40" s="135" t="s">
        <v>150</v>
      </c>
      <c r="B40" s="136" t="s">
        <v>706</v>
      </c>
      <c r="C40" s="136" t="s">
        <v>23</v>
      </c>
      <c r="D40" s="141"/>
      <c r="E40" s="141">
        <v>3.9E-2</v>
      </c>
      <c r="F40" s="141"/>
      <c r="G40" s="136" t="s">
        <v>707</v>
      </c>
      <c r="H40" s="166" t="s">
        <v>708</v>
      </c>
      <c r="I40" s="136"/>
    </row>
    <row r="41" spans="1:9" ht="15" customHeight="1">
      <c r="A41" s="135" t="s">
        <v>150</v>
      </c>
      <c r="B41" s="136" t="s">
        <v>709</v>
      </c>
      <c r="C41" s="136" t="s">
        <v>23</v>
      </c>
      <c r="D41" s="141"/>
      <c r="E41" s="141"/>
      <c r="F41" s="141"/>
      <c r="G41" s="136"/>
      <c r="H41" s="166" t="s">
        <v>710</v>
      </c>
      <c r="I41" s="136"/>
    </row>
    <row r="42" spans="1:9" ht="15" customHeight="1">
      <c r="A42" s="138" t="s">
        <v>150</v>
      </c>
      <c r="B42" s="139" t="s">
        <v>711</v>
      </c>
      <c r="C42" s="139" t="s">
        <v>14</v>
      </c>
      <c r="D42" s="154"/>
      <c r="E42" s="154"/>
      <c r="F42" s="154"/>
      <c r="G42" s="139" t="s">
        <v>712</v>
      </c>
      <c r="H42" s="167" t="s">
        <v>713</v>
      </c>
      <c r="I42" s="136"/>
    </row>
    <row r="43" spans="1:9">
      <c r="I43" s="136"/>
    </row>
    <row r="44" spans="1:9" ht="15" customHeight="1">
      <c r="A44" s="477" t="s">
        <v>714</v>
      </c>
      <c r="B44" s="452"/>
      <c r="C44" s="452"/>
      <c r="D44" s="452"/>
      <c r="E44" s="452"/>
      <c r="F44" s="452"/>
      <c r="G44" s="452"/>
      <c r="H44" s="452"/>
      <c r="I44" s="452"/>
    </row>
    <row r="45" spans="1:9" ht="15" customHeight="1">
      <c r="A45" s="364" t="s">
        <v>427</v>
      </c>
      <c r="B45" s="365" t="s">
        <v>715</v>
      </c>
      <c r="C45" s="365" t="s">
        <v>23</v>
      </c>
      <c r="D45" s="366">
        <f>D21+D22</f>
        <v>1</v>
      </c>
      <c r="E45" s="366">
        <f>E21+E22</f>
        <v>1</v>
      </c>
      <c r="F45" s="366">
        <f>F21+F22</f>
        <v>1</v>
      </c>
      <c r="G45" s="365" t="s">
        <v>716</v>
      </c>
      <c r="H45" s="365" t="s">
        <v>24</v>
      </c>
      <c r="I45" s="367" t="s">
        <v>2846</v>
      </c>
    </row>
    <row r="46" spans="1:9" ht="15" customHeight="1">
      <c r="A46" s="368" t="s">
        <v>427</v>
      </c>
      <c r="B46" s="369" t="s">
        <v>717</v>
      </c>
      <c r="C46" s="369" t="s">
        <v>329</v>
      </c>
      <c r="D46" s="369" t="str">
        <f>IF(D23&gt;0,"OK","CHECK")</f>
        <v>OK</v>
      </c>
      <c r="E46" s="369" t="str">
        <f>IF(E23&gt;0,"OK","CHECK")</f>
        <v>OK</v>
      </c>
      <c r="F46" s="369" t="str">
        <f>IF(F23&gt;0,"OK","CHECK")</f>
        <v>OK</v>
      </c>
      <c r="G46" s="369" t="s">
        <v>718</v>
      </c>
      <c r="H46" s="369" t="s">
        <v>24</v>
      </c>
      <c r="I46" s="370" t="s">
        <v>2847</v>
      </c>
    </row>
    <row r="47" spans="1:9" ht="26.4" customHeight="1">
      <c r="A47" s="368" t="s">
        <v>427</v>
      </c>
      <c r="B47" s="369" t="s">
        <v>719</v>
      </c>
      <c r="C47" s="369" t="s">
        <v>329</v>
      </c>
      <c r="D47" s="369" t="str">
        <f>IF(D23&gt;D17,"OK","CHECK")</f>
        <v>OK</v>
      </c>
      <c r="E47" s="369" t="str">
        <f>IF(E23&gt;E17,"OK","CHECK")</f>
        <v>OK</v>
      </c>
      <c r="F47" s="369" t="str">
        <f>IF(F23&gt;F17,"OK","CHECK")</f>
        <v>OK</v>
      </c>
      <c r="G47" s="369" t="s">
        <v>720</v>
      </c>
      <c r="H47" s="369" t="s">
        <v>24</v>
      </c>
      <c r="I47" s="370" t="s">
        <v>2848</v>
      </c>
    </row>
    <row r="48" spans="1:9" ht="15" customHeight="1">
      <c r="A48" s="368" t="s">
        <v>427</v>
      </c>
      <c r="B48" s="369" t="s">
        <v>721</v>
      </c>
      <c r="C48" s="369" t="s">
        <v>329</v>
      </c>
      <c r="D48" s="369" t="str">
        <f>IF(E32&gt;=52,"OK","CHECK")</f>
        <v>OK</v>
      </c>
      <c r="E48" s="369" t="str">
        <f>IF(E32&gt;=52,"OK","CHECK")</f>
        <v>OK</v>
      </c>
      <c r="F48" s="369" t="str">
        <f>IF(E32&gt;=52,"OK","CHECK")</f>
        <v>OK</v>
      </c>
      <c r="G48" s="369" t="s">
        <v>722</v>
      </c>
      <c r="H48" s="369" t="s">
        <v>24</v>
      </c>
      <c r="I48" s="370" t="s">
        <v>2849</v>
      </c>
    </row>
    <row r="49" spans="1:9" ht="15" customHeight="1">
      <c r="A49" s="371" t="s">
        <v>336</v>
      </c>
      <c r="B49" s="372" t="s">
        <v>723</v>
      </c>
      <c r="C49" s="372" t="s">
        <v>329</v>
      </c>
      <c r="D49" s="373" t="str">
        <f>IF(AND(ABS(D45-1)&lt;0.001,ABS(E45-1)&lt;0.001,ABS(F45-1)&lt;0.001,D46="OK",E46="OK",F46="OK",D47="OK",E47="OK",F47="OK",D48="OK",E48="OK",F48="OK"),"OK","CHECK")</f>
        <v>OK</v>
      </c>
      <c r="E49" s="373" t="str">
        <f>D49</f>
        <v>OK</v>
      </c>
      <c r="F49" s="373" t="str">
        <f>D49</f>
        <v>OK</v>
      </c>
      <c r="G49" s="372" t="s">
        <v>724</v>
      </c>
      <c r="H49" s="372" t="s">
        <v>24</v>
      </c>
      <c r="I49" s="374" t="s">
        <v>2850</v>
      </c>
    </row>
  </sheetData>
  <mergeCells count="7">
    <mergeCell ref="A44:I44"/>
    <mergeCell ref="A1:I1"/>
    <mergeCell ref="A26:I26"/>
    <mergeCell ref="A2:I2"/>
    <mergeCell ref="A5:I5"/>
    <mergeCell ref="A36:I36"/>
    <mergeCell ref="A14:I14"/>
  </mergeCells>
  <hyperlinks>
    <hyperlink ref="H37" r:id="rId1" xr:uid="{00000000-0004-0000-0E00-000000000000}"/>
    <hyperlink ref="H38" r:id="rId2" xr:uid="{00000000-0004-0000-0E00-000001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6"/>
  <sheetViews>
    <sheetView showGridLines="0" topLeftCell="A48" zoomScale="85" zoomScaleNormal="85" workbookViewId="0">
      <selection sqref="A1:K1"/>
    </sheetView>
  </sheetViews>
  <sheetFormatPr defaultRowHeight="13.8"/>
  <cols>
    <col min="1" max="1" width="18" customWidth="1"/>
    <col min="2" max="2" width="31" customWidth="1"/>
    <col min="3" max="3" width="16" customWidth="1"/>
    <col min="4" max="8" width="15" customWidth="1"/>
    <col min="9" max="9" width="16" customWidth="1"/>
    <col min="10" max="10" width="28" customWidth="1"/>
    <col min="11" max="11" width="58" customWidth="1"/>
  </cols>
  <sheetData>
    <row r="1" spans="1:11" ht="26.1" customHeight="1">
      <c r="A1" s="483" t="s">
        <v>725</v>
      </c>
      <c r="B1" s="452"/>
      <c r="C1" s="452"/>
      <c r="D1" s="452"/>
      <c r="E1" s="452"/>
      <c r="F1" s="452"/>
      <c r="G1" s="452"/>
      <c r="H1" s="452"/>
      <c r="I1" s="452"/>
      <c r="J1" s="452"/>
      <c r="K1" s="452"/>
    </row>
    <row r="2" spans="1:11" ht="14.4">
      <c r="A2" s="489" t="s">
        <v>726</v>
      </c>
      <c r="B2" s="452"/>
      <c r="C2" s="452"/>
      <c r="D2" s="452"/>
      <c r="E2" s="452"/>
      <c r="F2" s="452"/>
      <c r="G2" s="452"/>
      <c r="H2" s="452"/>
      <c r="I2" s="452"/>
      <c r="J2" s="452"/>
      <c r="K2" s="452"/>
    </row>
    <row r="3" spans="1:11" ht="28.5" customHeight="1">
      <c r="A3" s="1"/>
      <c r="B3" s="1"/>
      <c r="C3" s="1"/>
      <c r="D3" s="1"/>
      <c r="E3" s="1"/>
      <c r="F3" s="1"/>
      <c r="G3" s="197"/>
      <c r="H3" s="1"/>
      <c r="I3" s="1"/>
      <c r="J3" s="1"/>
      <c r="K3" s="1"/>
    </row>
    <row r="4" spans="1:11" ht="21.9" customHeight="1">
      <c r="A4" s="488" t="s">
        <v>727</v>
      </c>
      <c r="B4" s="452"/>
      <c r="C4" s="452"/>
      <c r="D4" s="452"/>
      <c r="E4" s="452"/>
      <c r="F4" s="452"/>
      <c r="G4" s="452"/>
      <c r="H4" s="452"/>
      <c r="I4" s="452"/>
      <c r="J4" s="452"/>
      <c r="K4" s="452"/>
    </row>
    <row r="5" spans="1:11" ht="30" customHeight="1">
      <c r="A5" s="375" t="s">
        <v>2</v>
      </c>
      <c r="B5" s="375" t="s">
        <v>3</v>
      </c>
      <c r="C5" s="375" t="s">
        <v>4</v>
      </c>
      <c r="D5" s="375" t="s">
        <v>637</v>
      </c>
      <c r="E5" s="375" t="s">
        <v>291</v>
      </c>
      <c r="F5" s="375" t="s">
        <v>638</v>
      </c>
      <c r="G5" s="375" t="s">
        <v>639</v>
      </c>
      <c r="H5" s="375" t="s">
        <v>150</v>
      </c>
      <c r="I5" s="375"/>
      <c r="J5" s="375"/>
      <c r="K5" s="375"/>
    </row>
    <row r="6" spans="1:11" ht="28.5" customHeight="1">
      <c r="A6" s="178" t="s">
        <v>728</v>
      </c>
      <c r="B6" s="178" t="s">
        <v>544</v>
      </c>
      <c r="C6" s="178" t="s">
        <v>615</v>
      </c>
      <c r="D6" s="190" t="str">
        <f>'16_Trading_Comps'!$B$4</f>
        <v>2026-06-26</v>
      </c>
      <c r="E6" s="190" t="str">
        <f>'16_Trading_Comps'!$B$4</f>
        <v>2026-06-26</v>
      </c>
      <c r="F6" s="190" t="str">
        <f>'16_Trading_Comps'!$B$4</f>
        <v>2026-06-26</v>
      </c>
      <c r="G6" s="178" t="s">
        <v>398</v>
      </c>
      <c r="H6" s="178" t="s">
        <v>729</v>
      </c>
      <c r="I6" s="178"/>
      <c r="J6" s="178"/>
      <c r="K6" s="178"/>
    </row>
    <row r="7" spans="1:11" ht="28.5" customHeight="1">
      <c r="A7" s="178" t="s">
        <v>728</v>
      </c>
      <c r="B7" s="178" t="s">
        <v>730</v>
      </c>
      <c r="C7" s="178" t="s">
        <v>731</v>
      </c>
      <c r="D7" s="191">
        <f>'16_Trading_Comps'!$E$8</f>
        <v>78500</v>
      </c>
      <c r="E7" s="191">
        <f>'16_Trading_Comps'!$E$8</f>
        <v>78500</v>
      </c>
      <c r="F7" s="191">
        <f>'16_Trading_Comps'!$E$8</f>
        <v>78500</v>
      </c>
      <c r="G7" s="178" t="s">
        <v>398</v>
      </c>
      <c r="H7" s="178" t="s">
        <v>729</v>
      </c>
      <c r="I7" s="178"/>
      <c r="J7" s="178"/>
      <c r="K7" s="178"/>
    </row>
    <row r="8" spans="1:11" ht="28.5" customHeight="1">
      <c r="A8" s="178" t="s">
        <v>728</v>
      </c>
      <c r="B8" s="178" t="s">
        <v>732</v>
      </c>
      <c r="C8" s="178" t="s">
        <v>733</v>
      </c>
      <c r="D8" s="191">
        <f>'16_Trading_Comps'!$F$8</f>
        <v>1468423529</v>
      </c>
      <c r="E8" s="191">
        <f>'16_Trading_Comps'!$F$8</f>
        <v>1468423529</v>
      </c>
      <c r="F8" s="191">
        <f>'16_Trading_Comps'!$F$8</f>
        <v>1468423529</v>
      </c>
      <c r="G8" s="178" t="s">
        <v>398</v>
      </c>
      <c r="H8" s="178" t="s">
        <v>729</v>
      </c>
      <c r="I8" s="178"/>
      <c r="J8" s="178"/>
      <c r="K8" s="178"/>
    </row>
    <row r="9" spans="1:11" ht="28.5" customHeight="1">
      <c r="A9" s="178" t="s">
        <v>734</v>
      </c>
      <c r="B9" s="178" t="s">
        <v>735</v>
      </c>
      <c r="C9" s="178" t="s">
        <v>14</v>
      </c>
      <c r="D9" s="192">
        <f>'16_Trading_Comps'!$J$8</f>
        <v>-18284.153128744998</v>
      </c>
      <c r="E9" s="192">
        <f>'16_Trading_Comps'!$J$8</f>
        <v>-18284.153128744998</v>
      </c>
      <c r="F9" s="192">
        <f>'16_Trading_Comps'!$J$8</f>
        <v>-18284.153128744998</v>
      </c>
      <c r="G9" s="178" t="s">
        <v>736</v>
      </c>
      <c r="H9" s="178" t="s">
        <v>729</v>
      </c>
      <c r="I9" s="178"/>
      <c r="J9" s="178"/>
      <c r="K9" s="178"/>
    </row>
    <row r="10" spans="1:11" ht="28.5" customHeight="1">
      <c r="A10" s="178" t="s">
        <v>734</v>
      </c>
      <c r="B10" s="178" t="s">
        <v>374</v>
      </c>
      <c r="C10" s="178" t="s">
        <v>14</v>
      </c>
      <c r="D10" s="192">
        <f>'13_Balance_Sheet'!$I$25</f>
        <v>632.1648863183425</v>
      </c>
      <c r="E10" s="192">
        <f>'13_Balance_Sheet'!$I$25</f>
        <v>632.1648863183425</v>
      </c>
      <c r="F10" s="192">
        <f>'13_Balance_Sheet'!$I$25</f>
        <v>632.1648863183425</v>
      </c>
      <c r="G10" s="178" t="s">
        <v>737</v>
      </c>
      <c r="H10" s="178" t="s">
        <v>738</v>
      </c>
      <c r="I10" s="178"/>
      <c r="J10" s="178"/>
      <c r="K10" s="178"/>
    </row>
    <row r="11" spans="1:11">
      <c r="A11" s="178" t="s">
        <v>739</v>
      </c>
      <c r="B11" s="178" t="s">
        <v>681</v>
      </c>
      <c r="C11" s="178" t="s">
        <v>23</v>
      </c>
      <c r="D11" s="193">
        <f>'19_WACC'!$D$24</f>
        <v>9.7000000000000003E-2</v>
      </c>
      <c r="E11" s="193">
        <f>'19_WACC'!$E$24</f>
        <v>0.112</v>
      </c>
      <c r="F11" s="193">
        <f>'19_WACC'!$F$24</f>
        <v>0.13300000000000001</v>
      </c>
      <c r="G11" s="178" t="s">
        <v>398</v>
      </c>
      <c r="H11" s="178" t="s">
        <v>740</v>
      </c>
      <c r="I11" s="178"/>
      <c r="J11" s="178"/>
      <c r="K11" s="178"/>
    </row>
    <row r="12" spans="1:11" ht="28.5" customHeight="1">
      <c r="A12" s="178" t="s">
        <v>741</v>
      </c>
      <c r="B12" s="178" t="s">
        <v>742</v>
      </c>
      <c r="C12" s="178" t="s">
        <v>23</v>
      </c>
      <c r="D12" s="194">
        <v>3.5000000000000003E-2</v>
      </c>
      <c r="E12" s="194">
        <v>0.03</v>
      </c>
      <c r="F12" s="194">
        <v>2.5000000000000001E-2</v>
      </c>
      <c r="G12" s="178" t="s">
        <v>743</v>
      </c>
      <c r="H12" s="178" t="s">
        <v>744</v>
      </c>
      <c r="I12" s="178"/>
      <c r="J12" s="178"/>
      <c r="K12" s="178"/>
    </row>
    <row r="13" spans="1:11" ht="29.25" customHeight="1">
      <c r="A13" s="178" t="s">
        <v>745</v>
      </c>
      <c r="B13" s="178" t="s">
        <v>746</v>
      </c>
      <c r="C13" s="178" t="s">
        <v>14</v>
      </c>
      <c r="D13" s="376">
        <f>D52</f>
        <v>191456.5540621359</v>
      </c>
      <c r="E13" s="376">
        <f>E52</f>
        <v>145226.08127844165</v>
      </c>
      <c r="F13" s="376">
        <f>F52</f>
        <v>110200.8435955915</v>
      </c>
      <c r="G13" s="178" t="s">
        <v>747</v>
      </c>
      <c r="H13" s="178" t="s">
        <v>748</v>
      </c>
      <c r="I13" s="178"/>
      <c r="J13" s="178"/>
      <c r="K13" s="178"/>
    </row>
    <row r="14" spans="1:11" ht="29.25" customHeight="1">
      <c r="A14" s="178" t="s">
        <v>745</v>
      </c>
      <c r="B14" s="178" t="s">
        <v>749</v>
      </c>
      <c r="C14" s="178" t="s">
        <v>14</v>
      </c>
      <c r="D14" s="376">
        <f t="shared" ref="D14:F16" si="0">D55</f>
        <v>209108.54230456255</v>
      </c>
      <c r="E14" s="376">
        <f t="shared" si="0"/>
        <v>162878.0695208683</v>
      </c>
      <c r="F14" s="376">
        <f t="shared" si="0"/>
        <v>127852.83183801816</v>
      </c>
      <c r="G14" s="178" t="s">
        <v>750</v>
      </c>
      <c r="H14" s="178" t="s">
        <v>748</v>
      </c>
      <c r="I14" s="178"/>
      <c r="J14" s="178"/>
      <c r="K14" s="178"/>
    </row>
    <row r="15" spans="1:11" ht="29.25" customHeight="1">
      <c r="A15" s="178" t="s">
        <v>745</v>
      </c>
      <c r="B15" s="178" t="s">
        <v>751</v>
      </c>
      <c r="C15" s="178" t="s">
        <v>731</v>
      </c>
      <c r="D15" s="377">
        <f t="shared" si="0"/>
        <v>142403.42665100578</v>
      </c>
      <c r="E15" s="377">
        <f t="shared" si="0"/>
        <v>110920.36207822731</v>
      </c>
      <c r="F15" s="377">
        <f t="shared" si="0"/>
        <v>87068.089902567997</v>
      </c>
      <c r="G15" s="178" t="s">
        <v>752</v>
      </c>
      <c r="H15" s="178" t="s">
        <v>748</v>
      </c>
      <c r="I15" s="178"/>
      <c r="J15" s="178"/>
      <c r="K15" s="178"/>
    </row>
    <row r="16" spans="1:11" ht="29.25" customHeight="1">
      <c r="A16" s="178" t="s">
        <v>745</v>
      </c>
      <c r="B16" s="178" t="s">
        <v>753</v>
      </c>
      <c r="C16" s="178" t="s">
        <v>23</v>
      </c>
      <c r="D16" s="378">
        <f t="shared" si="0"/>
        <v>0.8140563904586724</v>
      </c>
      <c r="E16" s="378">
        <f t="shared" si="0"/>
        <v>0.41299824303474275</v>
      </c>
      <c r="F16" s="378">
        <f t="shared" si="0"/>
        <v>0.10914764207092986</v>
      </c>
      <c r="G16" s="178" t="s">
        <v>754</v>
      </c>
      <c r="H16" s="178" t="s">
        <v>748</v>
      </c>
      <c r="I16" s="178"/>
      <c r="J16" s="178"/>
      <c r="K16" s="178"/>
    </row>
    <row r="17" spans="1:11">
      <c r="A17" s="172"/>
      <c r="B17" s="172"/>
      <c r="C17" s="172"/>
      <c r="D17" s="172"/>
      <c r="E17" s="172"/>
      <c r="F17" s="172"/>
      <c r="G17" s="172"/>
      <c r="H17" s="172"/>
      <c r="I17" s="172"/>
      <c r="J17" s="172"/>
      <c r="K17" s="172"/>
    </row>
    <row r="18" spans="1:11">
      <c r="A18" s="172"/>
      <c r="B18" s="172"/>
      <c r="C18" s="172"/>
      <c r="D18" s="172"/>
      <c r="E18" s="172"/>
      <c r="F18" s="172"/>
      <c r="G18" s="172"/>
      <c r="H18" s="172"/>
      <c r="I18" s="172"/>
      <c r="J18" s="172"/>
      <c r="K18" s="172"/>
    </row>
    <row r="19" spans="1:11" ht="21.9" customHeight="1">
      <c r="A19" s="484" t="s">
        <v>755</v>
      </c>
      <c r="B19" s="485"/>
      <c r="C19" s="485"/>
      <c r="D19" s="485"/>
      <c r="E19" s="485"/>
      <c r="F19" s="485"/>
      <c r="G19" s="485"/>
      <c r="H19" s="485"/>
      <c r="I19" s="485"/>
      <c r="J19" s="485"/>
      <c r="K19" s="486"/>
    </row>
    <row r="20" spans="1:11" ht="30" customHeight="1">
      <c r="A20" s="375" t="s">
        <v>2</v>
      </c>
      <c r="B20" s="375" t="s">
        <v>3</v>
      </c>
      <c r="C20" s="375" t="s">
        <v>4</v>
      </c>
      <c r="D20" s="375" t="s">
        <v>294</v>
      </c>
      <c r="E20" s="375" t="s">
        <v>295</v>
      </c>
      <c r="F20" s="375" t="s">
        <v>296</v>
      </c>
      <c r="G20" s="375" t="s">
        <v>297</v>
      </c>
      <c r="H20" s="375" t="s">
        <v>298</v>
      </c>
      <c r="I20" s="375" t="s">
        <v>639</v>
      </c>
      <c r="J20" s="375" t="s">
        <v>150</v>
      </c>
      <c r="K20" s="375"/>
    </row>
    <row r="21" spans="1:11">
      <c r="A21" s="178" t="s">
        <v>756</v>
      </c>
      <c r="B21" s="178" t="s">
        <v>17</v>
      </c>
      <c r="C21" s="178" t="s">
        <v>14</v>
      </c>
      <c r="D21" s="192">
        <f>'12_Income_Statement'!I6</f>
        <v>185000</v>
      </c>
      <c r="E21" s="192">
        <f>'12_Income_Statement'!J6</f>
        <v>210702.27006116117</v>
      </c>
      <c r="F21" s="192">
        <f>'12_Income_Statement'!K6</f>
        <v>232016.73569640506</v>
      </c>
      <c r="G21" s="192">
        <f>'12_Income_Statement'!L6</f>
        <v>250797.07281390979</v>
      </c>
      <c r="H21" s="192">
        <f>'12_Income_Statement'!M6</f>
        <v>267230.44217471726</v>
      </c>
      <c r="I21" s="178" t="s">
        <v>398</v>
      </c>
      <c r="J21" s="178" t="s">
        <v>757</v>
      </c>
      <c r="K21" s="178"/>
    </row>
    <row r="22" spans="1:11">
      <c r="A22" s="178" t="s">
        <v>756</v>
      </c>
      <c r="B22" s="178" t="s">
        <v>36</v>
      </c>
      <c r="C22" s="178" t="s">
        <v>14</v>
      </c>
      <c r="D22" s="192">
        <f>'12_Income_Statement'!I15</f>
        <v>10175</v>
      </c>
      <c r="E22" s="192">
        <f>'12_Income_Statement'!J15</f>
        <v>12852.83847373083</v>
      </c>
      <c r="F22" s="192">
        <f>'12_Income_Statement'!K15</f>
        <v>15313.104555962731</v>
      </c>
      <c r="G22" s="192">
        <f>'12_Income_Statement'!L15</f>
        <v>17555.795096973685</v>
      </c>
      <c r="H22" s="192">
        <f>'12_Income_Statement'!M15</f>
        <v>19240.591836579642</v>
      </c>
      <c r="I22" s="178" t="s">
        <v>398</v>
      </c>
      <c r="J22" s="178" t="s">
        <v>757</v>
      </c>
      <c r="K22" s="178"/>
    </row>
    <row r="23" spans="1:11">
      <c r="A23" s="178" t="s">
        <v>372</v>
      </c>
      <c r="B23" s="178" t="s">
        <v>373</v>
      </c>
      <c r="C23" s="178" t="s">
        <v>23</v>
      </c>
      <c r="D23" s="193">
        <f>'08_P5_Assumptions'!I14</f>
        <v>0.2</v>
      </c>
      <c r="E23" s="193">
        <f>'08_P5_Assumptions'!J14</f>
        <v>0.2</v>
      </c>
      <c r="F23" s="193">
        <f>'08_P5_Assumptions'!K14</f>
        <v>0.2</v>
      </c>
      <c r="G23" s="193">
        <f>'08_P5_Assumptions'!L14</f>
        <v>0.2</v>
      </c>
      <c r="H23" s="193">
        <f>'08_P5_Assumptions'!M14</f>
        <v>0.2</v>
      </c>
      <c r="I23" s="178" t="s">
        <v>398</v>
      </c>
      <c r="J23" s="178" t="s">
        <v>710</v>
      </c>
      <c r="K23" s="178"/>
    </row>
    <row r="24" spans="1:11" ht="28.5" customHeight="1">
      <c r="A24" s="178" t="s">
        <v>372</v>
      </c>
      <c r="B24" s="178" t="s">
        <v>758</v>
      </c>
      <c r="C24" s="178" t="s">
        <v>14</v>
      </c>
      <c r="D24" s="195">
        <f>D22*(1-D23)</f>
        <v>8140</v>
      </c>
      <c r="E24" s="195">
        <f>E22*(1-E23)</f>
        <v>10282.270778984665</v>
      </c>
      <c r="F24" s="195">
        <f>F22*(1-F23)</f>
        <v>12250.483644770185</v>
      </c>
      <c r="G24" s="195">
        <f>G22*(1-G23)</f>
        <v>14044.636077578949</v>
      </c>
      <c r="H24" s="195">
        <f>H22*(1-H23)</f>
        <v>15392.473469263714</v>
      </c>
      <c r="I24" s="178" t="s">
        <v>759</v>
      </c>
      <c r="J24" s="178" t="s">
        <v>24</v>
      </c>
      <c r="K24" s="178"/>
    </row>
    <row r="25" spans="1:11">
      <c r="A25" s="178" t="s">
        <v>760</v>
      </c>
      <c r="B25" s="178" t="s">
        <v>104</v>
      </c>
      <c r="C25" s="178" t="s">
        <v>14</v>
      </c>
      <c r="D25" s="192">
        <f>'14_Cash_Flow'!I7</f>
        <v>2127.5</v>
      </c>
      <c r="E25" s="192">
        <f>'14_Cash_Flow'!J7</f>
        <v>2317.7249706727725</v>
      </c>
      <c r="F25" s="192">
        <f>'14_Cash_Flow'!K7</f>
        <v>2436.1757248122531</v>
      </c>
      <c r="G25" s="192">
        <f>'14_Cash_Flow'!L7</f>
        <v>2507.9707281390979</v>
      </c>
      <c r="H25" s="192">
        <f>'14_Cash_Flow'!M7</f>
        <v>2538.6892006598141</v>
      </c>
      <c r="I25" s="178" t="s">
        <v>398</v>
      </c>
      <c r="J25" s="178" t="s">
        <v>761</v>
      </c>
      <c r="K25" s="178"/>
    </row>
    <row r="26" spans="1:11" ht="28.5" customHeight="1">
      <c r="A26" s="178" t="s">
        <v>762</v>
      </c>
      <c r="B26" s="178" t="s">
        <v>112</v>
      </c>
      <c r="C26" s="178" t="s">
        <v>14</v>
      </c>
      <c r="D26" s="192">
        <f>-'14_Cash_Flow'!I10</f>
        <v>2220</v>
      </c>
      <c r="E26" s="192">
        <f>-'14_Cash_Flow'!J10</f>
        <v>2528.427240733934</v>
      </c>
      <c r="F26" s="192">
        <f>-'14_Cash_Flow'!K10</f>
        <v>2552.1840926604555</v>
      </c>
      <c r="G26" s="192">
        <f>-'14_Cash_Flow'!L10</f>
        <v>2507.9707281390979</v>
      </c>
      <c r="H26" s="192">
        <f>-'14_Cash_Flow'!M10</f>
        <v>2672.3044217471725</v>
      </c>
      <c r="I26" s="178" t="s">
        <v>763</v>
      </c>
      <c r="J26" s="178" t="s">
        <v>761</v>
      </c>
      <c r="K26" s="178"/>
    </row>
    <row r="27" spans="1:11" ht="28.5" customHeight="1">
      <c r="A27" s="178" t="s">
        <v>379</v>
      </c>
      <c r="B27" s="178" t="s">
        <v>764</v>
      </c>
      <c r="C27" s="178" t="s">
        <v>14</v>
      </c>
      <c r="D27" s="192">
        <f>'14_Cash_Flow'!I8</f>
        <v>905.3076104109532</v>
      </c>
      <c r="E27" s="192">
        <f>'14_Cash_Flow'!J8</f>
        <v>1945.8468789053331</v>
      </c>
      <c r="F27" s="192">
        <f>'14_Cash_Flow'!K8</f>
        <v>1061.8893795830081</v>
      </c>
      <c r="G27" s="192">
        <f>'14_Cash_Flow'!L8</f>
        <v>1032.5849962096436</v>
      </c>
      <c r="H27" s="192">
        <f>'14_Cash_Flow'!M8</f>
        <v>1316.1024147973185</v>
      </c>
      <c r="I27" s="178" t="s">
        <v>763</v>
      </c>
      <c r="J27" s="178" t="s">
        <v>761</v>
      </c>
      <c r="K27" s="178"/>
    </row>
    <row r="28" spans="1:11" ht="42.75" customHeight="1">
      <c r="A28" s="178" t="s">
        <v>538</v>
      </c>
      <c r="B28" s="178" t="s">
        <v>765</v>
      </c>
      <c r="C28" s="178" t="s">
        <v>14</v>
      </c>
      <c r="D28" s="195">
        <f>D24+D25-D26-D27</f>
        <v>7142.1923895890468</v>
      </c>
      <c r="E28" s="195">
        <f>E24+E25-E26-E27</f>
        <v>8125.7216300181699</v>
      </c>
      <c r="F28" s="195">
        <f>F24+F25-F26-F27</f>
        <v>11072.585897338973</v>
      </c>
      <c r="G28" s="195">
        <f>G24+G25-G26-G27</f>
        <v>13012.051081369304</v>
      </c>
      <c r="H28" s="195">
        <f>H24+H25-H26-H27</f>
        <v>13942.755833379037</v>
      </c>
      <c r="I28" s="178" t="s">
        <v>766</v>
      </c>
      <c r="J28" s="178" t="s">
        <v>24</v>
      </c>
      <c r="K28" s="178"/>
    </row>
    <row r="29" spans="1:11">
      <c r="A29" s="178" t="s">
        <v>538</v>
      </c>
      <c r="B29" s="178" t="s">
        <v>767</v>
      </c>
      <c r="C29" s="178" t="s">
        <v>14</v>
      </c>
      <c r="D29" s="192">
        <f>'14_Cash_Flow'!I20</f>
        <v>7142.1923895890468</v>
      </c>
      <c r="E29" s="192">
        <f>'14_Cash_Flow'!J20</f>
        <v>8125.7216300181699</v>
      </c>
      <c r="F29" s="192">
        <f>'14_Cash_Flow'!K20</f>
        <v>11072.585897338973</v>
      </c>
      <c r="G29" s="192">
        <f>'14_Cash_Flow'!L20</f>
        <v>13012.051081369304</v>
      </c>
      <c r="H29" s="192">
        <f>'14_Cash_Flow'!M20</f>
        <v>13942.755833379037</v>
      </c>
      <c r="I29" s="178" t="s">
        <v>398</v>
      </c>
      <c r="J29" s="178" t="s">
        <v>761</v>
      </c>
      <c r="K29" s="178"/>
    </row>
    <row r="30" spans="1:11" ht="28.5" customHeight="1">
      <c r="A30" s="178" t="s">
        <v>427</v>
      </c>
      <c r="B30" s="178" t="s">
        <v>768</v>
      </c>
      <c r="C30" s="178" t="s">
        <v>14</v>
      </c>
      <c r="D30" s="195">
        <f>D28-D29</f>
        <v>0</v>
      </c>
      <c r="E30" s="195">
        <f>E28-E29</f>
        <v>0</v>
      </c>
      <c r="F30" s="195">
        <f>F28-F29</f>
        <v>0</v>
      </c>
      <c r="G30" s="195">
        <f>G28-G29</f>
        <v>0</v>
      </c>
      <c r="H30" s="195">
        <f>H28-H29</f>
        <v>0</v>
      </c>
      <c r="I30" s="178" t="s">
        <v>769</v>
      </c>
      <c r="J30" s="178" t="s">
        <v>24</v>
      </c>
      <c r="K30" s="178"/>
    </row>
    <row r="31" spans="1:11" ht="28.5" customHeight="1">
      <c r="A31" s="178" t="s">
        <v>538</v>
      </c>
      <c r="B31" s="178" t="s">
        <v>540</v>
      </c>
      <c r="C31" s="178" t="s">
        <v>23</v>
      </c>
      <c r="D31" s="177">
        <f>D29/D21</f>
        <v>3.8606445349129985E-2</v>
      </c>
      <c r="E31" s="177">
        <f>E29/E21</f>
        <v>3.8564945824548988E-2</v>
      </c>
      <c r="F31" s="177">
        <f>F29/F21</f>
        <v>4.7723220758641743E-2</v>
      </c>
      <c r="G31" s="177">
        <f>G29/G21</f>
        <v>5.1882786889718535E-2</v>
      </c>
      <c r="H31" s="177">
        <f>H29/H21</f>
        <v>5.217502811398695E-2</v>
      </c>
      <c r="I31" s="178" t="s">
        <v>770</v>
      </c>
      <c r="J31" s="178" t="s">
        <v>24</v>
      </c>
      <c r="K31" s="178"/>
    </row>
    <row r="32" spans="1:11" ht="28.5" customHeight="1">
      <c r="A32" s="178" t="s">
        <v>640</v>
      </c>
      <c r="B32" s="178" t="s">
        <v>771</v>
      </c>
      <c r="C32" s="178" t="s">
        <v>601</v>
      </c>
      <c r="D32" s="196" t="s">
        <v>772</v>
      </c>
      <c r="E32" s="196" t="s">
        <v>772</v>
      </c>
      <c r="F32" s="196" t="s">
        <v>772</v>
      </c>
      <c r="G32" s="196" t="s">
        <v>772</v>
      </c>
      <c r="H32" s="196" t="s">
        <v>772</v>
      </c>
      <c r="I32" s="178" t="s">
        <v>773</v>
      </c>
      <c r="J32" s="178" t="s">
        <v>774</v>
      </c>
      <c r="K32" s="178"/>
    </row>
    <row r="33" spans="1:11">
      <c r="A33" s="172"/>
      <c r="B33" s="172"/>
      <c r="C33" s="172"/>
      <c r="D33" s="172"/>
      <c r="E33" s="172"/>
      <c r="F33" s="172"/>
      <c r="G33" s="172"/>
      <c r="H33" s="172"/>
      <c r="I33" s="172"/>
      <c r="J33" s="172"/>
      <c r="K33" s="172"/>
    </row>
    <row r="34" spans="1:11">
      <c r="A34" s="172"/>
      <c r="B34" s="172"/>
      <c r="C34" s="172"/>
      <c r="D34" s="172"/>
      <c r="E34" s="172"/>
      <c r="F34" s="172"/>
      <c r="G34" s="172"/>
      <c r="H34" s="172"/>
      <c r="I34" s="172"/>
      <c r="J34" s="172"/>
      <c r="K34" s="172"/>
    </row>
    <row r="35" spans="1:11" ht="21.9" customHeight="1">
      <c r="A35" s="484" t="s">
        <v>775</v>
      </c>
      <c r="B35" s="485"/>
      <c r="C35" s="485"/>
      <c r="D35" s="485"/>
      <c r="E35" s="485"/>
      <c r="F35" s="485"/>
      <c r="G35" s="485"/>
      <c r="H35" s="485"/>
      <c r="I35" s="485"/>
      <c r="J35" s="485"/>
      <c r="K35" s="486"/>
    </row>
    <row r="36" spans="1:11" ht="15" customHeight="1">
      <c r="A36" s="375" t="s">
        <v>2</v>
      </c>
      <c r="B36" s="375" t="s">
        <v>3</v>
      </c>
      <c r="C36" s="375" t="s">
        <v>776</v>
      </c>
      <c r="D36" s="375" t="s">
        <v>294</v>
      </c>
      <c r="E36" s="375" t="s">
        <v>295</v>
      </c>
      <c r="F36" s="375" t="s">
        <v>296</v>
      </c>
      <c r="G36" s="375" t="s">
        <v>297</v>
      </c>
      <c r="H36" s="375" t="s">
        <v>298</v>
      </c>
      <c r="I36" s="375" t="s">
        <v>777</v>
      </c>
      <c r="J36" s="375" t="s">
        <v>24</v>
      </c>
      <c r="K36" s="375" t="s">
        <v>778</v>
      </c>
    </row>
    <row r="37" spans="1:11">
      <c r="A37" s="178" t="s">
        <v>779</v>
      </c>
      <c r="B37" s="178" t="s">
        <v>780</v>
      </c>
      <c r="C37" s="178" t="s">
        <v>781</v>
      </c>
      <c r="D37" s="309">
        <f>0.52</f>
        <v>0.52</v>
      </c>
      <c r="E37" s="309">
        <f>0.52+1</f>
        <v>1.52</v>
      </c>
      <c r="F37" s="309">
        <f>0.52+2</f>
        <v>2.52</v>
      </c>
      <c r="G37" s="309">
        <f>0.52+3</f>
        <v>3.52</v>
      </c>
      <c r="H37" s="309">
        <f>0.52+4</f>
        <v>4.5199999999999996</v>
      </c>
      <c r="I37" s="178"/>
      <c r="J37" s="178" t="s">
        <v>782</v>
      </c>
      <c r="K37" s="178">
        <f>1-'07_Revenue_Drivers'!F8/'07_Revenue_Drivers'!G8</f>
        <v>0.57211351351351358</v>
      </c>
    </row>
    <row r="38" spans="1:11">
      <c r="A38" s="178" t="s">
        <v>783</v>
      </c>
      <c r="B38" s="178" t="s">
        <v>783</v>
      </c>
      <c r="C38" s="178" t="s">
        <v>637</v>
      </c>
      <c r="D38" s="176">
        <f>1/(1+$D$11)^D$37</f>
        <v>0.95299923860622082</v>
      </c>
      <c r="E38" s="176">
        <f>1/(1+$D$11)^E$37</f>
        <v>0.86873221386164168</v>
      </c>
      <c r="F38" s="176">
        <f>1/(1+$D$11)^F$37</f>
        <v>0.79191632986476002</v>
      </c>
      <c r="G38" s="176">
        <f>1/(1+$D$11)^G$37</f>
        <v>0.72189273460780312</v>
      </c>
      <c r="H38" s="176">
        <f>1/(1+$D$11)^H$37</f>
        <v>0.6580608337354632</v>
      </c>
      <c r="I38" s="178"/>
      <c r="J38" s="178" t="s">
        <v>784</v>
      </c>
      <c r="K38" s="178"/>
    </row>
    <row r="39" spans="1:11">
      <c r="A39" s="178" t="s">
        <v>783</v>
      </c>
      <c r="B39" s="178" t="s">
        <v>783</v>
      </c>
      <c r="C39" s="178" t="s">
        <v>291</v>
      </c>
      <c r="D39" s="176">
        <f>1/(1+$E$11)^D$37</f>
        <v>0.94629274534867835</v>
      </c>
      <c r="E39" s="176">
        <f>1/(1+$E$11)^E$37</f>
        <v>0.85098268466607763</v>
      </c>
      <c r="F39" s="176">
        <f>1/(1+$E$11)^F$37</f>
        <v>0.76527219844071726</v>
      </c>
      <c r="G39" s="176">
        <f>1/(1+$E$11)^G$37</f>
        <v>0.68819442305819889</v>
      </c>
      <c r="H39" s="176">
        <f>1/(1+$E$11)^H$37</f>
        <v>0.61887987685089818</v>
      </c>
      <c r="I39" s="178"/>
      <c r="J39" s="178" t="s">
        <v>784</v>
      </c>
      <c r="K39" s="178"/>
    </row>
    <row r="40" spans="1:11">
      <c r="A40" s="178" t="s">
        <v>783</v>
      </c>
      <c r="B40" s="178" t="s">
        <v>783</v>
      </c>
      <c r="C40" s="178" t="s">
        <v>638</v>
      </c>
      <c r="D40" s="176">
        <f>1/(1+$F$11)^D$37</f>
        <v>0.9371313073364077</v>
      </c>
      <c r="E40" s="176">
        <f>1/(1+$F$11)^E$37</f>
        <v>0.82712383701359915</v>
      </c>
      <c r="F40" s="176">
        <f>1/(1+$F$11)^F$37</f>
        <v>0.73002986497228517</v>
      </c>
      <c r="G40" s="176">
        <f>1/(1+$F$11)^G$37</f>
        <v>0.64433350836035752</v>
      </c>
      <c r="H40" s="176">
        <f>1/(1+$F$11)^H$37</f>
        <v>0.5686968299738373</v>
      </c>
      <c r="I40" s="178"/>
      <c r="J40" s="178" t="s">
        <v>784</v>
      </c>
      <c r="K40" s="178"/>
    </row>
    <row r="41" spans="1:11">
      <c r="A41" s="178" t="s">
        <v>785</v>
      </c>
      <c r="B41" s="178" t="s">
        <v>786</v>
      </c>
      <c r="C41" s="178" t="s">
        <v>637</v>
      </c>
      <c r="D41" s="195">
        <f>D$29*D38*K37</f>
        <v>3894.0928662687775</v>
      </c>
      <c r="E41" s="195">
        <f t="shared" ref="E41:H43" si="1">E$29*E38</f>
        <v>7059.0761408691124</v>
      </c>
      <c r="F41" s="195">
        <f t="shared" si="1"/>
        <v>8768.5615859329791</v>
      </c>
      <c r="G41" s="195">
        <f t="shared" si="1"/>
        <v>9393.3051379861081</v>
      </c>
      <c r="H41" s="195">
        <f t="shared" si="1"/>
        <v>9175.1815282834013</v>
      </c>
      <c r="I41" s="195">
        <f>SUM(D41:H41)</f>
        <v>38290.217259340374</v>
      </c>
      <c r="J41" s="178" t="s">
        <v>787</v>
      </c>
      <c r="K41" s="178"/>
    </row>
    <row r="42" spans="1:11">
      <c r="A42" s="178" t="s">
        <v>785</v>
      </c>
      <c r="B42" s="178" t="s">
        <v>786</v>
      </c>
      <c r="C42" s="178" t="s">
        <v>291</v>
      </c>
      <c r="D42" s="195">
        <f>D$29*D39*K37</f>
        <v>3866.6891638376292</v>
      </c>
      <c r="E42" s="195">
        <f t="shared" si="1"/>
        <v>6914.8484075620781</v>
      </c>
      <c r="F42" s="195">
        <f t="shared" si="1"/>
        <v>8473.5421520802774</v>
      </c>
      <c r="G42" s="195">
        <f t="shared" si="1"/>
        <v>8954.8209867467613</v>
      </c>
      <c r="H42" s="195">
        <f t="shared" si="1"/>
        <v>8628.8910131237608</v>
      </c>
      <c r="I42" s="195">
        <f>SUM(D42:H42)</f>
        <v>36838.7917233505</v>
      </c>
      <c r="J42" s="178" t="s">
        <v>787</v>
      </c>
      <c r="K42" s="178"/>
    </row>
    <row r="43" spans="1:11">
      <c r="A43" s="178" t="s">
        <v>785</v>
      </c>
      <c r="B43" s="178" t="s">
        <v>786</v>
      </c>
      <c r="C43" s="178" t="s">
        <v>638</v>
      </c>
      <c r="D43" s="195">
        <f>D$29*D40*K37</f>
        <v>3829.2542017063656</v>
      </c>
      <c r="E43" s="195">
        <f t="shared" si="1"/>
        <v>6720.9780531250262</v>
      </c>
      <c r="F43" s="195">
        <f t="shared" si="1"/>
        <v>8083.3183875283994</v>
      </c>
      <c r="G43" s="195">
        <f t="shared" si="1"/>
        <v>8384.1005242228675</v>
      </c>
      <c r="H43" s="195">
        <f t="shared" si="1"/>
        <v>7929.2010435418861</v>
      </c>
      <c r="I43" s="195">
        <f>SUM(D43:H43)</f>
        <v>34946.852210124547</v>
      </c>
      <c r="J43" s="178" t="s">
        <v>787</v>
      </c>
      <c r="K43" s="178"/>
    </row>
    <row r="44" spans="1:11">
      <c r="A44" s="172"/>
      <c r="B44" s="172"/>
      <c r="C44" s="172"/>
      <c r="D44" s="172"/>
      <c r="E44" s="172"/>
      <c r="F44" s="172"/>
      <c r="G44" s="172"/>
      <c r="H44" s="172"/>
      <c r="I44" s="172"/>
      <c r="J44" s="172"/>
      <c r="K44" s="172"/>
    </row>
    <row r="45" spans="1:11">
      <c r="A45" s="172"/>
      <c r="B45" s="172"/>
      <c r="C45" s="172"/>
      <c r="D45" s="172"/>
      <c r="E45" s="172"/>
      <c r="F45" s="172"/>
      <c r="G45" s="172"/>
      <c r="H45" s="172"/>
      <c r="I45" s="172"/>
      <c r="J45" s="172"/>
      <c r="K45" s="172"/>
    </row>
    <row r="46" spans="1:11" ht="21.9" customHeight="1">
      <c r="A46" s="484" t="s">
        <v>788</v>
      </c>
      <c r="B46" s="485"/>
      <c r="C46" s="485"/>
      <c r="D46" s="485"/>
      <c r="E46" s="485"/>
      <c r="F46" s="485"/>
      <c r="G46" s="485"/>
      <c r="H46" s="485"/>
      <c r="I46" s="485"/>
      <c r="J46" s="485"/>
      <c r="K46" s="486"/>
    </row>
    <row r="47" spans="1:11" ht="30" customHeight="1">
      <c r="A47" s="375" t="s">
        <v>2</v>
      </c>
      <c r="B47" s="375" t="s">
        <v>3</v>
      </c>
      <c r="C47" s="375" t="s">
        <v>4</v>
      </c>
      <c r="D47" s="375" t="s">
        <v>637</v>
      </c>
      <c r="E47" s="375" t="s">
        <v>291</v>
      </c>
      <c r="F47" s="375" t="s">
        <v>638</v>
      </c>
      <c r="G47" s="375" t="s">
        <v>639</v>
      </c>
      <c r="H47" s="375" t="s">
        <v>150</v>
      </c>
      <c r="I47" s="375"/>
      <c r="J47" s="375"/>
      <c r="K47" s="375"/>
    </row>
    <row r="48" spans="1:11" ht="42.75" customHeight="1">
      <c r="A48" s="178" t="s">
        <v>741</v>
      </c>
      <c r="B48" s="178" t="s">
        <v>789</v>
      </c>
      <c r="C48" s="178" t="s">
        <v>14</v>
      </c>
      <c r="D48" s="195">
        <f>$H$29*(1+D$12)</f>
        <v>14430.752287547302</v>
      </c>
      <c r="E48" s="195">
        <f>$H$29*(1+E$12)</f>
        <v>14361.038508380409</v>
      </c>
      <c r="F48" s="195">
        <f>$H$29*(1+F$12)</f>
        <v>14291.324729213511</v>
      </c>
      <c r="G48" s="178" t="s">
        <v>790</v>
      </c>
      <c r="H48" s="178" t="s">
        <v>24</v>
      </c>
      <c r="I48" s="178"/>
      <c r="J48" s="178"/>
      <c r="K48" s="178"/>
    </row>
    <row r="49" spans="1:11" ht="42.75" customHeight="1">
      <c r="A49" s="178" t="s">
        <v>741</v>
      </c>
      <c r="B49" s="178" t="s">
        <v>741</v>
      </c>
      <c r="C49" s="178" t="s">
        <v>14</v>
      </c>
      <c r="D49" s="195">
        <f>D48/(D$11-D$12)</f>
        <v>232754.06915398876</v>
      </c>
      <c r="E49" s="195">
        <f>E48/(E$11-E$12)</f>
        <v>175134.61595585864</v>
      </c>
      <c r="F49" s="195">
        <f>F48/(F$11-F$12)</f>
        <v>132327.08082605101</v>
      </c>
      <c r="G49" s="178" t="s">
        <v>791</v>
      </c>
      <c r="H49" s="178" t="s">
        <v>792</v>
      </c>
      <c r="I49" s="178"/>
      <c r="J49" s="178"/>
      <c r="K49" s="178"/>
    </row>
    <row r="50" spans="1:11" ht="28.5" customHeight="1">
      <c r="A50" s="178" t="s">
        <v>741</v>
      </c>
      <c r="B50" s="178" t="s">
        <v>793</v>
      </c>
      <c r="C50" s="178" t="s">
        <v>14</v>
      </c>
      <c r="D50" s="195">
        <f>D49/(1+D$11)^4.52</f>
        <v>153166.33680279553</v>
      </c>
      <c r="E50" s="195">
        <f>E49/(1+E$11)^4.52</f>
        <v>108387.28955509115</v>
      </c>
      <c r="F50" s="195">
        <f>F49/(1+F$11)^4.52</f>
        <v>75253.991385466958</v>
      </c>
      <c r="G50" s="178" t="s">
        <v>794</v>
      </c>
      <c r="H50" s="178" t="s">
        <v>24</v>
      </c>
      <c r="I50" s="178"/>
      <c r="J50" s="178"/>
      <c r="K50" s="178"/>
    </row>
    <row r="51" spans="1:11" ht="28.5" customHeight="1">
      <c r="A51" s="178" t="s">
        <v>795</v>
      </c>
      <c r="B51" s="178" t="s">
        <v>796</v>
      </c>
      <c r="C51" s="178" t="s">
        <v>14</v>
      </c>
      <c r="D51" s="195">
        <f>$I$41</f>
        <v>38290.217259340374</v>
      </c>
      <c r="E51" s="195">
        <f>$I$42</f>
        <v>36838.7917233505</v>
      </c>
      <c r="F51" s="195">
        <f>$I$43</f>
        <v>34946.852210124547</v>
      </c>
      <c r="G51" s="178" t="s">
        <v>797</v>
      </c>
      <c r="H51" s="178" t="s">
        <v>798</v>
      </c>
      <c r="I51" s="178"/>
      <c r="J51" s="178"/>
      <c r="K51" s="178"/>
    </row>
    <row r="52" spans="1:11" ht="29.25" customHeight="1">
      <c r="A52" s="178" t="s">
        <v>746</v>
      </c>
      <c r="B52" s="178" t="s">
        <v>746</v>
      </c>
      <c r="C52" s="178" t="s">
        <v>14</v>
      </c>
      <c r="D52" s="376">
        <f>D50+D51</f>
        <v>191456.5540621359</v>
      </c>
      <c r="E52" s="376">
        <f>E50+E51</f>
        <v>145226.08127844165</v>
      </c>
      <c r="F52" s="376">
        <f>F50+F51</f>
        <v>110200.8435955915</v>
      </c>
      <c r="G52" s="178" t="s">
        <v>747</v>
      </c>
      <c r="H52" s="178" t="s">
        <v>24</v>
      </c>
      <c r="I52" s="178"/>
      <c r="J52" s="178"/>
      <c r="K52" s="178"/>
    </row>
    <row r="53" spans="1:11" ht="29.25" customHeight="1">
      <c r="A53" s="178" t="s">
        <v>734</v>
      </c>
      <c r="B53" s="178" t="s">
        <v>735</v>
      </c>
      <c r="C53" s="178" t="s">
        <v>14</v>
      </c>
      <c r="D53" s="376">
        <f>D$9</f>
        <v>-18284.153128744998</v>
      </c>
      <c r="E53" s="376">
        <f>E$9</f>
        <v>-18284.153128744998</v>
      </c>
      <c r="F53" s="376">
        <f>F$9</f>
        <v>-18284.153128744998</v>
      </c>
      <c r="G53" s="178" t="s">
        <v>398</v>
      </c>
      <c r="H53" s="178" t="s">
        <v>729</v>
      </c>
      <c r="I53" s="178"/>
      <c r="J53" s="178"/>
      <c r="K53" s="178"/>
    </row>
    <row r="54" spans="1:11" ht="29.25" customHeight="1">
      <c r="A54" s="178" t="s">
        <v>734</v>
      </c>
      <c r="B54" s="178" t="s">
        <v>374</v>
      </c>
      <c r="C54" s="178" t="s">
        <v>14</v>
      </c>
      <c r="D54" s="376">
        <f>D$10</f>
        <v>632.1648863183425</v>
      </c>
      <c r="E54" s="376">
        <f>E$10</f>
        <v>632.1648863183425</v>
      </c>
      <c r="F54" s="376">
        <f>F$10</f>
        <v>632.1648863183425</v>
      </c>
      <c r="G54" s="178" t="s">
        <v>398</v>
      </c>
      <c r="H54" s="178" t="s">
        <v>738</v>
      </c>
      <c r="I54" s="178"/>
      <c r="J54" s="178"/>
      <c r="K54" s="178"/>
    </row>
    <row r="55" spans="1:11" ht="29.25" customHeight="1">
      <c r="A55" s="178" t="s">
        <v>749</v>
      </c>
      <c r="B55" s="178" t="s">
        <v>749</v>
      </c>
      <c r="C55" s="178" t="s">
        <v>14</v>
      </c>
      <c r="D55" s="376">
        <f>D52-D53-D54</f>
        <v>209108.54230456255</v>
      </c>
      <c r="E55" s="376">
        <f>E52-E53-E54</f>
        <v>162878.0695208683</v>
      </c>
      <c r="F55" s="376">
        <f>F52-F53-F54</f>
        <v>127852.83183801816</v>
      </c>
      <c r="G55" s="178" t="s">
        <v>750</v>
      </c>
      <c r="H55" s="178" t="s">
        <v>24</v>
      </c>
      <c r="I55" s="178"/>
      <c r="J55" s="178"/>
      <c r="K55" s="178"/>
    </row>
    <row r="56" spans="1:11" ht="29.25" customHeight="1">
      <c r="A56" s="178" t="s">
        <v>749</v>
      </c>
      <c r="B56" s="178" t="s">
        <v>751</v>
      </c>
      <c r="C56" s="178" t="s">
        <v>731</v>
      </c>
      <c r="D56" s="377">
        <f>D55*1000000000/D$8</f>
        <v>142403.42665100578</v>
      </c>
      <c r="E56" s="377">
        <f>E55*1000000000/E$8</f>
        <v>110920.36207822731</v>
      </c>
      <c r="F56" s="377">
        <f>F55*1000000000/F$8</f>
        <v>87068.089902567997</v>
      </c>
      <c r="G56" s="178" t="s">
        <v>799</v>
      </c>
      <c r="H56" s="178" t="s">
        <v>24</v>
      </c>
      <c r="I56" s="178"/>
      <c r="J56" s="178"/>
      <c r="K56" s="178"/>
    </row>
    <row r="57" spans="1:11" ht="29.25" customHeight="1">
      <c r="A57" s="178" t="s">
        <v>749</v>
      </c>
      <c r="B57" s="178" t="s">
        <v>753</v>
      </c>
      <c r="C57" s="178" t="s">
        <v>23</v>
      </c>
      <c r="D57" s="378">
        <f>D56/D$7-1</f>
        <v>0.8140563904586724</v>
      </c>
      <c r="E57" s="378">
        <f>E56/E$7-1</f>
        <v>0.41299824303474275</v>
      </c>
      <c r="F57" s="378">
        <f>F56/F$7-1</f>
        <v>0.10914764207092986</v>
      </c>
      <c r="G57" s="178" t="s">
        <v>754</v>
      </c>
      <c r="H57" s="178" t="s">
        <v>24</v>
      </c>
      <c r="I57" s="178"/>
      <c r="J57" s="178"/>
      <c r="K57" s="178"/>
    </row>
    <row r="58" spans="1:11">
      <c r="A58" s="172"/>
      <c r="B58" s="172"/>
      <c r="C58" s="172"/>
      <c r="D58" s="172"/>
      <c r="E58" s="172"/>
      <c r="F58" s="172"/>
      <c r="G58" s="172"/>
      <c r="H58" s="172"/>
      <c r="I58" s="172"/>
      <c r="J58" s="172"/>
      <c r="K58" s="172"/>
    </row>
    <row r="59" spans="1:11">
      <c r="A59" s="172"/>
      <c r="B59" s="172"/>
      <c r="C59" s="172"/>
      <c r="D59" s="172"/>
      <c r="E59" s="172"/>
      <c r="F59" s="172"/>
      <c r="G59" s="172"/>
      <c r="H59" s="172"/>
      <c r="I59" s="172"/>
      <c r="J59" s="172"/>
      <c r="K59" s="172"/>
    </row>
    <row r="60" spans="1:11" ht="21.9" customHeight="1">
      <c r="A60" s="484" t="s">
        <v>800</v>
      </c>
      <c r="B60" s="485"/>
      <c r="C60" s="485"/>
      <c r="D60" s="485"/>
      <c r="E60" s="485"/>
      <c r="F60" s="485"/>
      <c r="G60" s="485"/>
      <c r="H60" s="485"/>
      <c r="I60" s="485"/>
      <c r="J60" s="485"/>
      <c r="K60" s="486"/>
    </row>
    <row r="61" spans="1:11" ht="14.4">
      <c r="A61" s="487" t="s">
        <v>2851</v>
      </c>
      <c r="B61" s="485"/>
      <c r="C61" s="485"/>
      <c r="D61" s="485"/>
      <c r="E61" s="485"/>
      <c r="F61" s="485"/>
      <c r="G61" s="485"/>
      <c r="H61" s="485"/>
      <c r="I61" s="485"/>
      <c r="J61" s="485"/>
      <c r="K61" s="486"/>
    </row>
    <row r="62" spans="1:11" ht="15" customHeight="1">
      <c r="A62" s="172"/>
      <c r="B62" s="375" t="s">
        <v>801</v>
      </c>
      <c r="C62" s="375">
        <v>0.02</v>
      </c>
      <c r="D62" s="375">
        <v>2.5000000000000001E-2</v>
      </c>
      <c r="E62" s="375">
        <v>0.03</v>
      </c>
      <c r="F62" s="375">
        <v>3.5000000000000003E-2</v>
      </c>
      <c r="G62" s="375">
        <v>0.04</v>
      </c>
      <c r="H62" s="172"/>
      <c r="I62" s="172"/>
      <c r="J62" s="172"/>
      <c r="K62" s="172"/>
    </row>
    <row r="63" spans="1:11" ht="15" customHeight="1">
      <c r="A63" s="172"/>
      <c r="B63" s="379">
        <v>9.5000000000000001E-2</v>
      </c>
      <c r="C63" s="380">
        <f t="shared" ref="C63:G67" si="2">IF($B63&lt;=C$62,"CHECK",(($D$29*$K$37/(1+$B63)^$D$37)+($E$29/(1+$B63)^$E$37)+($F$29/(1+$B63)^$F$37)+($G$29/(1+$B63)^$G$37)+($H$29/(1+$B63)^$H$37)+(($H$29*(1+C$62)/($B63-C$62))/(1+$B63)^$H$37)-$E$9-$E$10)*1000000000/$E$8)</f>
        <v>123914.11378101265</v>
      </c>
      <c r="D63" s="380">
        <f t="shared" si="2"/>
        <v>130484.18819878952</v>
      </c>
      <c r="E63" s="380">
        <f t="shared" si="2"/>
        <v>138065.04329622441</v>
      </c>
      <c r="F63" s="380">
        <f t="shared" si="2"/>
        <v>146909.37424323172</v>
      </c>
      <c r="G63" s="380">
        <f t="shared" si="2"/>
        <v>157361.76536242219</v>
      </c>
      <c r="H63" s="172"/>
      <c r="I63" s="172"/>
      <c r="J63" s="172"/>
      <c r="K63" s="172"/>
    </row>
    <row r="64" spans="1:11" ht="15" customHeight="1">
      <c r="A64" s="172"/>
      <c r="B64" s="379">
        <v>0.105</v>
      </c>
      <c r="C64" s="380">
        <f t="shared" si="2"/>
        <v>110119.4993740741</v>
      </c>
      <c r="D64" s="380">
        <f t="shared" si="2"/>
        <v>115032.2323606921</v>
      </c>
      <c r="E64" s="380">
        <f t="shared" si="2"/>
        <v>120599.99641219249</v>
      </c>
      <c r="F64" s="380">
        <f t="shared" si="2"/>
        <v>126963.15532819294</v>
      </c>
      <c r="G64" s="380">
        <f t="shared" si="2"/>
        <v>134305.26176973188</v>
      </c>
      <c r="H64" s="172"/>
      <c r="I64" s="172"/>
      <c r="J64" s="172"/>
      <c r="K64" s="172"/>
    </row>
    <row r="65" spans="1:11" ht="15" customHeight="1">
      <c r="A65" s="172"/>
      <c r="B65" s="379">
        <v>0.112</v>
      </c>
      <c r="C65" s="380">
        <f t="shared" si="2"/>
        <v>102258.58990516476</v>
      </c>
      <c r="D65" s="380">
        <f t="shared" si="2"/>
        <v>106340.57449247008</v>
      </c>
      <c r="E65" s="380">
        <f t="shared" si="2"/>
        <v>110920.36207822731</v>
      </c>
      <c r="F65" s="380">
        <f t="shared" si="2"/>
        <v>116094.92727252438</v>
      </c>
      <c r="G65" s="380">
        <f t="shared" si="2"/>
        <v>121988.1820771405</v>
      </c>
      <c r="H65" s="172"/>
      <c r="I65" s="172"/>
      <c r="J65" s="172"/>
      <c r="K65" s="172"/>
    </row>
    <row r="66" spans="1:11" ht="15" customHeight="1">
      <c r="A66" s="172"/>
      <c r="B66" s="379">
        <v>0.12</v>
      </c>
      <c r="C66" s="380">
        <f t="shared" si="2"/>
        <v>94632.167859285779</v>
      </c>
      <c r="D66" s="380">
        <f t="shared" si="2"/>
        <v>97985.651920818142</v>
      </c>
      <c r="E66" s="380">
        <f t="shared" si="2"/>
        <v>101711.74532252082</v>
      </c>
      <c r="F66" s="380">
        <f t="shared" si="2"/>
        <v>105876.2026538355</v>
      </c>
      <c r="G66" s="380">
        <f t="shared" si="2"/>
        <v>110561.21715156456</v>
      </c>
      <c r="H66" s="172"/>
      <c r="I66" s="172"/>
      <c r="J66" s="172"/>
      <c r="K66" s="172"/>
    </row>
    <row r="67" spans="1:11" ht="15" customHeight="1">
      <c r="A67" s="172"/>
      <c r="B67" s="379">
        <v>0.13</v>
      </c>
      <c r="C67" s="380">
        <f t="shared" si="2"/>
        <v>86672.144395900308</v>
      </c>
      <c r="D67" s="380">
        <f t="shared" si="2"/>
        <v>89345.453555138374</v>
      </c>
      <c r="E67" s="380">
        <f t="shared" si="2"/>
        <v>92286.093630300311</v>
      </c>
      <c r="F67" s="380">
        <f t="shared" si="2"/>
        <v>95536.274766005576</v>
      </c>
      <c r="G67" s="380">
        <f t="shared" si="2"/>
        <v>99147.587139011433</v>
      </c>
      <c r="H67" s="172"/>
      <c r="I67" s="172"/>
      <c r="J67" s="172"/>
      <c r="K67" s="172"/>
    </row>
    <row r="68" spans="1:11">
      <c r="A68" s="172"/>
      <c r="B68" s="172"/>
      <c r="C68" s="172"/>
      <c r="D68" s="172"/>
      <c r="E68" s="172"/>
      <c r="F68" s="172"/>
      <c r="G68" s="172"/>
      <c r="H68" s="172"/>
      <c r="I68" s="172"/>
      <c r="J68" s="172"/>
      <c r="K68" s="172"/>
    </row>
    <row r="69" spans="1:11">
      <c r="A69" s="172"/>
      <c r="B69" s="172"/>
      <c r="C69" s="172"/>
      <c r="D69" s="172"/>
      <c r="E69" s="172"/>
      <c r="F69" s="172"/>
      <c r="G69" s="172"/>
      <c r="H69" s="172"/>
      <c r="I69" s="172"/>
      <c r="J69" s="172"/>
      <c r="K69" s="172"/>
    </row>
    <row r="70" spans="1:11" ht="21.9" customHeight="1">
      <c r="A70" s="484" t="s">
        <v>802</v>
      </c>
      <c r="B70" s="485"/>
      <c r="C70" s="485"/>
      <c r="D70" s="485"/>
      <c r="E70" s="485"/>
      <c r="F70" s="485"/>
      <c r="G70" s="485"/>
      <c r="H70" s="485"/>
      <c r="I70" s="485"/>
      <c r="J70" s="485"/>
      <c r="K70" s="486"/>
    </row>
    <row r="71" spans="1:11" ht="30" customHeight="1">
      <c r="A71" s="375" t="s">
        <v>427</v>
      </c>
      <c r="B71" s="375" t="s">
        <v>803</v>
      </c>
      <c r="C71" s="375" t="s">
        <v>804</v>
      </c>
      <c r="D71" s="375" t="s">
        <v>336</v>
      </c>
      <c r="E71" s="375" t="s">
        <v>150</v>
      </c>
      <c r="F71" s="375"/>
      <c r="G71" s="375"/>
      <c r="H71" s="375"/>
      <c r="I71" s="375"/>
      <c r="J71" s="375"/>
      <c r="K71" s="375" t="s">
        <v>640</v>
      </c>
    </row>
    <row r="72" spans="1:11" ht="15" customHeight="1">
      <c r="A72" s="178" t="s">
        <v>805</v>
      </c>
      <c r="B72" s="195">
        <f>SUM(D30:H30)</f>
        <v>0</v>
      </c>
      <c r="C72" s="178" t="s">
        <v>806</v>
      </c>
      <c r="D72" s="381" t="str">
        <f>IF(ABS(B72)&lt;0.1,"OK","CHECK")</f>
        <v>OK</v>
      </c>
      <c r="E72" s="178" t="s">
        <v>807</v>
      </c>
      <c r="F72" s="178"/>
      <c r="G72" s="178"/>
      <c r="H72" s="178"/>
      <c r="I72" s="178"/>
      <c r="J72" s="178"/>
      <c r="K72" s="178" t="s">
        <v>2852</v>
      </c>
    </row>
    <row r="73" spans="1:11" ht="29.25" customHeight="1">
      <c r="A73" s="178" t="s">
        <v>808</v>
      </c>
      <c r="B73" s="195">
        <f>$E$11-$E$12</f>
        <v>8.2000000000000003E-2</v>
      </c>
      <c r="C73" s="178" t="s">
        <v>809</v>
      </c>
      <c r="D73" s="381" t="str">
        <f>IF(B73&gt;0,"OK","CHECK")</f>
        <v>OK</v>
      </c>
      <c r="E73" s="178" t="s">
        <v>810</v>
      </c>
      <c r="F73" s="178"/>
      <c r="G73" s="178"/>
      <c r="H73" s="178"/>
      <c r="I73" s="178"/>
      <c r="J73" s="178"/>
      <c r="K73" s="178" t="s">
        <v>2853</v>
      </c>
    </row>
    <row r="74" spans="1:11" ht="29.25" customHeight="1">
      <c r="A74" s="178" t="s">
        <v>811</v>
      </c>
      <c r="B74" s="195">
        <f>$E$55</f>
        <v>162878.0695208683</v>
      </c>
      <c r="C74" s="178" t="s">
        <v>809</v>
      </c>
      <c r="D74" s="381" t="str">
        <f>IF(B74&gt;0,"OK","CHECK")</f>
        <v>OK</v>
      </c>
      <c r="E74" s="178" t="s">
        <v>812</v>
      </c>
      <c r="F74" s="178"/>
      <c r="G74" s="178"/>
      <c r="H74" s="178"/>
      <c r="I74" s="178"/>
      <c r="J74" s="178"/>
      <c r="K74" s="178" t="s">
        <v>2854</v>
      </c>
    </row>
    <row r="75" spans="1:11" ht="29.25" customHeight="1">
      <c r="A75" s="178" t="s">
        <v>813</v>
      </c>
      <c r="B75" s="195">
        <f>$E$15-$E$56</f>
        <v>0</v>
      </c>
      <c r="C75" s="178" t="s">
        <v>806</v>
      </c>
      <c r="D75" s="381" t="str">
        <f>IF(ABS(B75)&lt;0.1,"OK","CHECK")</f>
        <v>OK</v>
      </c>
      <c r="E75" s="178" t="s">
        <v>814</v>
      </c>
      <c r="F75" s="178"/>
      <c r="G75" s="178"/>
      <c r="H75" s="178"/>
      <c r="I75" s="178"/>
      <c r="J75" s="178"/>
      <c r="K75" s="178"/>
    </row>
    <row r="76" spans="1:11" ht="29.25" customHeight="1">
      <c r="A76" s="178" t="s">
        <v>815</v>
      </c>
      <c r="B76" s="178" t="s">
        <v>816</v>
      </c>
      <c r="C76" s="178" t="s">
        <v>773</v>
      </c>
      <c r="D76" s="381" t="s">
        <v>817</v>
      </c>
      <c r="E76" s="178" t="s">
        <v>774</v>
      </c>
      <c r="F76" s="178"/>
      <c r="G76" s="178"/>
      <c r="H76" s="178"/>
      <c r="I76" s="178"/>
      <c r="J76" s="178"/>
      <c r="K76" s="178" t="s">
        <v>2855</v>
      </c>
    </row>
  </sheetData>
  <mergeCells count="9">
    <mergeCell ref="A1:K1"/>
    <mergeCell ref="A70:K70"/>
    <mergeCell ref="A61:K61"/>
    <mergeCell ref="A35:K35"/>
    <mergeCell ref="A4:K4"/>
    <mergeCell ref="A19:K19"/>
    <mergeCell ref="A2:K2"/>
    <mergeCell ref="A60:K60"/>
    <mergeCell ref="A46:K4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95"/>
  <sheetViews>
    <sheetView showGridLines="0" topLeftCell="B15" workbookViewId="0">
      <selection activeCell="I15" sqref="I15"/>
    </sheetView>
  </sheetViews>
  <sheetFormatPr defaultRowHeight="13.8"/>
  <cols>
    <col min="1" max="1" width="18" customWidth="1"/>
    <col min="2" max="2" width="34" customWidth="1"/>
    <col min="3" max="3" width="14" customWidth="1"/>
    <col min="4" max="6" width="13" customWidth="1"/>
    <col min="7" max="7" width="35" customWidth="1"/>
    <col min="8" max="8" width="37.59765625" customWidth="1"/>
    <col min="9" max="9" width="34.09765625" customWidth="1"/>
    <col min="10" max="10" width="54" customWidth="1"/>
  </cols>
  <sheetData>
    <row r="1" spans="1:10" ht="16.649999999999999" customHeight="1">
      <c r="A1" s="491" t="s">
        <v>818</v>
      </c>
      <c r="B1" s="452"/>
      <c r="C1" s="452"/>
      <c r="D1" s="452"/>
      <c r="E1" s="452"/>
      <c r="F1" s="452"/>
      <c r="G1" s="452"/>
      <c r="H1" s="452"/>
      <c r="I1" s="452"/>
      <c r="J1" s="452"/>
    </row>
    <row r="2" spans="1:10" ht="14.25" customHeight="1">
      <c r="A2" s="493" t="s">
        <v>2856</v>
      </c>
      <c r="B2" s="452"/>
      <c r="C2" s="452"/>
      <c r="D2" s="452"/>
      <c r="E2" s="452"/>
      <c r="F2" s="452"/>
      <c r="G2" s="452"/>
      <c r="H2" s="452"/>
      <c r="I2" s="452"/>
      <c r="J2" s="452"/>
    </row>
    <row r="3" spans="1:10" ht="14.25" customHeight="1">
      <c r="A3" s="315"/>
      <c r="B3" s="315"/>
      <c r="C3" s="315"/>
      <c r="D3" s="315"/>
      <c r="E3" s="315"/>
      <c r="F3" s="260" t="s">
        <v>819</v>
      </c>
      <c r="G3" s="315"/>
      <c r="H3" s="315"/>
      <c r="I3" s="315"/>
      <c r="J3" s="315"/>
    </row>
    <row r="4" spans="1:10" ht="14.25" customHeight="1">
      <c r="A4" s="490" t="s">
        <v>2857</v>
      </c>
      <c r="B4" s="452"/>
      <c r="C4" s="452"/>
      <c r="D4" s="452"/>
      <c r="E4" s="452"/>
      <c r="F4" s="452"/>
      <c r="G4" s="452"/>
      <c r="H4" s="452"/>
      <c r="I4" s="452"/>
      <c r="J4" s="452"/>
    </row>
    <row r="5" spans="1:10" ht="33.75" customHeight="1">
      <c r="A5" s="382" t="s">
        <v>820</v>
      </c>
      <c r="B5" s="382" t="s">
        <v>3</v>
      </c>
      <c r="C5" s="382" t="s">
        <v>4</v>
      </c>
      <c r="D5" s="382" t="s">
        <v>637</v>
      </c>
      <c r="E5" s="382" t="s">
        <v>291</v>
      </c>
      <c r="F5" s="382" t="s">
        <v>638</v>
      </c>
      <c r="G5" s="382" t="s">
        <v>639</v>
      </c>
      <c r="H5" s="382" t="s">
        <v>150</v>
      </c>
      <c r="I5" s="382" t="s">
        <v>640</v>
      </c>
      <c r="J5" s="382" t="s">
        <v>821</v>
      </c>
    </row>
    <row r="6" spans="1:10" ht="33.75" customHeight="1">
      <c r="A6" s="222" t="s">
        <v>822</v>
      </c>
      <c r="B6" s="223" t="s">
        <v>823</v>
      </c>
      <c r="C6" s="223" t="s">
        <v>14</v>
      </c>
      <c r="D6" s="242">
        <v>102460</v>
      </c>
      <c r="E6" s="242">
        <v>102460</v>
      </c>
      <c r="F6" s="242">
        <v>102460</v>
      </c>
      <c r="G6" s="223" t="s">
        <v>824</v>
      </c>
      <c r="H6" s="223" t="s">
        <v>825</v>
      </c>
      <c r="I6" s="223" t="s">
        <v>2858</v>
      </c>
      <c r="J6" s="224" t="s">
        <v>826</v>
      </c>
    </row>
    <row r="7" spans="1:10" ht="33.75" customHeight="1">
      <c r="A7" s="225" t="s">
        <v>822</v>
      </c>
      <c r="B7" s="226" t="s">
        <v>827</v>
      </c>
      <c r="C7" s="226" t="s">
        <v>23</v>
      </c>
      <c r="D7" s="383">
        <f>115000/D6-1</f>
        <v>0.1223892250634393</v>
      </c>
      <c r="E7" s="383">
        <f>0</f>
        <v>0</v>
      </c>
      <c r="F7" s="383">
        <f>100000/F6-1</f>
        <v>-2.4009369510052725E-2</v>
      </c>
      <c r="G7" s="226" t="s">
        <v>828</v>
      </c>
      <c r="H7" s="226" t="s">
        <v>829</v>
      </c>
      <c r="I7" s="226" t="s">
        <v>2859</v>
      </c>
      <c r="J7" s="228"/>
    </row>
    <row r="8" spans="1:10" ht="33.75" customHeight="1">
      <c r="A8" s="384" t="s">
        <v>822</v>
      </c>
      <c r="B8" s="385" t="s">
        <v>830</v>
      </c>
      <c r="C8" s="385" t="s">
        <v>14</v>
      </c>
      <c r="D8" s="386">
        <f>D6*(1+D7)</f>
        <v>114999.99999999999</v>
      </c>
      <c r="E8" s="386">
        <f>E6*(1+E7)</f>
        <v>102460</v>
      </c>
      <c r="F8" s="386">
        <f>F6*(1+F7)</f>
        <v>100000</v>
      </c>
      <c r="G8" s="385" t="s">
        <v>831</v>
      </c>
      <c r="H8" s="385" t="s">
        <v>832</v>
      </c>
      <c r="I8" s="385" t="s">
        <v>2860</v>
      </c>
      <c r="J8" s="385"/>
    </row>
    <row r="9" spans="1:10" ht="33.75" customHeight="1">
      <c r="A9" s="225" t="s">
        <v>822</v>
      </c>
      <c r="B9" s="226" t="s">
        <v>833</v>
      </c>
      <c r="C9" s="226" t="s">
        <v>14</v>
      </c>
      <c r="D9" s="243">
        <v>11012.8</v>
      </c>
      <c r="E9" s="243">
        <v>11012.8</v>
      </c>
      <c r="F9" s="243">
        <v>11012.8</v>
      </c>
      <c r="G9" s="226" t="s">
        <v>834</v>
      </c>
      <c r="H9" s="226" t="s">
        <v>825</v>
      </c>
      <c r="I9" s="226" t="s">
        <v>2861</v>
      </c>
      <c r="J9" s="272" t="s">
        <v>826</v>
      </c>
    </row>
    <row r="10" spans="1:10" ht="33.75" customHeight="1">
      <c r="A10" s="225" t="s">
        <v>822</v>
      </c>
      <c r="B10" s="226" t="s">
        <v>835</v>
      </c>
      <c r="C10" s="226" t="s">
        <v>14</v>
      </c>
      <c r="D10" s="243">
        <v>12807.8</v>
      </c>
      <c r="E10" s="243">
        <v>12807.8</v>
      </c>
      <c r="F10" s="243">
        <v>12807.8</v>
      </c>
      <c r="G10" s="226" t="s">
        <v>834</v>
      </c>
      <c r="H10" s="226" t="s">
        <v>825</v>
      </c>
      <c r="I10" s="226" t="s">
        <v>2861</v>
      </c>
      <c r="J10" s="228" t="s">
        <v>826</v>
      </c>
    </row>
    <row r="11" spans="1:10" ht="33.75" customHeight="1">
      <c r="A11" s="225" t="s">
        <v>822</v>
      </c>
      <c r="B11" s="226" t="s">
        <v>836</v>
      </c>
      <c r="C11" s="226" t="s">
        <v>23</v>
      </c>
      <c r="D11" s="244">
        <f>D9/D10</f>
        <v>0.8598510282796421</v>
      </c>
      <c r="E11" s="244">
        <f>E9/E10</f>
        <v>0.8598510282796421</v>
      </c>
      <c r="F11" s="244">
        <f>F9/F10</f>
        <v>0.8598510282796421</v>
      </c>
      <c r="G11" s="226" t="s">
        <v>837</v>
      </c>
      <c r="H11" s="226" t="s">
        <v>832</v>
      </c>
      <c r="I11" s="226" t="s">
        <v>2862</v>
      </c>
      <c r="J11" s="228"/>
    </row>
    <row r="12" spans="1:10" ht="33.75" customHeight="1">
      <c r="A12" s="225" t="s">
        <v>838</v>
      </c>
      <c r="B12" s="226" t="s">
        <v>839</v>
      </c>
      <c r="C12" s="226" t="s">
        <v>226</v>
      </c>
      <c r="D12" s="245">
        <v>0.9</v>
      </c>
      <c r="E12" s="245">
        <v>0.9</v>
      </c>
      <c r="F12" s="245">
        <v>0.9</v>
      </c>
      <c r="G12" s="226" t="s">
        <v>840</v>
      </c>
      <c r="H12" s="226" t="s">
        <v>841</v>
      </c>
      <c r="I12" s="226" t="s">
        <v>2863</v>
      </c>
      <c r="J12" s="61" t="s">
        <v>842</v>
      </c>
    </row>
    <row r="13" spans="1:10" ht="33.75" customHeight="1">
      <c r="A13" s="225" t="s">
        <v>838</v>
      </c>
      <c r="B13" s="226" t="s">
        <v>843</v>
      </c>
      <c r="C13" s="226" t="s">
        <v>226</v>
      </c>
      <c r="D13" s="387">
        <v>0</v>
      </c>
      <c r="E13" s="387">
        <v>-0.1</v>
      </c>
      <c r="F13" s="387">
        <v>-0.3</v>
      </c>
      <c r="G13" s="226"/>
      <c r="H13" s="226" t="s">
        <v>829</v>
      </c>
      <c r="I13" s="226" t="s">
        <v>2864</v>
      </c>
      <c r="J13" s="228"/>
    </row>
    <row r="14" spans="1:10" ht="33.75" customHeight="1">
      <c r="A14" s="384" t="s">
        <v>838</v>
      </c>
      <c r="B14" s="385" t="s">
        <v>844</v>
      </c>
      <c r="C14" s="385" t="s">
        <v>226</v>
      </c>
      <c r="D14" s="388">
        <f>D12+D13</f>
        <v>0.9</v>
      </c>
      <c r="E14" s="388">
        <f>E12+E13</f>
        <v>0.8</v>
      </c>
      <c r="F14" s="388">
        <f>F12+F13</f>
        <v>0.60000000000000009</v>
      </c>
      <c r="G14" s="385" t="s">
        <v>845</v>
      </c>
      <c r="H14" s="385" t="s">
        <v>832</v>
      </c>
      <c r="I14" s="385" t="s">
        <v>2865</v>
      </c>
      <c r="J14" s="385"/>
    </row>
    <row r="15" spans="1:10" ht="33.75" customHeight="1">
      <c r="A15" s="225" t="s">
        <v>846</v>
      </c>
      <c r="B15" s="226" t="s">
        <v>847</v>
      </c>
      <c r="C15" s="226" t="s">
        <v>226</v>
      </c>
      <c r="D15" s="227">
        <f>'16_Trading_Comps'!$X$9</f>
        <v>0.45570709930102082</v>
      </c>
      <c r="E15" s="227">
        <f>'16_Trading_Comps'!$X$9</f>
        <v>0.45570709930102082</v>
      </c>
      <c r="F15" s="227">
        <f>'16_Trading_Comps'!$X$9</f>
        <v>0.45570709930102082</v>
      </c>
      <c r="G15" s="226" t="s">
        <v>848</v>
      </c>
      <c r="H15" s="226" t="s">
        <v>849</v>
      </c>
      <c r="I15" s="226" t="s">
        <v>2866</v>
      </c>
      <c r="J15" s="228"/>
    </row>
    <row r="16" spans="1:10" ht="33.75" customHeight="1">
      <c r="A16" s="225" t="s">
        <v>846</v>
      </c>
      <c r="B16" s="226" t="s">
        <v>850</v>
      </c>
      <c r="C16" s="226" t="s">
        <v>226</v>
      </c>
      <c r="D16" s="387">
        <v>-0.05</v>
      </c>
      <c r="E16" s="387">
        <v>-0.15</v>
      </c>
      <c r="F16" s="387">
        <v>-0.25</v>
      </c>
      <c r="G16" s="226"/>
      <c r="H16" s="226" t="s">
        <v>829</v>
      </c>
      <c r="I16" s="226" t="s">
        <v>2867</v>
      </c>
      <c r="J16" s="228"/>
    </row>
    <row r="17" spans="1:10" ht="33.75" customHeight="1">
      <c r="A17" s="384" t="s">
        <v>846</v>
      </c>
      <c r="B17" s="385" t="s">
        <v>851</v>
      </c>
      <c r="C17" s="385" t="s">
        <v>226</v>
      </c>
      <c r="D17" s="388">
        <f>ROUND(MAX(0,D15+D16),1)</f>
        <v>0.4</v>
      </c>
      <c r="E17" s="388">
        <f>ROUND(MAX(0,E15+E16),1)</f>
        <v>0.3</v>
      </c>
      <c r="F17" s="388">
        <f>ROUND(MAX(0,F15+F16),1)</f>
        <v>0.2</v>
      </c>
      <c r="G17" s="385" t="s">
        <v>852</v>
      </c>
      <c r="H17" s="385" t="s">
        <v>832</v>
      </c>
      <c r="I17" s="385" t="s">
        <v>2868</v>
      </c>
      <c r="J17" s="385"/>
    </row>
    <row r="18" spans="1:10" ht="33.75" customHeight="1">
      <c r="A18" s="225" t="s">
        <v>853</v>
      </c>
      <c r="B18" s="226" t="s">
        <v>854</v>
      </c>
      <c r="C18" s="226" t="s">
        <v>226</v>
      </c>
      <c r="D18" s="227">
        <f>'16_Trading_Comps'!$X$15</f>
        <v>0.3813694126658056</v>
      </c>
      <c r="E18" s="227">
        <f>'16_Trading_Comps'!$X$15</f>
        <v>0.3813694126658056</v>
      </c>
      <c r="F18" s="227">
        <f>'16_Trading_Comps'!$X$15</f>
        <v>0.3813694126658056</v>
      </c>
      <c r="G18" s="226" t="s">
        <v>855</v>
      </c>
      <c r="H18" s="226" t="s">
        <v>849</v>
      </c>
      <c r="I18" s="226" t="s">
        <v>2869</v>
      </c>
      <c r="J18" s="228"/>
    </row>
    <row r="19" spans="1:10" ht="33.75" customHeight="1">
      <c r="A19" s="225" t="s">
        <v>853</v>
      </c>
      <c r="B19" s="226" t="s">
        <v>856</v>
      </c>
      <c r="C19" s="226" t="s">
        <v>226</v>
      </c>
      <c r="D19" s="387">
        <v>0.3</v>
      </c>
      <c r="E19" s="387">
        <v>0.1</v>
      </c>
      <c r="F19" s="387">
        <v>-0.1</v>
      </c>
      <c r="G19" s="226"/>
      <c r="H19" s="226" t="s">
        <v>829</v>
      </c>
      <c r="I19" s="226" t="s">
        <v>2870</v>
      </c>
      <c r="J19" s="228"/>
    </row>
    <row r="20" spans="1:10" ht="33.75" customHeight="1">
      <c r="A20" s="384" t="s">
        <v>853</v>
      </c>
      <c r="B20" s="385" t="s">
        <v>857</v>
      </c>
      <c r="C20" s="385" t="s">
        <v>226</v>
      </c>
      <c r="D20" s="388">
        <f>ROUND(MAX(0,D18+D19),1)</f>
        <v>0.7</v>
      </c>
      <c r="E20" s="388">
        <f>ROUND(MAX(0,E18+E19),1)</f>
        <v>0.5</v>
      </c>
      <c r="F20" s="388">
        <f>ROUND(MAX(0,F18+F19),1)</f>
        <v>0.3</v>
      </c>
      <c r="G20" s="385" t="s">
        <v>858</v>
      </c>
      <c r="H20" s="385" t="s">
        <v>832</v>
      </c>
      <c r="I20" s="385" t="s">
        <v>2871</v>
      </c>
      <c r="J20" s="385"/>
    </row>
    <row r="21" spans="1:10" ht="33.75" customHeight="1">
      <c r="A21" s="225" t="s">
        <v>859</v>
      </c>
      <c r="B21" s="226" t="s">
        <v>860</v>
      </c>
      <c r="C21" s="226" t="s">
        <v>23</v>
      </c>
      <c r="D21" s="389">
        <v>0.05</v>
      </c>
      <c r="E21" s="389">
        <v>0.1</v>
      </c>
      <c r="F21" s="389">
        <v>0.15</v>
      </c>
      <c r="G21" s="226" t="s">
        <v>861</v>
      </c>
      <c r="H21" s="226" t="s">
        <v>862</v>
      </c>
      <c r="I21" s="226" t="s">
        <v>2872</v>
      </c>
      <c r="J21" s="228"/>
    </row>
    <row r="22" spans="1:10" ht="33.75" customHeight="1">
      <c r="A22" s="225" t="s">
        <v>734</v>
      </c>
      <c r="B22" s="226" t="s">
        <v>863</v>
      </c>
      <c r="C22" s="226" t="s">
        <v>23</v>
      </c>
      <c r="D22" s="383">
        <v>1</v>
      </c>
      <c r="E22" s="383">
        <v>0.5</v>
      </c>
      <c r="F22" s="383">
        <v>0</v>
      </c>
      <c r="G22" s="226" t="s">
        <v>861</v>
      </c>
      <c r="H22" s="226" t="s">
        <v>862</v>
      </c>
      <c r="I22" s="226" t="s">
        <v>2873</v>
      </c>
      <c r="J22" s="228"/>
    </row>
    <row r="23" spans="1:10" ht="33.75" hidden="1" customHeight="1">
      <c r="J23" s="228"/>
    </row>
    <row r="24" spans="1:10" ht="33.75" hidden="1" customHeight="1">
      <c r="J24" s="228" t="s">
        <v>864</v>
      </c>
    </row>
    <row r="25" spans="1:10" ht="33.75" hidden="1" customHeight="1">
      <c r="J25" s="228"/>
    </row>
    <row r="26" spans="1:10" ht="33.75" customHeight="1">
      <c r="A26" s="225"/>
      <c r="B26" s="226"/>
      <c r="C26" s="226"/>
      <c r="D26" s="246"/>
      <c r="E26" s="246"/>
      <c r="F26" s="246"/>
      <c r="G26" s="226"/>
      <c r="H26" s="226"/>
      <c r="I26" s="226"/>
      <c r="J26" s="228"/>
    </row>
    <row r="27" spans="1:10" ht="46.5" customHeight="1">
      <c r="A27" s="225"/>
      <c r="B27" s="226"/>
      <c r="C27" s="226"/>
      <c r="D27" s="246"/>
      <c r="E27" s="246"/>
      <c r="F27" s="246"/>
      <c r="G27" s="226"/>
      <c r="H27" s="226"/>
      <c r="I27" s="226"/>
      <c r="J27" s="228"/>
    </row>
    <row r="28" spans="1:10" ht="18" hidden="1" customHeight="1">
      <c r="J28" s="228"/>
    </row>
    <row r="29" spans="1:10" ht="14.25" hidden="1" customHeight="1">
      <c r="A29" s="229"/>
      <c r="B29" s="230"/>
      <c r="C29" s="230"/>
      <c r="D29" s="241"/>
      <c r="E29" s="241"/>
      <c r="F29" s="241"/>
      <c r="G29" s="230"/>
      <c r="H29" s="230"/>
      <c r="I29" s="230"/>
      <c r="J29" s="231"/>
    </row>
    <row r="30" spans="1:10" ht="14.25" hidden="1" customHeight="1">
      <c r="A30" s="492"/>
      <c r="B30" s="452"/>
      <c r="C30" s="452"/>
      <c r="D30" s="452"/>
      <c r="E30" s="452"/>
      <c r="F30" s="452"/>
      <c r="G30" s="452"/>
      <c r="H30" s="452"/>
      <c r="I30" s="452"/>
      <c r="J30" s="452"/>
    </row>
    <row r="31" spans="1:10" ht="14.25" hidden="1" customHeight="1">
      <c r="A31" s="315"/>
      <c r="B31" s="315"/>
      <c r="C31" s="315"/>
      <c r="D31" s="315"/>
      <c r="E31" s="315"/>
      <c r="F31" s="315"/>
      <c r="G31" s="315"/>
      <c r="H31" s="315"/>
      <c r="I31" s="315"/>
      <c r="J31" s="315"/>
    </row>
    <row r="32" spans="1:10" ht="3" hidden="1" customHeight="1">
      <c r="A32" s="490"/>
      <c r="B32" s="452"/>
      <c r="C32" s="452"/>
      <c r="D32" s="452"/>
      <c r="E32" s="452"/>
      <c r="F32" s="452"/>
      <c r="G32" s="452"/>
      <c r="H32" s="452"/>
      <c r="I32" s="452"/>
      <c r="J32" s="452"/>
    </row>
    <row r="33" spans="1:10" ht="3.75" hidden="1" customHeight="1">
      <c r="A33" s="382"/>
      <c r="B33" s="382"/>
      <c r="C33" s="382"/>
      <c r="D33" s="382"/>
      <c r="E33" s="382"/>
      <c r="F33" s="382"/>
      <c r="G33" s="382"/>
      <c r="H33" s="382"/>
      <c r="I33" s="382"/>
      <c r="J33" s="382"/>
    </row>
    <row r="34" spans="1:10" ht="36" hidden="1" customHeight="1">
      <c r="A34" s="247"/>
      <c r="B34" s="232"/>
      <c r="C34" s="232"/>
      <c r="D34" s="232"/>
      <c r="E34" s="232"/>
      <c r="F34" s="232"/>
      <c r="G34" s="232"/>
      <c r="H34" s="232"/>
      <c r="I34" s="232"/>
      <c r="J34" s="233"/>
    </row>
    <row r="35" spans="1:10" ht="36" hidden="1" customHeight="1">
      <c r="A35" s="248"/>
      <c r="B35" s="234"/>
      <c r="C35" s="234"/>
      <c r="D35" s="234"/>
      <c r="E35" s="234"/>
      <c r="F35" s="234"/>
      <c r="G35" s="234"/>
      <c r="H35" s="234"/>
      <c r="I35" s="234"/>
      <c r="J35" s="235"/>
    </row>
    <row r="36" spans="1:10" ht="36" hidden="1" customHeight="1">
      <c r="A36" s="248"/>
      <c r="B36" s="234"/>
      <c r="C36" s="234"/>
      <c r="D36" s="234"/>
      <c r="E36" s="234"/>
      <c r="F36" s="234"/>
      <c r="G36" s="234"/>
      <c r="H36" s="234"/>
      <c r="I36" s="234"/>
      <c r="J36" s="235"/>
    </row>
    <row r="37" spans="1:10" ht="24" hidden="1" customHeight="1">
      <c r="A37" s="248"/>
      <c r="B37" s="234"/>
      <c r="C37" s="234"/>
      <c r="D37" s="234"/>
      <c r="E37" s="234"/>
      <c r="F37" s="234"/>
      <c r="G37" s="234"/>
      <c r="H37" s="234"/>
      <c r="I37" s="234"/>
      <c r="J37" s="235"/>
    </row>
    <row r="38" spans="1:10" ht="3" hidden="1" customHeight="1">
      <c r="J38" s="235"/>
    </row>
    <row r="39" spans="1:10" ht="24" hidden="1" customHeight="1">
      <c r="A39" s="249"/>
      <c r="B39" s="236"/>
      <c r="C39" s="236"/>
      <c r="D39" s="236"/>
      <c r="E39" s="236"/>
      <c r="F39" s="236"/>
      <c r="G39" s="236"/>
      <c r="H39" s="236"/>
      <c r="I39" s="236"/>
      <c r="J39" s="237"/>
    </row>
    <row r="40" spans="1:10" ht="14.25" hidden="1" customHeight="1">
      <c r="A40" s="315"/>
      <c r="B40" s="315"/>
      <c r="C40" s="315"/>
      <c r="D40" s="315"/>
      <c r="E40" s="315"/>
      <c r="F40" s="315"/>
      <c r="G40" s="315"/>
      <c r="H40" s="315"/>
      <c r="I40" s="315"/>
      <c r="J40" s="315"/>
    </row>
    <row r="41" spans="1:10" ht="14.25" hidden="1" customHeight="1">
      <c r="A41" s="315"/>
      <c r="B41" s="315"/>
      <c r="C41" s="315"/>
      <c r="D41" s="315"/>
      <c r="E41" s="315"/>
      <c r="F41" s="315"/>
      <c r="G41" s="315"/>
      <c r="H41" s="315"/>
      <c r="I41" s="315"/>
      <c r="J41" s="315"/>
    </row>
    <row r="42" spans="1:10" ht="14.25" customHeight="1">
      <c r="A42" s="490" t="s">
        <v>865</v>
      </c>
      <c r="B42" s="452"/>
      <c r="C42" s="452"/>
      <c r="D42" s="452"/>
      <c r="E42" s="452"/>
      <c r="F42" s="452"/>
      <c r="G42" s="452"/>
      <c r="H42" s="452"/>
      <c r="I42" s="452"/>
      <c r="J42" s="452"/>
    </row>
    <row r="43" spans="1:10" ht="24" customHeight="1">
      <c r="A43" s="382"/>
      <c r="B43" s="382" t="s">
        <v>866</v>
      </c>
      <c r="C43" s="382" t="s">
        <v>598</v>
      </c>
      <c r="D43" s="382" t="s">
        <v>4</v>
      </c>
      <c r="E43" s="382" t="s">
        <v>867</v>
      </c>
      <c r="F43" s="382" t="s">
        <v>868</v>
      </c>
      <c r="G43" s="382" t="s">
        <v>869</v>
      </c>
      <c r="H43" s="382" t="s">
        <v>870</v>
      </c>
      <c r="I43" s="382" t="s">
        <v>871</v>
      </c>
      <c r="J43" s="382" t="s">
        <v>872</v>
      </c>
    </row>
    <row r="44" spans="1:10" ht="24" customHeight="1">
      <c r="A44" s="222"/>
      <c r="B44" s="223" t="s">
        <v>873</v>
      </c>
      <c r="C44" s="223">
        <v>102460</v>
      </c>
      <c r="D44" s="238" t="s">
        <v>14</v>
      </c>
      <c r="E44" s="238" t="s">
        <v>874</v>
      </c>
      <c r="F44" s="238" t="s">
        <v>825</v>
      </c>
      <c r="G44" s="223" t="s">
        <v>875</v>
      </c>
      <c r="H44" s="223" t="s">
        <v>876</v>
      </c>
      <c r="I44" s="223"/>
      <c r="J44" s="224" t="s">
        <v>826</v>
      </c>
    </row>
    <row r="45" spans="1:10" ht="24" customHeight="1">
      <c r="A45" s="225"/>
      <c r="B45" s="226" t="s">
        <v>877</v>
      </c>
      <c r="C45" s="226" t="s">
        <v>878</v>
      </c>
      <c r="D45" s="240" t="s">
        <v>879</v>
      </c>
      <c r="E45" s="240" t="s">
        <v>880</v>
      </c>
      <c r="F45" s="240" t="s">
        <v>881</v>
      </c>
      <c r="G45" s="226" t="s">
        <v>882</v>
      </c>
      <c r="H45" s="226" t="s">
        <v>876</v>
      </c>
      <c r="I45" s="226"/>
      <c r="J45" s="228" t="s">
        <v>883</v>
      </c>
    </row>
    <row r="46" spans="1:10" ht="24" customHeight="1">
      <c r="A46" s="225"/>
      <c r="B46" s="226" t="s">
        <v>884</v>
      </c>
      <c r="C46" s="226" t="s">
        <v>885</v>
      </c>
      <c r="D46" s="240" t="s">
        <v>14</v>
      </c>
      <c r="E46" s="240" t="s">
        <v>874</v>
      </c>
      <c r="F46" s="240" t="s">
        <v>825</v>
      </c>
      <c r="G46" s="226" t="s">
        <v>886</v>
      </c>
      <c r="H46" s="226" t="s">
        <v>876</v>
      </c>
      <c r="I46" s="226"/>
      <c r="J46" s="228" t="s">
        <v>826</v>
      </c>
    </row>
    <row r="47" spans="1:10" ht="24" customHeight="1">
      <c r="A47" s="225"/>
      <c r="B47" s="226" t="s">
        <v>887</v>
      </c>
      <c r="C47" s="239">
        <v>0.9</v>
      </c>
      <c r="D47" s="240" t="s">
        <v>226</v>
      </c>
      <c r="E47" s="240" t="s">
        <v>888</v>
      </c>
      <c r="F47" s="240" t="s">
        <v>841</v>
      </c>
      <c r="G47" s="226" t="s">
        <v>889</v>
      </c>
      <c r="H47" s="226" t="s">
        <v>890</v>
      </c>
      <c r="I47" s="226"/>
      <c r="J47" s="228" t="s">
        <v>842</v>
      </c>
    </row>
    <row r="48" spans="1:10" ht="24" customHeight="1">
      <c r="A48" s="225"/>
      <c r="B48" s="226" t="s">
        <v>891</v>
      </c>
      <c r="C48" s="250">
        <f>'16_Trading_Comps'!$X$9</f>
        <v>0.45570709930102082</v>
      </c>
      <c r="D48" s="240" t="s">
        <v>226</v>
      </c>
      <c r="E48" s="240" t="s">
        <v>545</v>
      </c>
      <c r="F48" s="240" t="s">
        <v>892</v>
      </c>
      <c r="G48" s="226" t="s">
        <v>893</v>
      </c>
      <c r="H48" s="226" t="s">
        <v>894</v>
      </c>
      <c r="I48" s="226"/>
      <c r="J48" s="228"/>
    </row>
    <row r="49" spans="1:10" ht="24" customHeight="1">
      <c r="A49" s="225"/>
      <c r="B49" s="226" t="s">
        <v>895</v>
      </c>
      <c r="C49" s="250">
        <f>'16_Trading_Comps'!$X$15</f>
        <v>0.3813694126658056</v>
      </c>
      <c r="D49" s="240" t="s">
        <v>226</v>
      </c>
      <c r="E49" s="240" t="s">
        <v>545</v>
      </c>
      <c r="F49" s="240" t="s">
        <v>896</v>
      </c>
      <c r="G49" s="226" t="s">
        <v>897</v>
      </c>
      <c r="H49" s="226" t="s">
        <v>894</v>
      </c>
      <c r="I49" s="226"/>
      <c r="J49" s="228"/>
    </row>
    <row r="50" spans="1:10" ht="24" customHeight="1">
      <c r="A50" s="225"/>
      <c r="B50" s="226" t="s">
        <v>898</v>
      </c>
      <c r="C50" s="251">
        <f>'07_Revenue_Drivers'!$G$17</f>
        <v>55500</v>
      </c>
      <c r="D50" s="240" t="s">
        <v>14</v>
      </c>
      <c r="E50" s="240" t="s">
        <v>294</v>
      </c>
      <c r="F50" s="240" t="s">
        <v>899</v>
      </c>
      <c r="G50" s="226" t="s">
        <v>900</v>
      </c>
      <c r="H50" s="226" t="s">
        <v>901</v>
      </c>
      <c r="I50" s="226"/>
      <c r="J50" s="228"/>
    </row>
    <row r="51" spans="1:10" ht="24" customHeight="1">
      <c r="A51" s="225"/>
      <c r="B51" s="226" t="s">
        <v>902</v>
      </c>
      <c r="C51" s="251">
        <f>'07_Revenue_Drivers'!$G$18</f>
        <v>2860</v>
      </c>
      <c r="D51" s="240" t="s">
        <v>14</v>
      </c>
      <c r="E51" s="240" t="s">
        <v>294</v>
      </c>
      <c r="F51" s="240" t="s">
        <v>903</v>
      </c>
      <c r="G51" s="226" t="s">
        <v>904</v>
      </c>
      <c r="H51" s="226" t="s">
        <v>901</v>
      </c>
      <c r="I51" s="226"/>
      <c r="J51" s="228"/>
    </row>
    <row r="52" spans="1:10" ht="42.75" customHeight="1">
      <c r="A52" s="225"/>
      <c r="B52" s="226" t="s">
        <v>905</v>
      </c>
      <c r="C52" s="251">
        <f>'07_Revenue_Drivers'!$G$19</f>
        <v>1680</v>
      </c>
      <c r="D52" s="240" t="s">
        <v>14</v>
      </c>
      <c r="E52" s="240" t="s">
        <v>294</v>
      </c>
      <c r="F52" s="240" t="s">
        <v>906</v>
      </c>
      <c r="G52" s="226" t="s">
        <v>907</v>
      </c>
      <c r="H52" s="226" t="s">
        <v>901</v>
      </c>
      <c r="I52" s="226"/>
      <c r="J52" s="228"/>
    </row>
    <row r="53" spans="1:10" ht="25.5" customHeight="1">
      <c r="J53" s="231"/>
    </row>
    <row r="54" spans="1:10" ht="14.25" customHeight="1">
      <c r="A54" s="315"/>
      <c r="B54" s="315"/>
      <c r="C54" s="315"/>
      <c r="D54" s="315"/>
      <c r="E54" s="315"/>
      <c r="F54" s="315"/>
      <c r="G54" s="315"/>
      <c r="H54" s="315"/>
      <c r="I54" s="315"/>
      <c r="J54" s="315"/>
    </row>
    <row r="55" spans="1:10" ht="14.25" customHeight="1">
      <c r="A55" s="315"/>
      <c r="B55" s="315"/>
      <c r="C55" s="315"/>
      <c r="D55" s="315"/>
      <c r="E55" s="315"/>
      <c r="F55" s="315"/>
      <c r="G55" s="315"/>
      <c r="H55" s="315"/>
      <c r="I55" s="315"/>
      <c r="J55" s="315"/>
    </row>
    <row r="56" spans="1:10" ht="14.25" customHeight="1">
      <c r="A56" s="315"/>
      <c r="B56" s="315"/>
      <c r="C56" s="315"/>
      <c r="D56" s="315"/>
      <c r="E56" s="315"/>
      <c r="F56" s="315"/>
      <c r="G56" s="315"/>
      <c r="H56" s="315"/>
      <c r="I56" s="315"/>
      <c r="J56" s="315"/>
    </row>
    <row r="57" spans="1:10" ht="14.25" customHeight="1">
      <c r="A57" s="315"/>
      <c r="B57" s="315"/>
      <c r="C57" s="315"/>
      <c r="D57" s="315"/>
      <c r="E57" s="315"/>
      <c r="F57" s="315"/>
      <c r="G57" s="315"/>
      <c r="H57" s="315"/>
      <c r="I57" s="315"/>
      <c r="J57" s="315"/>
    </row>
    <row r="58" spans="1:10" ht="14.25" customHeight="1">
      <c r="A58" s="315"/>
      <c r="B58" s="315"/>
      <c r="C58" s="315"/>
      <c r="D58" s="315"/>
      <c r="E58" s="315"/>
      <c r="F58" s="315"/>
      <c r="G58" s="315"/>
      <c r="H58" s="315"/>
      <c r="I58" s="315"/>
      <c r="J58" s="315"/>
    </row>
    <row r="59" spans="1:10" ht="14.25" customHeight="1">
      <c r="A59" s="315"/>
      <c r="B59" s="315"/>
      <c r="C59" s="315"/>
      <c r="D59" s="315"/>
      <c r="E59" s="315"/>
      <c r="F59" s="315"/>
      <c r="G59" s="315"/>
      <c r="H59" s="315"/>
      <c r="I59" s="315"/>
      <c r="J59" s="315"/>
    </row>
    <row r="60" spans="1:10" ht="14.25" customHeight="1">
      <c r="A60" s="315"/>
      <c r="B60" s="315"/>
      <c r="C60" s="315"/>
      <c r="D60" s="315"/>
      <c r="E60" s="315"/>
      <c r="F60" s="315"/>
      <c r="G60" s="315"/>
      <c r="H60" s="315"/>
      <c r="I60" s="315"/>
      <c r="J60" s="315"/>
    </row>
    <row r="61" spans="1:10" ht="14.25" customHeight="1">
      <c r="A61" s="315"/>
      <c r="B61" s="315"/>
      <c r="C61" s="315"/>
      <c r="D61" s="315"/>
      <c r="E61" s="315"/>
      <c r="F61" s="315"/>
      <c r="G61" s="315"/>
      <c r="H61" s="315"/>
      <c r="I61" s="315"/>
      <c r="J61" s="315"/>
    </row>
    <row r="62" spans="1:10" ht="14.25" customHeight="1">
      <c r="A62" s="315"/>
      <c r="B62" s="315"/>
      <c r="C62" s="315"/>
      <c r="D62" s="315"/>
      <c r="E62" s="315"/>
      <c r="F62" s="315"/>
      <c r="G62" s="315"/>
      <c r="H62" s="315"/>
      <c r="I62" s="315"/>
      <c r="J62" s="315"/>
    </row>
    <row r="63" spans="1:10" ht="14.25" customHeight="1">
      <c r="A63" s="315"/>
      <c r="B63" s="315"/>
      <c r="C63" s="315"/>
      <c r="D63" s="315"/>
      <c r="E63" s="315"/>
      <c r="F63" s="315"/>
      <c r="G63" s="315"/>
      <c r="H63" s="315"/>
      <c r="I63" s="315"/>
      <c r="J63" s="315"/>
    </row>
    <row r="64" spans="1:10" ht="14.25" customHeight="1">
      <c r="A64" s="315"/>
      <c r="B64" s="315"/>
      <c r="C64" s="315"/>
      <c r="D64" s="315"/>
      <c r="E64" s="315"/>
      <c r="F64" s="315"/>
      <c r="G64" s="315"/>
      <c r="H64" s="315"/>
      <c r="I64" s="315"/>
      <c r="J64" s="315"/>
    </row>
    <row r="65" spans="1:10" ht="14.25" customHeight="1">
      <c r="A65" s="315"/>
      <c r="B65" s="315"/>
      <c r="C65" s="315"/>
      <c r="D65" s="315"/>
      <c r="E65" s="315"/>
      <c r="F65" s="315"/>
      <c r="G65" s="315"/>
      <c r="H65" s="315"/>
      <c r="I65" s="315"/>
      <c r="J65" s="315"/>
    </row>
    <row r="66" spans="1:10" ht="14.25" customHeight="1">
      <c r="A66" s="315"/>
      <c r="B66" s="315"/>
      <c r="C66" s="315"/>
      <c r="D66" s="315"/>
      <c r="E66" s="315"/>
      <c r="F66" s="315"/>
      <c r="G66" s="315"/>
      <c r="H66" s="315"/>
      <c r="I66" s="315"/>
      <c r="J66" s="315"/>
    </row>
    <row r="67" spans="1:10" ht="14.25" customHeight="1">
      <c r="A67" s="315"/>
      <c r="B67" s="315"/>
      <c r="C67" s="315"/>
      <c r="D67" s="315"/>
      <c r="E67" s="315"/>
      <c r="F67" s="315"/>
      <c r="G67" s="315"/>
      <c r="H67" s="315"/>
      <c r="I67" s="315"/>
      <c r="J67" s="315"/>
    </row>
    <row r="68" spans="1:10" ht="14.25" customHeight="1">
      <c r="A68" s="315"/>
      <c r="B68" s="315"/>
      <c r="C68" s="315"/>
      <c r="D68" s="315"/>
      <c r="E68" s="315"/>
      <c r="F68" s="315"/>
      <c r="G68" s="315"/>
      <c r="H68" s="315"/>
      <c r="I68" s="315"/>
      <c r="J68" s="315"/>
    </row>
    <row r="69" spans="1:10" ht="14.25" customHeight="1">
      <c r="A69" s="315"/>
      <c r="B69" s="315"/>
      <c r="C69" s="315"/>
      <c r="D69" s="315"/>
      <c r="E69" s="315"/>
      <c r="F69" s="315"/>
      <c r="G69" s="315"/>
      <c r="H69" s="315"/>
      <c r="I69" s="315"/>
      <c r="J69" s="315"/>
    </row>
    <row r="70" spans="1:10" ht="14.25" customHeight="1">
      <c r="A70" s="315"/>
      <c r="B70" s="315"/>
      <c r="C70" s="315"/>
      <c r="D70" s="315"/>
      <c r="E70" s="315"/>
      <c r="F70" s="315"/>
      <c r="G70" s="315"/>
      <c r="H70" s="315"/>
      <c r="I70" s="315"/>
      <c r="J70" s="315"/>
    </row>
    <row r="71" spans="1:10" ht="14.25" customHeight="1">
      <c r="A71" s="315"/>
      <c r="B71" s="315"/>
      <c r="C71" s="315"/>
      <c r="D71" s="315"/>
      <c r="E71" s="315"/>
      <c r="F71" s="315"/>
      <c r="G71" s="315"/>
      <c r="H71" s="315"/>
      <c r="I71" s="315"/>
      <c r="J71" s="315"/>
    </row>
    <row r="72" spans="1:10" ht="14.25" customHeight="1">
      <c r="A72" s="315"/>
      <c r="B72" s="315"/>
      <c r="C72" s="315"/>
      <c r="D72" s="315"/>
      <c r="E72" s="315"/>
      <c r="F72" s="315"/>
      <c r="G72" s="315"/>
      <c r="H72" s="315"/>
      <c r="I72" s="315"/>
      <c r="J72" s="315"/>
    </row>
    <row r="73" spans="1:10" ht="14.25" customHeight="1">
      <c r="A73" s="315"/>
      <c r="B73" s="315"/>
      <c r="C73" s="315"/>
      <c r="D73" s="315"/>
      <c r="E73" s="315"/>
      <c r="F73" s="315"/>
      <c r="G73" s="315"/>
      <c r="H73" s="315"/>
      <c r="I73" s="315"/>
      <c r="J73" s="315"/>
    </row>
    <row r="74" spans="1:10" ht="14.25" customHeight="1">
      <c r="A74" s="315"/>
      <c r="B74" s="315"/>
      <c r="C74" s="315"/>
      <c r="D74" s="315"/>
      <c r="E74" s="315"/>
      <c r="F74" s="315"/>
      <c r="G74" s="315"/>
      <c r="H74" s="315"/>
      <c r="I74" s="315"/>
      <c r="J74" s="315"/>
    </row>
    <row r="75" spans="1:10" ht="14.25" customHeight="1">
      <c r="A75" s="315"/>
      <c r="B75" s="315"/>
      <c r="C75" s="315"/>
      <c r="D75" s="315"/>
      <c r="E75" s="315"/>
      <c r="F75" s="315"/>
      <c r="G75" s="315"/>
      <c r="H75" s="315"/>
      <c r="I75" s="315"/>
      <c r="J75" s="315"/>
    </row>
    <row r="76" spans="1:10" ht="14.25" customHeight="1">
      <c r="A76" s="315"/>
      <c r="B76" s="315"/>
      <c r="C76" s="315"/>
      <c r="D76" s="315"/>
      <c r="E76" s="315"/>
      <c r="F76" s="315"/>
      <c r="G76" s="315"/>
      <c r="H76" s="315"/>
      <c r="I76" s="315"/>
      <c r="J76" s="315"/>
    </row>
    <row r="77" spans="1:10" ht="14.25" customHeight="1">
      <c r="A77" s="315"/>
      <c r="B77" s="315"/>
      <c r="C77" s="315"/>
      <c r="D77" s="315"/>
      <c r="E77" s="315"/>
      <c r="F77" s="315"/>
      <c r="G77" s="315"/>
      <c r="H77" s="315"/>
      <c r="I77" s="315"/>
      <c r="J77" s="315"/>
    </row>
    <row r="78" spans="1:10" ht="14.25" customHeight="1">
      <c r="A78" s="315"/>
      <c r="B78" s="315"/>
      <c r="C78" s="315"/>
      <c r="D78" s="315"/>
      <c r="E78" s="315"/>
      <c r="F78" s="315"/>
      <c r="G78" s="315"/>
      <c r="H78" s="315"/>
      <c r="I78" s="315"/>
      <c r="J78" s="315"/>
    </row>
    <row r="79" spans="1:10" ht="14.25" customHeight="1">
      <c r="A79" s="315"/>
      <c r="B79" s="315"/>
      <c r="C79" s="315"/>
      <c r="D79" s="315"/>
      <c r="E79" s="315"/>
      <c r="F79" s="315"/>
      <c r="G79" s="315"/>
      <c r="H79" s="315"/>
      <c r="I79" s="315"/>
      <c r="J79" s="315"/>
    </row>
    <row r="80" spans="1:10" ht="14.25" customHeight="1">
      <c r="A80" s="315"/>
      <c r="B80" s="315"/>
      <c r="C80" s="315"/>
      <c r="D80" s="315"/>
      <c r="E80" s="315"/>
      <c r="F80" s="315"/>
      <c r="G80" s="315"/>
      <c r="H80" s="315"/>
      <c r="I80" s="315"/>
      <c r="J80" s="315"/>
    </row>
    <row r="81" spans="1:10" ht="14.25" customHeight="1">
      <c r="A81" s="315"/>
      <c r="B81" s="315"/>
      <c r="C81" s="315"/>
      <c r="D81" s="315"/>
      <c r="E81" s="315"/>
      <c r="F81" s="315"/>
      <c r="G81" s="315"/>
      <c r="H81" s="315"/>
      <c r="I81" s="315"/>
      <c r="J81" s="315"/>
    </row>
    <row r="82" spans="1:10" ht="14.25" customHeight="1">
      <c r="A82" s="315"/>
      <c r="B82" s="315"/>
      <c r="C82" s="315"/>
      <c r="D82" s="315"/>
      <c r="E82" s="315"/>
      <c r="F82" s="315"/>
      <c r="G82" s="315"/>
      <c r="H82" s="315"/>
      <c r="I82" s="315"/>
      <c r="J82" s="315"/>
    </row>
    <row r="83" spans="1:10" ht="14.25" customHeight="1">
      <c r="A83" s="315"/>
      <c r="B83" s="315"/>
      <c r="C83" s="315"/>
      <c r="D83" s="315"/>
      <c r="E83" s="315"/>
      <c r="F83" s="315"/>
      <c r="G83" s="315"/>
      <c r="H83" s="315"/>
      <c r="I83" s="315"/>
      <c r="J83" s="315"/>
    </row>
    <row r="84" spans="1:10" ht="14.25" customHeight="1">
      <c r="A84" s="315"/>
      <c r="B84" s="315"/>
      <c r="C84" s="315"/>
      <c r="D84" s="315"/>
      <c r="E84" s="315"/>
      <c r="F84" s="315"/>
      <c r="G84" s="315"/>
      <c r="H84" s="315"/>
      <c r="I84" s="315"/>
      <c r="J84" s="315"/>
    </row>
    <row r="85" spans="1:10" ht="14.25" customHeight="1">
      <c r="A85" s="315"/>
      <c r="B85" s="315"/>
      <c r="C85" s="315"/>
      <c r="D85" s="315"/>
      <c r="E85" s="315"/>
      <c r="F85" s="315"/>
      <c r="G85" s="315"/>
      <c r="H85" s="315"/>
      <c r="I85" s="315"/>
      <c r="J85" s="315"/>
    </row>
    <row r="86" spans="1:10" ht="14.25" customHeight="1">
      <c r="A86" s="315"/>
      <c r="B86" s="315"/>
      <c r="C86" s="315"/>
      <c r="D86" s="315"/>
      <c r="E86" s="315"/>
      <c r="F86" s="315"/>
      <c r="G86" s="315"/>
      <c r="H86" s="315"/>
      <c r="I86" s="315"/>
      <c r="J86" s="315"/>
    </row>
    <row r="87" spans="1:10" ht="14.25" customHeight="1">
      <c r="A87" s="315"/>
      <c r="B87" s="315"/>
      <c r="C87" s="315"/>
      <c r="D87" s="315"/>
      <c r="E87" s="315"/>
      <c r="F87" s="315"/>
      <c r="G87" s="315"/>
      <c r="H87" s="315"/>
      <c r="I87" s="315"/>
      <c r="J87" s="315"/>
    </row>
    <row r="88" spans="1:10" ht="14.25" customHeight="1">
      <c r="A88" s="315"/>
      <c r="B88" s="315"/>
      <c r="C88" s="315"/>
      <c r="D88" s="315"/>
      <c r="E88" s="315"/>
      <c r="F88" s="315"/>
      <c r="G88" s="315"/>
      <c r="H88" s="315"/>
      <c r="I88" s="315"/>
      <c r="J88" s="315"/>
    </row>
    <row r="89" spans="1:10" ht="14.25" customHeight="1">
      <c r="A89" s="315"/>
      <c r="B89" s="315"/>
      <c r="C89" s="315"/>
      <c r="D89" s="315"/>
      <c r="E89" s="315"/>
      <c r="F89" s="315"/>
      <c r="G89" s="315"/>
      <c r="H89" s="315"/>
      <c r="I89" s="315"/>
      <c r="J89" s="315"/>
    </row>
    <row r="90" spans="1:10" ht="14.25" customHeight="1">
      <c r="A90" s="315"/>
      <c r="B90" s="315"/>
      <c r="C90" s="315"/>
      <c r="D90" s="315"/>
      <c r="E90" s="315"/>
      <c r="F90" s="315"/>
      <c r="G90" s="315"/>
      <c r="H90" s="315"/>
      <c r="I90" s="315"/>
      <c r="J90" s="315"/>
    </row>
    <row r="91" spans="1:10" ht="14.25" customHeight="1">
      <c r="A91" s="315"/>
      <c r="B91" s="315"/>
      <c r="C91" s="315"/>
      <c r="D91" s="315"/>
      <c r="E91" s="315"/>
      <c r="F91" s="315"/>
      <c r="G91" s="315"/>
      <c r="H91" s="315"/>
      <c r="I91" s="315"/>
      <c r="J91" s="315"/>
    </row>
    <row r="92" spans="1:10" ht="14.25" customHeight="1">
      <c r="A92" s="315"/>
      <c r="B92" s="315"/>
      <c r="C92" s="315"/>
      <c r="D92" s="315"/>
      <c r="E92" s="315"/>
      <c r="F92" s="315"/>
      <c r="G92" s="315"/>
      <c r="H92" s="315"/>
      <c r="I92" s="315"/>
      <c r="J92" s="315"/>
    </row>
    <row r="93" spans="1:10" ht="14.25" customHeight="1">
      <c r="A93" s="315"/>
      <c r="B93" s="315"/>
      <c r="C93" s="315"/>
      <c r="D93" s="315"/>
      <c r="E93" s="315"/>
      <c r="F93" s="315"/>
      <c r="G93" s="315"/>
      <c r="H93" s="315"/>
      <c r="I93" s="315"/>
      <c r="J93" s="315"/>
    </row>
    <row r="94" spans="1:10" ht="14.25" customHeight="1">
      <c r="A94" s="315"/>
      <c r="B94" s="315"/>
      <c r="C94" s="315"/>
      <c r="D94" s="315"/>
      <c r="E94" s="315"/>
      <c r="F94" s="315"/>
      <c r="G94" s="315"/>
      <c r="H94" s="315"/>
      <c r="I94" s="315"/>
      <c r="J94" s="315"/>
    </row>
    <row r="95" spans="1:10" ht="14.25" customHeight="1">
      <c r="A95" s="315"/>
      <c r="B95" s="315"/>
      <c r="C95" s="315"/>
      <c r="D95" s="315"/>
      <c r="E95" s="315"/>
      <c r="F95" s="315"/>
      <c r="G95" s="315"/>
      <c r="H95" s="315"/>
      <c r="I95" s="315"/>
      <c r="J95" s="315"/>
    </row>
  </sheetData>
  <mergeCells count="6">
    <mergeCell ref="A42:J42"/>
    <mergeCell ref="A1:J1"/>
    <mergeCell ref="A32:J32"/>
    <mergeCell ref="A30:J30"/>
    <mergeCell ref="A4:J4"/>
    <mergeCell ref="A2:J2"/>
  </mergeCells>
  <hyperlinks>
    <hyperlink ref="F3" location="'14_Trading_Comps'!A1" display="16_Trading_Comps'!A1" xr:uid="{00000000-0004-0000-1000-000000000000}"/>
    <hyperlink ref="J6" r:id="rId1" xr:uid="{00000000-0004-0000-1000-000001000000}"/>
    <hyperlink ref="J9" r:id="rId2" xr:uid="{00000000-0004-0000-1000-000002000000}"/>
    <hyperlink ref="J12" r:id="rId3" xr:uid="{00000000-0004-0000-1000-000003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99"/>
  <sheetViews>
    <sheetView showGridLines="0" topLeftCell="A55" workbookViewId="0">
      <selection sqref="A1:J1"/>
    </sheetView>
  </sheetViews>
  <sheetFormatPr defaultRowHeight="13.8"/>
  <cols>
    <col min="1" max="1" width="18" customWidth="1"/>
    <col min="2" max="2" width="34" customWidth="1"/>
    <col min="3" max="3" width="16" customWidth="1"/>
    <col min="4" max="6" width="14" customWidth="1"/>
    <col min="7" max="7" width="34" customWidth="1"/>
    <col min="8" max="8" width="28" customWidth="1"/>
    <col min="9" max="9" width="9.765625E-2" customWidth="1"/>
    <col min="10" max="10" width="62" customWidth="1"/>
  </cols>
  <sheetData>
    <row r="1" spans="1:10">
      <c r="A1" s="494" t="s">
        <v>908</v>
      </c>
      <c r="B1" s="452"/>
      <c r="C1" s="452"/>
      <c r="D1" s="452"/>
      <c r="E1" s="452"/>
      <c r="F1" s="452"/>
      <c r="G1" s="452"/>
      <c r="H1" s="452"/>
      <c r="I1" s="452"/>
      <c r="J1" s="452"/>
    </row>
    <row r="2" spans="1:10">
      <c r="A2" s="495" t="s">
        <v>2874</v>
      </c>
      <c r="B2" s="452"/>
      <c r="C2" s="452"/>
      <c r="D2" s="452"/>
      <c r="E2" s="452"/>
      <c r="F2" s="452"/>
      <c r="G2" s="452"/>
      <c r="H2" s="452"/>
      <c r="I2" s="452"/>
      <c r="J2" s="452"/>
    </row>
    <row r="3" spans="1:10">
      <c r="A3" s="252"/>
      <c r="B3" s="252"/>
      <c r="C3" s="252"/>
      <c r="D3" s="252"/>
      <c r="E3" s="252"/>
      <c r="F3" s="252"/>
      <c r="G3" s="252"/>
      <c r="H3" s="252"/>
      <c r="I3" s="252"/>
      <c r="J3" s="252"/>
    </row>
    <row r="4" spans="1:10" ht="24" customHeight="1">
      <c r="A4" s="494" t="s">
        <v>727</v>
      </c>
      <c r="B4" s="452"/>
      <c r="C4" s="452"/>
      <c r="D4" s="452"/>
      <c r="E4" s="452"/>
      <c r="F4" s="452"/>
      <c r="G4" s="452"/>
      <c r="H4" s="452"/>
      <c r="I4" s="452"/>
      <c r="J4" s="452"/>
    </row>
    <row r="5" spans="1:10">
      <c r="A5" s="390" t="s">
        <v>2</v>
      </c>
      <c r="B5" s="390" t="s">
        <v>3</v>
      </c>
      <c r="C5" s="390" t="s">
        <v>4</v>
      </c>
      <c r="D5" s="390" t="s">
        <v>637</v>
      </c>
      <c r="E5" s="390" t="s">
        <v>291</v>
      </c>
      <c r="F5" s="390" t="s">
        <v>638</v>
      </c>
      <c r="G5" s="390" t="s">
        <v>639</v>
      </c>
      <c r="H5" s="390" t="s">
        <v>150</v>
      </c>
      <c r="I5" s="390"/>
      <c r="J5" s="390" t="s">
        <v>821</v>
      </c>
    </row>
    <row r="6" spans="1:10">
      <c r="A6" s="198" t="s">
        <v>728</v>
      </c>
      <c r="B6" s="199" t="s">
        <v>544</v>
      </c>
      <c r="C6" s="199" t="s">
        <v>615</v>
      </c>
      <c r="D6" s="200" t="str">
        <f>'16_Trading_Comps'!$B$4</f>
        <v>2026-06-26</v>
      </c>
      <c r="E6" s="200" t="str">
        <f>'16_Trading_Comps'!$B$4</f>
        <v>2026-06-26</v>
      </c>
      <c r="F6" s="200" t="str">
        <f>'16_Trading_Comps'!$B$4</f>
        <v>2026-06-26</v>
      </c>
      <c r="G6" s="199" t="s">
        <v>398</v>
      </c>
      <c r="H6" s="199" t="s">
        <v>729</v>
      </c>
      <c r="I6" s="199"/>
      <c r="J6" s="201"/>
    </row>
    <row r="7" spans="1:10">
      <c r="A7" s="202" t="s">
        <v>728</v>
      </c>
      <c r="B7" s="203" t="s">
        <v>730</v>
      </c>
      <c r="C7" s="203" t="s">
        <v>731</v>
      </c>
      <c r="D7" s="204">
        <f>'16_Trading_Comps'!$E$8</f>
        <v>78500</v>
      </c>
      <c r="E7" s="204">
        <f>'16_Trading_Comps'!$E$8</f>
        <v>78500</v>
      </c>
      <c r="F7" s="204">
        <f>'16_Trading_Comps'!$E$8</f>
        <v>78500</v>
      </c>
      <c r="G7" s="203" t="s">
        <v>398</v>
      </c>
      <c r="H7" s="203" t="s">
        <v>729</v>
      </c>
      <c r="I7" s="203"/>
      <c r="J7" s="205"/>
    </row>
    <row r="8" spans="1:10">
      <c r="A8" s="202" t="s">
        <v>728</v>
      </c>
      <c r="B8" s="203" t="s">
        <v>732</v>
      </c>
      <c r="C8" s="203" t="s">
        <v>733</v>
      </c>
      <c r="D8" s="204">
        <f>'16_Trading_Comps'!$F$8</f>
        <v>1468423529</v>
      </c>
      <c r="E8" s="204">
        <f>'16_Trading_Comps'!$F$8</f>
        <v>1468423529</v>
      </c>
      <c r="F8" s="204">
        <f>'16_Trading_Comps'!$F$8</f>
        <v>1468423529</v>
      </c>
      <c r="G8" s="203" t="s">
        <v>398</v>
      </c>
      <c r="H8" s="203" t="s">
        <v>729</v>
      </c>
      <c r="I8" s="203"/>
      <c r="J8" s="205"/>
    </row>
    <row r="9" spans="1:10">
      <c r="A9" s="202" t="s">
        <v>734</v>
      </c>
      <c r="B9" s="203" t="s">
        <v>735</v>
      </c>
      <c r="C9" s="203" t="s">
        <v>14</v>
      </c>
      <c r="D9" s="206">
        <f>'16_Trading_Comps'!$J$8</f>
        <v>-18284.153128744998</v>
      </c>
      <c r="E9" s="206">
        <f>'16_Trading_Comps'!$J$8</f>
        <v>-18284.153128744998</v>
      </c>
      <c r="F9" s="206">
        <f>'16_Trading_Comps'!$J$8</f>
        <v>-18284.153128744998</v>
      </c>
      <c r="G9" s="203" t="s">
        <v>909</v>
      </c>
      <c r="H9" s="203" t="s">
        <v>729</v>
      </c>
      <c r="I9" s="203"/>
      <c r="J9" s="205"/>
    </row>
    <row r="10" spans="1:10">
      <c r="A10" s="202" t="s">
        <v>910</v>
      </c>
      <c r="B10" s="203" t="s">
        <v>911</v>
      </c>
      <c r="C10" s="203" t="s">
        <v>731</v>
      </c>
      <c r="D10" s="204">
        <f>'20_DCF'!$D$15</f>
        <v>142403.42665100578</v>
      </c>
      <c r="E10" s="204">
        <f>'20_DCF'!$E$15</f>
        <v>110920.36207822731</v>
      </c>
      <c r="F10" s="204">
        <f>'20_DCF'!$F$15</f>
        <v>87068.089902567997</v>
      </c>
      <c r="G10" s="203" t="s">
        <v>912</v>
      </c>
      <c r="H10" s="203" t="s">
        <v>913</v>
      </c>
      <c r="I10" s="203"/>
      <c r="J10" s="205"/>
    </row>
    <row r="11" spans="1:10">
      <c r="A11" s="202" t="s">
        <v>914</v>
      </c>
      <c r="B11" s="203" t="s">
        <v>915</v>
      </c>
      <c r="C11" s="203" t="s">
        <v>731</v>
      </c>
      <c r="D11" s="207">
        <f>D40</f>
        <v>110240.25069833641</v>
      </c>
      <c r="E11" s="207">
        <f>E40</f>
        <v>88476.230951316655</v>
      </c>
      <c r="F11" s="207">
        <f>F40</f>
        <v>69671.273568764489</v>
      </c>
      <c r="G11" s="203" t="s">
        <v>752</v>
      </c>
      <c r="H11" s="203" t="s">
        <v>916</v>
      </c>
      <c r="I11" s="203"/>
      <c r="J11" s="205"/>
    </row>
    <row r="12" spans="1:10">
      <c r="A12" s="208" t="s">
        <v>914</v>
      </c>
      <c r="B12" s="209" t="s">
        <v>753</v>
      </c>
      <c r="C12" s="209" t="s">
        <v>23</v>
      </c>
      <c r="D12" s="210">
        <f>D11/D7-1</f>
        <v>0.40433440380046393</v>
      </c>
      <c r="E12" s="210">
        <f>E11/E7-1</f>
        <v>0.12708574460276001</v>
      </c>
      <c r="F12" s="210">
        <f>F11/F7-1</f>
        <v>-0.11246785262720393</v>
      </c>
      <c r="G12" s="209" t="s">
        <v>754</v>
      </c>
      <c r="H12" s="209" t="s">
        <v>916</v>
      </c>
      <c r="I12" s="209"/>
      <c r="J12" s="211"/>
    </row>
    <row r="13" spans="1:10">
      <c r="A13" s="252"/>
      <c r="B13" s="252"/>
      <c r="C13" s="252"/>
      <c r="D13" s="253"/>
      <c r="E13" s="253"/>
      <c r="F13" s="253"/>
      <c r="G13" s="252"/>
      <c r="H13" s="252"/>
      <c r="I13" s="252"/>
      <c r="J13" s="252"/>
    </row>
    <row r="14" spans="1:10" ht="24" customHeight="1">
      <c r="A14" s="494" t="s">
        <v>917</v>
      </c>
      <c r="B14" s="452"/>
      <c r="C14" s="452"/>
      <c r="D14" s="452"/>
      <c r="E14" s="452"/>
      <c r="F14" s="452"/>
      <c r="G14" s="452"/>
      <c r="H14" s="452"/>
      <c r="I14" s="452"/>
      <c r="J14" s="452"/>
    </row>
    <row r="15" spans="1:10">
      <c r="A15" s="390" t="s">
        <v>2</v>
      </c>
      <c r="B15" s="390" t="s">
        <v>3</v>
      </c>
      <c r="C15" s="390" t="s">
        <v>4</v>
      </c>
      <c r="D15" s="391" t="s">
        <v>637</v>
      </c>
      <c r="E15" s="391" t="s">
        <v>291</v>
      </c>
      <c r="F15" s="391" t="s">
        <v>638</v>
      </c>
      <c r="G15" s="390" t="s">
        <v>639</v>
      </c>
      <c r="H15" s="390" t="s">
        <v>150</v>
      </c>
      <c r="I15" s="390"/>
      <c r="J15" s="390" t="s">
        <v>821</v>
      </c>
    </row>
    <row r="16" spans="1:10" ht="25.5" customHeight="1">
      <c r="A16" s="198" t="s">
        <v>918</v>
      </c>
      <c r="B16" s="199" t="s">
        <v>919</v>
      </c>
      <c r="C16" s="199" t="s">
        <v>14</v>
      </c>
      <c r="D16" s="392">
        <f>'21_Target_Multiple_Bridge'!$D$8</f>
        <v>114999.99999999999</v>
      </c>
      <c r="E16" s="392">
        <f>'21_Target_Multiple_Bridge'!$E$8</f>
        <v>102460</v>
      </c>
      <c r="F16" s="392">
        <f>'21_Target_Multiple_Bridge'!$F$8</f>
        <v>100000</v>
      </c>
      <c r="G16" s="199" t="s">
        <v>920</v>
      </c>
      <c r="H16" s="199" t="s">
        <v>921</v>
      </c>
      <c r="I16" s="199"/>
      <c r="J16" s="201" t="s">
        <v>826</v>
      </c>
    </row>
    <row r="17" spans="1:10" ht="25.5" customHeight="1">
      <c r="A17" s="202" t="s">
        <v>918</v>
      </c>
      <c r="B17" s="203" t="s">
        <v>922</v>
      </c>
      <c r="C17" s="203" t="s">
        <v>14</v>
      </c>
      <c r="D17" s="393">
        <f>'21_Target_Multiple_Bridge'!$D$9</f>
        <v>11012.8</v>
      </c>
      <c r="E17" s="393">
        <f>'21_Target_Multiple_Bridge'!$E$9</f>
        <v>11012.8</v>
      </c>
      <c r="F17" s="393">
        <f>'21_Target_Multiple_Bridge'!$F$9</f>
        <v>11012.8</v>
      </c>
      <c r="G17" s="203" t="s">
        <v>920</v>
      </c>
      <c r="H17" s="203" t="s">
        <v>921</v>
      </c>
      <c r="I17" s="203"/>
      <c r="J17" s="205" t="s">
        <v>826</v>
      </c>
    </row>
    <row r="18" spans="1:10" ht="25.5" customHeight="1">
      <c r="A18" s="202" t="s">
        <v>918</v>
      </c>
      <c r="B18" s="203" t="s">
        <v>923</v>
      </c>
      <c r="C18" s="203" t="s">
        <v>14</v>
      </c>
      <c r="D18" s="393">
        <f>'21_Target_Multiple_Bridge'!$D$10</f>
        <v>12807.8</v>
      </c>
      <c r="E18" s="393">
        <f>'21_Target_Multiple_Bridge'!$E$10</f>
        <v>12807.8</v>
      </c>
      <c r="F18" s="393">
        <f>'21_Target_Multiple_Bridge'!$F$10</f>
        <v>12807.8</v>
      </c>
      <c r="G18" s="203" t="s">
        <v>920</v>
      </c>
      <c r="H18" s="203" t="s">
        <v>921</v>
      </c>
      <c r="I18" s="203"/>
      <c r="J18" s="205" t="s">
        <v>826</v>
      </c>
    </row>
    <row r="19" spans="1:10">
      <c r="A19" s="202" t="s">
        <v>918</v>
      </c>
      <c r="B19" s="203" t="s">
        <v>924</v>
      </c>
      <c r="C19" s="203" t="s">
        <v>23</v>
      </c>
      <c r="D19" s="394">
        <f>'21_Target_Multiple_Bridge'!$D$11</f>
        <v>0.8598510282796421</v>
      </c>
      <c r="E19" s="394">
        <f>'21_Target_Multiple_Bridge'!$E$11</f>
        <v>0.8598510282796421</v>
      </c>
      <c r="F19" s="394">
        <f>'21_Target_Multiple_Bridge'!$F$11</f>
        <v>0.8598510282796421</v>
      </c>
      <c r="G19" s="203" t="s">
        <v>920</v>
      </c>
      <c r="H19" s="203" t="s">
        <v>925</v>
      </c>
      <c r="I19" s="203"/>
      <c r="J19" s="205"/>
    </row>
    <row r="20" spans="1:10" ht="25.5" customHeight="1">
      <c r="A20" s="202" t="s">
        <v>838</v>
      </c>
      <c r="B20" s="203" t="s">
        <v>926</v>
      </c>
      <c r="C20" s="203" t="s">
        <v>226</v>
      </c>
      <c r="D20" s="395">
        <f>'21_Target_Multiple_Bridge'!$D$14</f>
        <v>0.9</v>
      </c>
      <c r="E20" s="395">
        <f>'21_Target_Multiple_Bridge'!$E$14</f>
        <v>0.8</v>
      </c>
      <c r="F20" s="395">
        <f>'21_Target_Multiple_Bridge'!$F$14</f>
        <v>0.60000000000000009</v>
      </c>
      <c r="G20" s="203" t="s">
        <v>920</v>
      </c>
      <c r="H20" s="203" t="s">
        <v>927</v>
      </c>
      <c r="I20" s="203"/>
      <c r="J20" s="205" t="s">
        <v>842</v>
      </c>
    </row>
    <row r="21" spans="1:10" ht="27.6">
      <c r="A21" s="202" t="s">
        <v>846</v>
      </c>
      <c r="B21" s="203" t="s">
        <v>928</v>
      </c>
      <c r="C21" s="203" t="s">
        <v>226</v>
      </c>
      <c r="D21" s="395">
        <f>'21_Target_Multiple_Bridge'!$D$17</f>
        <v>0.4</v>
      </c>
      <c r="E21" s="395">
        <f>'21_Target_Multiple_Bridge'!$E$17</f>
        <v>0.3</v>
      </c>
      <c r="F21" s="395">
        <f>'21_Target_Multiple_Bridge'!$F$17</f>
        <v>0.2</v>
      </c>
      <c r="G21" s="203" t="s">
        <v>920</v>
      </c>
      <c r="H21" s="203" t="s">
        <v>929</v>
      </c>
      <c r="I21" s="203"/>
      <c r="J21" s="205" t="s">
        <v>729</v>
      </c>
    </row>
    <row r="22" spans="1:10" ht="25.5" customHeight="1">
      <c r="A22" s="202" t="s">
        <v>853</v>
      </c>
      <c r="B22" s="203" t="s">
        <v>930</v>
      </c>
      <c r="C22" s="203" t="s">
        <v>226</v>
      </c>
      <c r="D22" s="395">
        <f>'21_Target_Multiple_Bridge'!$D$20</f>
        <v>0.7</v>
      </c>
      <c r="E22" s="395">
        <f>'21_Target_Multiple_Bridge'!$E$20</f>
        <v>0.5</v>
      </c>
      <c r="F22" s="395">
        <f>'21_Target_Multiple_Bridge'!$F$20</f>
        <v>0.3</v>
      </c>
      <c r="G22" s="203" t="s">
        <v>920</v>
      </c>
      <c r="H22" s="203" t="s">
        <v>931</v>
      </c>
      <c r="I22" s="203"/>
      <c r="J22" s="205" t="s">
        <v>729</v>
      </c>
    </row>
    <row r="23" spans="1:10">
      <c r="A23" s="202" t="s">
        <v>859</v>
      </c>
      <c r="B23" s="203" t="s">
        <v>860</v>
      </c>
      <c r="C23" s="203" t="s">
        <v>23</v>
      </c>
      <c r="D23" s="396">
        <f>'21_Target_Multiple_Bridge'!$D$21</f>
        <v>0.05</v>
      </c>
      <c r="E23" s="396">
        <f>'21_Target_Multiple_Bridge'!$E$21</f>
        <v>0.1</v>
      </c>
      <c r="F23" s="396">
        <f>'21_Target_Multiple_Bridge'!$F$21</f>
        <v>0.15</v>
      </c>
      <c r="G23" s="203" t="s">
        <v>920</v>
      </c>
      <c r="H23" s="203" t="s">
        <v>925</v>
      </c>
      <c r="I23" s="203"/>
      <c r="J23" s="205"/>
    </row>
    <row r="24" spans="1:10">
      <c r="A24" s="202" t="s">
        <v>734</v>
      </c>
      <c r="B24" s="203" t="s">
        <v>863</v>
      </c>
      <c r="C24" s="203" t="s">
        <v>23</v>
      </c>
      <c r="D24" s="396">
        <f>'21_Target_Multiple_Bridge'!$D$22</f>
        <v>1</v>
      </c>
      <c r="E24" s="396">
        <f>'21_Target_Multiple_Bridge'!$E$22</f>
        <v>0.5</v>
      </c>
      <c r="F24" s="396">
        <f>'21_Target_Multiple_Bridge'!$F$22</f>
        <v>0</v>
      </c>
      <c r="G24" s="203" t="s">
        <v>920</v>
      </c>
      <c r="H24" s="203" t="s">
        <v>925</v>
      </c>
      <c r="I24" s="203"/>
      <c r="J24" s="205"/>
    </row>
    <row r="25" spans="1:10" ht="14.25" customHeight="1"/>
    <row r="26" spans="1:10" ht="21" customHeight="1"/>
    <row r="27" spans="1:10" ht="20.25" customHeight="1"/>
    <row r="28" spans="1:10">
      <c r="A28" s="252"/>
      <c r="B28" s="252"/>
      <c r="C28" s="252"/>
      <c r="D28" s="253"/>
      <c r="E28" s="253"/>
      <c r="F28" s="253"/>
      <c r="G28" s="252"/>
      <c r="H28" s="252"/>
      <c r="I28" s="252"/>
      <c r="J28" s="252"/>
    </row>
    <row r="29" spans="1:10" ht="24" customHeight="1">
      <c r="A29" s="494" t="s">
        <v>932</v>
      </c>
      <c r="B29" s="452"/>
      <c r="C29" s="452"/>
      <c r="D29" s="452"/>
      <c r="E29" s="452"/>
      <c r="F29" s="452"/>
      <c r="G29" s="452"/>
      <c r="H29" s="452"/>
      <c r="I29" s="452"/>
      <c r="J29" s="452"/>
    </row>
    <row r="30" spans="1:10">
      <c r="A30" s="390" t="s">
        <v>2</v>
      </c>
      <c r="B30" s="390" t="s">
        <v>3</v>
      </c>
      <c r="C30" s="390" t="s">
        <v>4</v>
      </c>
      <c r="D30" s="391" t="s">
        <v>637</v>
      </c>
      <c r="E30" s="391" t="s">
        <v>291</v>
      </c>
      <c r="F30" s="391" t="s">
        <v>638</v>
      </c>
      <c r="G30" s="390" t="s">
        <v>639</v>
      </c>
      <c r="H30" s="390" t="s">
        <v>150</v>
      </c>
      <c r="I30" s="390"/>
      <c r="J30" s="390" t="s">
        <v>821</v>
      </c>
    </row>
    <row r="31" spans="1:10" ht="25.5" customHeight="1">
      <c r="A31" s="198" t="s">
        <v>933</v>
      </c>
      <c r="B31" s="199" t="s">
        <v>934</v>
      </c>
      <c r="C31" s="199" t="s">
        <v>14</v>
      </c>
      <c r="D31" s="212">
        <f>D16*D19</f>
        <v>98882.868252158834</v>
      </c>
      <c r="E31" s="212">
        <f>E16*E19</f>
        <v>88100.336357532127</v>
      </c>
      <c r="F31" s="212">
        <f>F16*F19</f>
        <v>85985.102827964205</v>
      </c>
      <c r="G31" s="199" t="s">
        <v>935</v>
      </c>
      <c r="H31" s="199" t="s">
        <v>936</v>
      </c>
      <c r="I31" s="199"/>
      <c r="J31" s="201"/>
    </row>
    <row r="32" spans="1:10">
      <c r="A32" s="202" t="s">
        <v>933</v>
      </c>
      <c r="B32" s="203" t="s">
        <v>937</v>
      </c>
      <c r="C32" s="203" t="s">
        <v>14</v>
      </c>
      <c r="D32" s="213">
        <f>'07_Revenue_Drivers'!$G$17*D20</f>
        <v>49950</v>
      </c>
      <c r="E32" s="213">
        <f>'07_Revenue_Drivers'!$G$17*E20</f>
        <v>44400</v>
      </c>
      <c r="F32" s="213">
        <f>'07_Revenue_Drivers'!$G$17*F20</f>
        <v>33300.000000000007</v>
      </c>
      <c r="G32" s="203" t="s">
        <v>938</v>
      </c>
      <c r="H32" s="203" t="s">
        <v>939</v>
      </c>
      <c r="I32" s="203"/>
      <c r="J32" s="205"/>
    </row>
    <row r="33" spans="1:10">
      <c r="A33" s="202" t="s">
        <v>933</v>
      </c>
      <c r="B33" s="203" t="s">
        <v>940</v>
      </c>
      <c r="C33" s="203" t="s">
        <v>14</v>
      </c>
      <c r="D33" s="213">
        <f>'07_Revenue_Drivers'!$G$18*D21</f>
        <v>1144</v>
      </c>
      <c r="E33" s="213">
        <f>'07_Revenue_Drivers'!$G$18*E21</f>
        <v>858</v>
      </c>
      <c r="F33" s="213">
        <f>'07_Revenue_Drivers'!$G$18*F21</f>
        <v>572</v>
      </c>
      <c r="G33" s="203" t="s">
        <v>941</v>
      </c>
      <c r="H33" s="203" t="s">
        <v>939</v>
      </c>
      <c r="I33" s="203"/>
      <c r="J33" s="205"/>
    </row>
    <row r="34" spans="1:10">
      <c r="A34" s="202" t="s">
        <v>933</v>
      </c>
      <c r="B34" s="203" t="s">
        <v>942</v>
      </c>
      <c r="C34" s="203" t="s">
        <v>14</v>
      </c>
      <c r="D34" s="213">
        <f>'07_Revenue_Drivers'!$G$19*D22</f>
        <v>1176</v>
      </c>
      <c r="E34" s="213">
        <f>'07_Revenue_Drivers'!$G$19*E22</f>
        <v>840</v>
      </c>
      <c r="F34" s="213">
        <f>'07_Revenue_Drivers'!$G$19*F22</f>
        <v>504</v>
      </c>
      <c r="G34" s="203" t="s">
        <v>943</v>
      </c>
      <c r="H34" s="203" t="s">
        <v>939</v>
      </c>
      <c r="I34" s="203"/>
      <c r="J34" s="205"/>
    </row>
    <row r="35" spans="1:10">
      <c r="A35" s="202" t="s">
        <v>933</v>
      </c>
      <c r="B35" s="203" t="s">
        <v>944</v>
      </c>
      <c r="C35" s="203" t="s">
        <v>14</v>
      </c>
      <c r="D35" s="397">
        <v>0</v>
      </c>
      <c r="E35" s="397">
        <v>0</v>
      </c>
      <c r="F35" s="397">
        <v>0</v>
      </c>
      <c r="G35" s="203" t="s">
        <v>945</v>
      </c>
      <c r="H35" s="203" t="s">
        <v>744</v>
      </c>
      <c r="I35" s="203"/>
      <c r="J35" s="205"/>
    </row>
    <row r="36" spans="1:10">
      <c r="A36" s="214" t="s">
        <v>946</v>
      </c>
      <c r="B36" s="215" t="s">
        <v>947</v>
      </c>
      <c r="C36" s="215" t="s">
        <v>14</v>
      </c>
      <c r="D36" s="216">
        <f>SUM(D31:D35)</f>
        <v>151152.86825215883</v>
      </c>
      <c r="E36" s="216">
        <f>SUM(E31:E35)</f>
        <v>134198.33635753213</v>
      </c>
      <c r="F36" s="216">
        <f>SUM(F31:F35)</f>
        <v>120361.10282796421</v>
      </c>
      <c r="G36" s="215" t="s">
        <v>948</v>
      </c>
      <c r="H36" s="215" t="s">
        <v>24</v>
      </c>
      <c r="I36" s="215"/>
      <c r="J36" s="217"/>
    </row>
    <row r="37" spans="1:10">
      <c r="A37" s="202" t="s">
        <v>949</v>
      </c>
      <c r="B37" s="203" t="s">
        <v>860</v>
      </c>
      <c r="C37" s="203" t="s">
        <v>14</v>
      </c>
      <c r="D37" s="213">
        <f>-D36*D23</f>
        <v>-7557.6434126079421</v>
      </c>
      <c r="E37" s="213">
        <f>-E36*E23</f>
        <v>-13419.833635753213</v>
      </c>
      <c r="F37" s="213">
        <f>-F36*F23</f>
        <v>-18054.165424194631</v>
      </c>
      <c r="G37" s="203" t="s">
        <v>950</v>
      </c>
      <c r="H37" s="203" t="s">
        <v>24</v>
      </c>
      <c r="I37" s="203"/>
      <c r="J37" s="205"/>
    </row>
    <row r="38" spans="1:10">
      <c r="A38" s="202" t="s">
        <v>949</v>
      </c>
      <c r="B38" s="203" t="s">
        <v>951</v>
      </c>
      <c r="C38" s="203" t="s">
        <v>14</v>
      </c>
      <c r="D38" s="213">
        <f>-D9*D24</f>
        <v>18284.153128744998</v>
      </c>
      <c r="E38" s="213">
        <f>-E9*E24</f>
        <v>9142.076564372499</v>
      </c>
      <c r="F38" s="213">
        <f>-F9*F24</f>
        <v>0</v>
      </c>
      <c r="G38" s="203" t="s">
        <v>952</v>
      </c>
      <c r="H38" s="203" t="s">
        <v>953</v>
      </c>
      <c r="I38" s="203"/>
      <c r="J38" s="205"/>
    </row>
    <row r="39" spans="1:10">
      <c r="A39" s="398" t="s">
        <v>749</v>
      </c>
      <c r="B39" s="399" t="s">
        <v>954</v>
      </c>
      <c r="C39" s="399" t="s">
        <v>14</v>
      </c>
      <c r="D39" s="400">
        <f>SUM(D36:D38)</f>
        <v>161879.37796829588</v>
      </c>
      <c r="E39" s="400">
        <f>SUM(E36:E38)</f>
        <v>129920.57928615142</v>
      </c>
      <c r="F39" s="400">
        <f>SUM(F36:F38)</f>
        <v>102306.93740376958</v>
      </c>
      <c r="G39" s="399" t="s">
        <v>955</v>
      </c>
      <c r="H39" s="399" t="s">
        <v>24</v>
      </c>
      <c r="I39" s="399"/>
      <c r="J39" s="399"/>
    </row>
    <row r="40" spans="1:10">
      <c r="A40" s="398" t="s">
        <v>956</v>
      </c>
      <c r="B40" s="399" t="s">
        <v>957</v>
      </c>
      <c r="C40" s="399" t="s">
        <v>731</v>
      </c>
      <c r="D40" s="401">
        <f>D39*1000000000/D8</f>
        <v>110240.25069833641</v>
      </c>
      <c r="E40" s="401">
        <f>E39*1000000000/E8</f>
        <v>88476.230951316655</v>
      </c>
      <c r="F40" s="401">
        <f>F39*1000000000/F8</f>
        <v>69671.273568764489</v>
      </c>
      <c r="G40" s="399" t="s">
        <v>752</v>
      </c>
      <c r="H40" s="399" t="s">
        <v>24</v>
      </c>
      <c r="I40" s="399"/>
      <c r="J40" s="399"/>
    </row>
    <row r="41" spans="1:10">
      <c r="A41" s="208" t="s">
        <v>956</v>
      </c>
      <c r="B41" s="209" t="s">
        <v>753</v>
      </c>
      <c r="C41" s="209" t="s">
        <v>23</v>
      </c>
      <c r="D41" s="210">
        <f>D40/D7-1</f>
        <v>0.40433440380046393</v>
      </c>
      <c r="E41" s="210">
        <f>E40/E7-1</f>
        <v>0.12708574460276001</v>
      </c>
      <c r="F41" s="210">
        <f>F40/F7-1</f>
        <v>-0.11246785262720393</v>
      </c>
      <c r="G41" s="209" t="s">
        <v>958</v>
      </c>
      <c r="H41" s="209" t="s">
        <v>24</v>
      </c>
      <c r="I41" s="209"/>
      <c r="J41" s="211"/>
    </row>
    <row r="42" spans="1:10" ht="34.5" customHeight="1">
      <c r="A42" s="252"/>
      <c r="B42" s="252"/>
      <c r="C42" s="252"/>
      <c r="D42" s="253"/>
      <c r="E42" s="253"/>
      <c r="F42" s="253"/>
      <c r="G42" s="252"/>
      <c r="H42" s="252"/>
      <c r="I42" s="252"/>
      <c r="J42" s="252"/>
    </row>
    <row r="43" spans="1:10" ht="21.75" customHeight="1">
      <c r="A43" s="452"/>
      <c r="B43" s="452"/>
      <c r="C43" s="452"/>
      <c r="D43" s="452"/>
      <c r="E43" s="452"/>
      <c r="F43" s="452"/>
      <c r="G43" s="452"/>
      <c r="H43" s="452"/>
      <c r="I43" s="452"/>
      <c r="J43" s="452"/>
    </row>
    <row r="44" spans="1:10" ht="21.75" customHeight="1"/>
    <row r="45" spans="1:10" ht="47.25" customHeight="1"/>
    <row r="46" spans="1:10" ht="3" customHeight="1"/>
    <row r="47" spans="1:10" ht="33" customHeight="1"/>
    <row r="48" spans="1:10" ht="14.25" customHeight="1"/>
    <row r="49" spans="1:10" ht="21.75" customHeight="1"/>
    <row r="50" spans="1:10" ht="29.25" customHeight="1"/>
    <row r="51" spans="1:10">
      <c r="A51" s="252"/>
      <c r="B51" s="252"/>
      <c r="C51" s="252"/>
      <c r="D51" s="253"/>
      <c r="E51" s="253"/>
      <c r="F51" s="253"/>
      <c r="G51" s="252"/>
      <c r="H51" s="252"/>
      <c r="I51" s="252"/>
      <c r="J51" s="252"/>
    </row>
    <row r="52" spans="1:10" ht="24" customHeight="1">
      <c r="A52" s="494" t="s">
        <v>959</v>
      </c>
      <c r="B52" s="452"/>
      <c r="C52" s="452"/>
      <c r="D52" s="452"/>
      <c r="E52" s="452"/>
      <c r="F52" s="452"/>
      <c r="G52" s="452"/>
      <c r="H52" s="452"/>
      <c r="I52" s="452"/>
      <c r="J52" s="452"/>
    </row>
    <row r="53" spans="1:10">
      <c r="A53" s="390" t="s">
        <v>2</v>
      </c>
      <c r="B53" s="390" t="s">
        <v>3</v>
      </c>
      <c r="C53" s="390" t="s">
        <v>4</v>
      </c>
      <c r="D53" s="391" t="s">
        <v>637</v>
      </c>
      <c r="E53" s="391" t="s">
        <v>291</v>
      </c>
      <c r="F53" s="391" t="s">
        <v>638</v>
      </c>
      <c r="G53" s="390" t="s">
        <v>639</v>
      </c>
      <c r="H53" s="390" t="s">
        <v>150</v>
      </c>
      <c r="I53" s="390"/>
      <c r="J53" s="390" t="s">
        <v>821</v>
      </c>
    </row>
    <row r="54" spans="1:10">
      <c r="A54" s="198" t="s">
        <v>910</v>
      </c>
      <c r="B54" s="199" t="s">
        <v>957</v>
      </c>
      <c r="C54" s="199" t="s">
        <v>731</v>
      </c>
      <c r="D54" s="218">
        <f>D40</f>
        <v>110240.25069833641</v>
      </c>
      <c r="E54" s="218">
        <f>E40</f>
        <v>88476.230951316655</v>
      </c>
      <c r="F54" s="218">
        <f>F40</f>
        <v>69671.273568764489</v>
      </c>
      <c r="G54" s="199" t="s">
        <v>398</v>
      </c>
      <c r="H54" s="199" t="s">
        <v>960</v>
      </c>
      <c r="I54" s="199"/>
      <c r="J54" s="201"/>
    </row>
    <row r="55" spans="1:10">
      <c r="A55" s="202" t="s">
        <v>910</v>
      </c>
      <c r="B55" s="203" t="s">
        <v>961</v>
      </c>
      <c r="C55" s="203" t="s">
        <v>731</v>
      </c>
      <c r="D55" s="219">
        <f>D10</f>
        <v>142403.42665100578</v>
      </c>
      <c r="E55" s="219">
        <f>E10</f>
        <v>110920.36207822731</v>
      </c>
      <c r="F55" s="219">
        <f>F10</f>
        <v>87068.089902567997</v>
      </c>
      <c r="G55" s="203" t="s">
        <v>398</v>
      </c>
      <c r="H55" s="203" t="s">
        <v>913</v>
      </c>
      <c r="I55" s="203"/>
      <c r="J55" s="205"/>
    </row>
    <row r="56" spans="1:10">
      <c r="A56" s="202" t="s">
        <v>910</v>
      </c>
      <c r="B56" s="203" t="s">
        <v>962</v>
      </c>
      <c r="C56" s="203" t="s">
        <v>23</v>
      </c>
      <c r="D56" s="220">
        <f>D54/D55-1</f>
        <v>-0.2258595646823377</v>
      </c>
      <c r="E56" s="220">
        <f>E54/E55-1</f>
        <v>-0.20234455339301705</v>
      </c>
      <c r="F56" s="220">
        <f>F54/F55-1</f>
        <v>-0.19980702865161171</v>
      </c>
      <c r="G56" s="203" t="s">
        <v>963</v>
      </c>
      <c r="H56" s="203" t="s">
        <v>24</v>
      </c>
      <c r="I56" s="203"/>
      <c r="J56" s="205"/>
    </row>
    <row r="57" spans="1:10">
      <c r="A57" s="208" t="s">
        <v>910</v>
      </c>
      <c r="B57" s="209" t="s">
        <v>964</v>
      </c>
      <c r="C57" s="209" t="s">
        <v>23</v>
      </c>
      <c r="D57" s="221">
        <f>D39/'16_Trading_Comps'!$G$8-1</f>
        <v>0.40433440380046393</v>
      </c>
      <c r="E57" s="221">
        <f>E39/'16_Trading_Comps'!$G$8-1</f>
        <v>0.12708574460275979</v>
      </c>
      <c r="F57" s="221">
        <f>F39/'16_Trading_Comps'!$G$8-1</f>
        <v>-0.11246785262720393</v>
      </c>
      <c r="G57" s="209" t="s">
        <v>965</v>
      </c>
      <c r="H57" s="209" t="s">
        <v>729</v>
      </c>
      <c r="I57" s="209"/>
      <c r="J57" s="211"/>
    </row>
    <row r="58" spans="1:10">
      <c r="A58" s="252"/>
      <c r="B58" s="252"/>
      <c r="C58" s="252"/>
      <c r="D58" s="252"/>
      <c r="E58" s="252"/>
      <c r="F58" s="252"/>
      <c r="G58" s="252"/>
      <c r="H58" s="252"/>
      <c r="I58" s="252"/>
      <c r="J58" s="252"/>
    </row>
    <row r="59" spans="1:10" ht="24" customHeight="1">
      <c r="A59" s="494" t="s">
        <v>966</v>
      </c>
      <c r="B59" s="452"/>
      <c r="C59" s="452"/>
      <c r="D59" s="452"/>
      <c r="E59" s="452"/>
      <c r="F59" s="452"/>
      <c r="G59" s="452"/>
      <c r="H59" s="452"/>
      <c r="I59" s="452"/>
      <c r="J59" s="452"/>
    </row>
    <row r="60" spans="1:10" ht="25.5" customHeight="1">
      <c r="A60" s="390" t="s">
        <v>967</v>
      </c>
      <c r="B60" s="390"/>
      <c r="C60" s="402">
        <v>0.05</v>
      </c>
      <c r="D60" s="402">
        <v>0.1</v>
      </c>
      <c r="E60" s="402">
        <v>0.15</v>
      </c>
      <c r="F60" s="402">
        <v>0.2</v>
      </c>
      <c r="G60" s="252"/>
      <c r="H60" s="252"/>
      <c r="I60" s="252"/>
      <c r="J60" s="252"/>
    </row>
    <row r="61" spans="1:10">
      <c r="A61" s="254">
        <v>0.5</v>
      </c>
      <c r="B61" s="255"/>
      <c r="C61" s="256">
        <f>(($E$31+'07_Revenue_Drivers'!$G$17*$A61+$E$33+$E$34+$E$35)*(1-C$60)+$E$38)*1000000000/$E$8</f>
        <v>82273.944620256778</v>
      </c>
      <c r="D61" s="256">
        <f>(($E$31+'07_Revenue_Drivers'!$G$17*$A61+$E$33+$E$34+$E$35)*(1-D$60)+$E$38)*1000000000/$E$8</f>
        <v>78271.409451211148</v>
      </c>
      <c r="E61" s="256">
        <f>(($E$31+'07_Revenue_Drivers'!$G$17*$A61+$E$33+$E$34+$E$35)*(1-E$60)+$E$38)*1000000000/$E$8</f>
        <v>74268.874282165503</v>
      </c>
      <c r="F61" s="256">
        <f>(($E$31+'07_Revenue_Drivers'!$G$17*$A61+$E$33+$E$34+$E$35)*(1-F$60)+$E$38)*1000000000/$E$8</f>
        <v>70266.339113119859</v>
      </c>
      <c r="G61" s="252"/>
      <c r="H61" s="252"/>
      <c r="I61" s="252"/>
      <c r="J61" s="252"/>
    </row>
    <row r="62" spans="1:10">
      <c r="A62" s="254">
        <v>0.6</v>
      </c>
      <c r="B62" s="255"/>
      <c r="C62" s="256">
        <f>(($E$31+'07_Revenue_Drivers'!$G$17*$A62+$E$33+$E$34+$E$35)*(1-C$60)+$E$38)*1000000000/$E$8</f>
        <v>85864.529962886489</v>
      </c>
      <c r="D62" s="256">
        <f>(($E$31+'07_Revenue_Drivers'!$G$17*$A62+$E$33+$E$34+$E$35)*(1-D$60)+$E$38)*1000000000/$E$8</f>
        <v>81673.016617912974</v>
      </c>
      <c r="E62" s="256">
        <f>(($E$31+'07_Revenue_Drivers'!$G$17*$A62+$E$33+$E$34+$E$35)*(1-E$60)+$E$38)*1000000000/$E$8</f>
        <v>77481.503272939459</v>
      </c>
      <c r="F62" s="256">
        <f>(($E$31+'07_Revenue_Drivers'!$G$17*$A62+$E$33+$E$34+$E$35)*(1-F$60)+$E$38)*1000000000/$E$8</f>
        <v>73289.989927965944</v>
      </c>
      <c r="G62" s="252"/>
      <c r="H62" s="252"/>
      <c r="I62" s="252"/>
      <c r="J62" s="252"/>
    </row>
    <row r="63" spans="1:10">
      <c r="A63" s="254">
        <v>0.7</v>
      </c>
      <c r="B63" s="255"/>
      <c r="C63" s="256">
        <f>(($E$31+'07_Revenue_Drivers'!$G$17*$A63+$E$33+$E$34+$E$35)*(1-C$60)+$E$38)*1000000000/$E$8</f>
        <v>89455.115305516199</v>
      </c>
      <c r="D63" s="256">
        <f>(($E$31+'07_Revenue_Drivers'!$G$17*$A63+$E$33+$E$34+$E$35)*(1-D$60)+$E$38)*1000000000/$E$8</f>
        <v>85074.623784614814</v>
      </c>
      <c r="E63" s="256">
        <f>(($E$31+'07_Revenue_Drivers'!$G$17*$A63+$E$33+$E$34+$E$35)*(1-E$60)+$E$38)*1000000000/$E$8</f>
        <v>80694.132263713414</v>
      </c>
      <c r="F63" s="256">
        <f>(($E$31+'07_Revenue_Drivers'!$G$17*$A63+$E$33+$E$34+$E$35)*(1-F$60)+$E$38)*1000000000/$E$8</f>
        <v>76313.640742812015</v>
      </c>
      <c r="G63" s="252"/>
      <c r="H63" s="252"/>
      <c r="I63" s="252"/>
      <c r="J63" s="252"/>
    </row>
    <row r="64" spans="1:10">
      <c r="A64" s="254">
        <v>0.8</v>
      </c>
      <c r="B64" s="255"/>
      <c r="C64" s="256">
        <f>(($E$31+'07_Revenue_Drivers'!$G$17*$A64+$E$33+$E$34+$E$35)*(1-C$60)+$E$38)*1000000000/$E$8</f>
        <v>93045.700648145925</v>
      </c>
      <c r="D64" s="256">
        <f>(($E$31+'07_Revenue_Drivers'!$G$17*$A64+$E$33+$E$34+$E$35)*(1-D$60)+$E$38)*1000000000/$E$8</f>
        <v>88476.230951316655</v>
      </c>
      <c r="E64" s="256">
        <f>(($E$31+'07_Revenue_Drivers'!$G$17*$A64+$E$33+$E$34+$E$35)*(1-E$60)+$E$38)*1000000000/$E$8</f>
        <v>83906.76125448737</v>
      </c>
      <c r="F64" s="256">
        <f>(($E$31+'07_Revenue_Drivers'!$G$17*$A64+$E$33+$E$34+$E$35)*(1-F$60)+$E$38)*1000000000/$E$8</f>
        <v>79337.291557658085</v>
      </c>
      <c r="G64" s="252"/>
      <c r="H64" s="252"/>
      <c r="I64" s="252"/>
      <c r="J64" s="252"/>
    </row>
    <row r="65" spans="1:10">
      <c r="A65" s="254">
        <v>0.9</v>
      </c>
      <c r="B65" s="255"/>
      <c r="C65" s="256">
        <f>(($E$31+'07_Revenue_Drivers'!$G$17*$A65+$E$33+$E$34+$E$35)*(1-C$60)+$E$38)*1000000000/$E$8</f>
        <v>96636.285990775621</v>
      </c>
      <c r="D65" s="256">
        <f>(($E$31+'07_Revenue_Drivers'!$G$17*$A65+$E$33+$E$34+$E$35)*(1-D$60)+$E$38)*1000000000/$E$8</f>
        <v>91877.838118018481</v>
      </c>
      <c r="E65" s="256">
        <f>(($E$31+'07_Revenue_Drivers'!$G$17*$A65+$E$33+$E$34+$E$35)*(1-E$60)+$E$38)*1000000000/$E$8</f>
        <v>87119.390245261326</v>
      </c>
      <c r="F65" s="256">
        <f>(($E$31+'07_Revenue_Drivers'!$G$17*$A65+$E$33+$E$34+$E$35)*(1-F$60)+$E$38)*1000000000/$E$8</f>
        <v>82360.942372504171</v>
      </c>
      <c r="G65" s="252"/>
      <c r="H65" s="252"/>
      <c r="I65" s="252"/>
      <c r="J65" s="252"/>
    </row>
    <row r="66" spans="1:10">
      <c r="A66" s="252"/>
      <c r="B66" s="252"/>
      <c r="C66" s="252"/>
      <c r="D66" s="252"/>
      <c r="E66" s="252"/>
      <c r="F66" s="252"/>
      <c r="G66" s="252"/>
      <c r="H66" s="252"/>
      <c r="I66" s="252"/>
      <c r="J66" s="252"/>
    </row>
    <row r="67" spans="1:10">
      <c r="A67" s="252"/>
      <c r="B67" s="252"/>
      <c r="C67" s="252"/>
      <c r="D67" s="252"/>
      <c r="E67" s="252"/>
      <c r="F67" s="252"/>
      <c r="G67" s="252"/>
      <c r="H67" s="252"/>
      <c r="I67" s="252"/>
      <c r="J67" s="252"/>
    </row>
    <row r="68" spans="1:10" ht="24" customHeight="1">
      <c r="A68" s="494" t="s">
        <v>134</v>
      </c>
      <c r="B68" s="452"/>
      <c r="C68" s="452"/>
      <c r="D68" s="452"/>
      <c r="E68" s="452"/>
      <c r="F68" s="452"/>
      <c r="G68" s="452"/>
      <c r="H68" s="452"/>
      <c r="I68" s="452"/>
      <c r="J68" s="452"/>
    </row>
    <row r="69" spans="1:10">
      <c r="A69" s="390" t="s">
        <v>427</v>
      </c>
      <c r="B69" s="390" t="s">
        <v>803</v>
      </c>
      <c r="C69" s="390" t="s">
        <v>968</v>
      </c>
      <c r="D69" s="390" t="s">
        <v>969</v>
      </c>
      <c r="E69" s="390" t="s">
        <v>336</v>
      </c>
      <c r="F69" s="390" t="s">
        <v>395</v>
      </c>
    </row>
    <row r="70" spans="1:10" ht="51" customHeight="1">
      <c r="A70" s="255" t="s">
        <v>970</v>
      </c>
      <c r="B70" s="257">
        <f>$E$19</f>
        <v>0.8598510282796421</v>
      </c>
      <c r="C70" s="255" t="s">
        <v>971</v>
      </c>
      <c r="D70" s="255"/>
      <c r="E70" s="258" t="str">
        <f>IF(AND(B70&gt;=80%,B70&lt;=100%),"OK","CHECK")</f>
        <v>OK</v>
      </c>
      <c r="F70" s="255" t="s">
        <v>2875</v>
      </c>
    </row>
    <row r="71" spans="1:10" ht="51" customHeight="1">
      <c r="A71" s="255" t="s">
        <v>972</v>
      </c>
      <c r="B71" s="259">
        <f>$E$36-SUM($E$31:$E$35)</f>
        <v>0</v>
      </c>
      <c r="C71" s="259">
        <v>0</v>
      </c>
      <c r="D71" s="259">
        <f>B71-C71</f>
        <v>0</v>
      </c>
      <c r="E71" s="258" t="str">
        <f>IF(ABS(D71)&lt;0.1,"OK","CHECK")</f>
        <v>OK</v>
      </c>
      <c r="F71" s="255" t="s">
        <v>2876</v>
      </c>
    </row>
    <row r="72" spans="1:10" ht="3" customHeight="1"/>
    <row r="73" spans="1:10" ht="25.5" customHeight="1">
      <c r="A73" s="255" t="s">
        <v>973</v>
      </c>
      <c r="B73" s="256">
        <f>$E$40</f>
        <v>88476.230951316655</v>
      </c>
      <c r="C73" s="255" t="s">
        <v>974</v>
      </c>
      <c r="D73" s="255"/>
      <c r="E73" s="258" t="str">
        <f>IF(B73&gt;0,"OK","CHECK")</f>
        <v>OK</v>
      </c>
      <c r="F73" s="255" t="s">
        <v>2877</v>
      </c>
    </row>
    <row r="74" spans="1:10" ht="51" customHeight="1">
      <c r="A74" s="255" t="s">
        <v>975</v>
      </c>
      <c r="B74" s="259">
        <f>$E$9</f>
        <v>-18284.153128744998</v>
      </c>
      <c r="C74" s="255" t="s">
        <v>976</v>
      </c>
      <c r="D74" s="255"/>
      <c r="E74" s="258" t="str">
        <f>IF(B74&lt;0,"OK - net cash","CHECK")</f>
        <v>OK - net cash</v>
      </c>
      <c r="F74" s="255" t="s">
        <v>977</v>
      </c>
    </row>
    <row r="75" spans="1:10">
      <c r="A75" s="252"/>
      <c r="B75" s="252"/>
      <c r="C75" s="252"/>
      <c r="D75" s="252"/>
      <c r="E75" s="252"/>
      <c r="F75" s="252"/>
    </row>
    <row r="76" spans="1:10">
      <c r="A76" s="252"/>
      <c r="B76" s="252"/>
      <c r="C76" s="252"/>
      <c r="D76" s="252"/>
      <c r="E76" s="252"/>
      <c r="F76" s="252"/>
    </row>
    <row r="77" spans="1:10" ht="24" customHeight="1"/>
    <row r="81" ht="3" customHeight="1"/>
    <row r="82" ht="3" customHeight="1"/>
    <row r="83" ht="3" customHeight="1"/>
    <row r="95" ht="3" customHeight="1"/>
    <row r="96" ht="3" customHeight="1"/>
    <row r="97" ht="3" customHeight="1"/>
    <row r="98" ht="3" customHeight="1"/>
    <row r="99" ht="3" customHeight="1"/>
  </sheetData>
  <mergeCells count="9">
    <mergeCell ref="A68:J68"/>
    <mergeCell ref="A1:J1"/>
    <mergeCell ref="A14:J14"/>
    <mergeCell ref="A29:J29"/>
    <mergeCell ref="A59:J59"/>
    <mergeCell ref="A4:J4"/>
    <mergeCell ref="A43:J43"/>
    <mergeCell ref="A2:J2"/>
    <mergeCell ref="A52:J5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2"/>
  <sheetViews>
    <sheetView showGridLines="0" topLeftCell="A18" workbookViewId="0">
      <selection activeCell="D71" sqref="D71"/>
    </sheetView>
  </sheetViews>
  <sheetFormatPr defaultRowHeight="13.8"/>
  <cols>
    <col min="1" max="1" width="44.59765625" customWidth="1"/>
    <col min="2" max="2" width="34" customWidth="1"/>
    <col min="3" max="6" width="14" customWidth="1"/>
    <col min="7" max="7" width="24" customWidth="1"/>
    <col min="8" max="8" width="22" customWidth="1"/>
    <col min="9" max="9" width="52" customWidth="1"/>
    <col min="10" max="10" width="42" customWidth="1"/>
  </cols>
  <sheetData>
    <row r="1" spans="1:10">
      <c r="A1" s="496" t="s">
        <v>978</v>
      </c>
      <c r="B1" s="485"/>
      <c r="C1" s="485"/>
      <c r="D1" s="485"/>
      <c r="E1" s="485"/>
      <c r="F1" s="485"/>
      <c r="G1" s="485"/>
      <c r="H1" s="485"/>
      <c r="I1" s="485"/>
      <c r="J1" s="486"/>
    </row>
    <row r="2" spans="1:10">
      <c r="A2" s="499" t="s">
        <v>2878</v>
      </c>
      <c r="B2" s="485"/>
      <c r="C2" s="485"/>
      <c r="D2" s="485"/>
      <c r="E2" s="485"/>
      <c r="F2" s="485"/>
      <c r="G2" s="485"/>
      <c r="H2" s="485"/>
      <c r="I2" s="485"/>
      <c r="J2" s="486"/>
    </row>
    <row r="3" spans="1:10">
      <c r="A3" s="315"/>
      <c r="B3" s="315"/>
      <c r="C3" s="315"/>
      <c r="D3" s="315"/>
      <c r="E3" s="315"/>
      <c r="F3" s="315"/>
      <c r="G3" s="315"/>
      <c r="H3" s="315"/>
      <c r="I3" s="315"/>
      <c r="J3" s="315"/>
    </row>
    <row r="4" spans="1:10">
      <c r="A4" s="497" t="s">
        <v>727</v>
      </c>
      <c r="B4" s="485"/>
      <c r="C4" s="485"/>
      <c r="D4" s="485"/>
      <c r="E4" s="485"/>
      <c r="F4" s="485"/>
      <c r="G4" s="485"/>
      <c r="H4" s="485"/>
      <c r="I4" s="485"/>
      <c r="J4" s="486"/>
    </row>
    <row r="5" spans="1:10">
      <c r="A5" s="403" t="s">
        <v>2</v>
      </c>
      <c r="B5" s="403" t="s">
        <v>3</v>
      </c>
      <c r="C5" s="403" t="s">
        <v>4</v>
      </c>
      <c r="D5" s="403" t="s">
        <v>637</v>
      </c>
      <c r="E5" s="403" t="s">
        <v>291</v>
      </c>
      <c r="F5" s="403" t="s">
        <v>638</v>
      </c>
      <c r="G5" s="403" t="s">
        <v>639</v>
      </c>
      <c r="H5" s="403" t="s">
        <v>150</v>
      </c>
    </row>
    <row r="6" spans="1:10" ht="25.5" customHeight="1">
      <c r="A6" s="261" t="s">
        <v>728</v>
      </c>
      <c r="B6" s="261" t="s">
        <v>730</v>
      </c>
      <c r="C6" s="261" t="s">
        <v>731</v>
      </c>
      <c r="D6" s="262">
        <f>'22_SOTP'!D7</f>
        <v>78500</v>
      </c>
      <c r="E6" s="262">
        <f>'22_SOTP'!E7</f>
        <v>78500</v>
      </c>
      <c r="F6" s="262">
        <f>'22_SOTP'!F7</f>
        <v>78500</v>
      </c>
      <c r="G6" s="261" t="s">
        <v>398</v>
      </c>
      <c r="H6" s="261" t="s">
        <v>979</v>
      </c>
    </row>
    <row r="7" spans="1:10">
      <c r="A7" s="261" t="s">
        <v>980</v>
      </c>
      <c r="B7" s="261" t="s">
        <v>915</v>
      </c>
      <c r="C7" s="261" t="s">
        <v>731</v>
      </c>
      <c r="D7" s="262">
        <f>'22_SOTP'!D40</f>
        <v>110240.25069833641</v>
      </c>
      <c r="E7" s="262">
        <f>'22_SOTP'!E40</f>
        <v>88476.230951316655</v>
      </c>
      <c r="F7" s="262">
        <f>'22_SOTP'!F40</f>
        <v>69671.273568764489</v>
      </c>
      <c r="G7" s="261" t="s">
        <v>981</v>
      </c>
      <c r="H7" s="261" t="s">
        <v>982</v>
      </c>
    </row>
    <row r="8" spans="1:10">
      <c r="A8" s="261" t="s">
        <v>910</v>
      </c>
      <c r="B8" s="261" t="s">
        <v>911</v>
      </c>
      <c r="C8" s="261" t="s">
        <v>731</v>
      </c>
      <c r="D8" s="262">
        <f>'20_DCF'!D15</f>
        <v>142403.42665100578</v>
      </c>
      <c r="E8" s="262">
        <f>'20_DCF'!E15</f>
        <v>110920.36207822731</v>
      </c>
      <c r="F8" s="262">
        <f>'20_DCF'!F15</f>
        <v>87068.089902567997</v>
      </c>
      <c r="G8" s="261" t="s">
        <v>983</v>
      </c>
      <c r="H8" s="261" t="s">
        <v>913</v>
      </c>
    </row>
    <row r="9" spans="1:10">
      <c r="A9" s="261" t="s">
        <v>980</v>
      </c>
      <c r="B9" s="261" t="s">
        <v>984</v>
      </c>
      <c r="C9" s="261" t="s">
        <v>23</v>
      </c>
      <c r="D9" s="263">
        <f>'22_SOTP'!D41</f>
        <v>0.40433440380046393</v>
      </c>
      <c r="E9" s="263">
        <f>'22_SOTP'!E41</f>
        <v>0.12708574460276001</v>
      </c>
      <c r="F9" s="263">
        <f>'22_SOTP'!F41</f>
        <v>-0.11246785262720393</v>
      </c>
      <c r="G9" s="261" t="s">
        <v>985</v>
      </c>
      <c r="H9" s="261" t="s">
        <v>982</v>
      </c>
    </row>
    <row r="10" spans="1:10">
      <c r="A10" s="261" t="s">
        <v>910</v>
      </c>
      <c r="B10" s="261" t="s">
        <v>986</v>
      </c>
      <c r="C10" s="261" t="s">
        <v>23</v>
      </c>
      <c r="D10" s="263">
        <f>'20_DCF'!D16</f>
        <v>0.8140563904586724</v>
      </c>
      <c r="E10" s="263">
        <f>'20_DCF'!E16</f>
        <v>0.41299824303474275</v>
      </c>
      <c r="F10" s="263">
        <f>'20_DCF'!F16</f>
        <v>0.10914764207092986</v>
      </c>
      <c r="G10" s="261" t="s">
        <v>985</v>
      </c>
      <c r="H10" s="261" t="s">
        <v>913</v>
      </c>
    </row>
    <row r="11" spans="1:10">
      <c r="A11" s="404" t="s">
        <v>987</v>
      </c>
      <c r="B11" s="404" t="s">
        <v>988</v>
      </c>
      <c r="C11" s="404" t="s">
        <v>731</v>
      </c>
      <c r="D11" s="405">
        <f>ROUND('22_SOTP'!D40,-3)</f>
        <v>110000</v>
      </c>
      <c r="E11" s="405">
        <f>ROUND('22_SOTP'!E40,-3)</f>
        <v>88000</v>
      </c>
      <c r="F11" s="405">
        <f>ROUND('22_SOTP'!F40,-3)</f>
        <v>70000</v>
      </c>
      <c r="G11" s="404" t="s">
        <v>989</v>
      </c>
      <c r="H11" s="404" t="s">
        <v>982</v>
      </c>
    </row>
    <row r="12" spans="1:10" ht="25.5" customHeight="1">
      <c r="A12" s="404" t="s">
        <v>987</v>
      </c>
      <c r="B12" s="404" t="s">
        <v>990</v>
      </c>
      <c r="C12" s="404" t="s">
        <v>23</v>
      </c>
      <c r="D12" s="406">
        <f>D11/D6-1</f>
        <v>0.40127388535031838</v>
      </c>
      <c r="E12" s="406">
        <f>E11/E6-1</f>
        <v>0.12101910828025475</v>
      </c>
      <c r="F12" s="406">
        <f>F11/F6-1</f>
        <v>-0.10828025477707004</v>
      </c>
      <c r="G12" s="404" t="s">
        <v>991</v>
      </c>
      <c r="H12" s="404" t="s">
        <v>24</v>
      </c>
    </row>
    <row r="13" spans="1:10" ht="25.5" customHeight="1">
      <c r="A13" s="404" t="s">
        <v>987</v>
      </c>
      <c r="B13" s="404" t="s">
        <v>992</v>
      </c>
      <c r="C13" s="404" t="s">
        <v>601</v>
      </c>
      <c r="D13" s="407" t="str">
        <f>IF(D12&gt;=15%,"BUY",IF(D12&gt;-10%,"HOLD","SELL"))</f>
        <v>BUY</v>
      </c>
      <c r="E13" s="407" t="str">
        <f>IF(E12&gt;=15%,"BUY",IF(E12&gt;-10%,"HOLD","SELL"))</f>
        <v>HOLD</v>
      </c>
      <c r="F13" s="407" t="str">
        <f>IF(F12&gt;=15%,"BUY",IF(F12&gt;-10%,"HOLD","SELL"))</f>
        <v>SELL</v>
      </c>
      <c r="G13" s="404" t="s">
        <v>993</v>
      </c>
      <c r="H13" s="404" t="s">
        <v>24</v>
      </c>
    </row>
    <row r="14" spans="1:10">
      <c r="A14" s="261" t="s">
        <v>994</v>
      </c>
      <c r="B14" s="261" t="s">
        <v>995</v>
      </c>
      <c r="C14" s="261" t="s">
        <v>601</v>
      </c>
      <c r="D14" s="264" t="s">
        <v>996</v>
      </c>
      <c r="E14" s="264" t="s">
        <v>996</v>
      </c>
      <c r="F14" s="264" t="s">
        <v>996</v>
      </c>
      <c r="G14" s="261" t="s">
        <v>773</v>
      </c>
      <c r="H14" s="261" t="s">
        <v>997</v>
      </c>
    </row>
    <row r="15" spans="1:10">
      <c r="A15" s="315"/>
      <c r="B15" s="315"/>
      <c r="C15" s="315"/>
      <c r="D15" s="271"/>
      <c r="E15" s="271"/>
      <c r="F15" s="271"/>
      <c r="G15" s="315"/>
      <c r="H15" s="315"/>
      <c r="I15" s="315"/>
      <c r="J15" s="315"/>
    </row>
    <row r="16" spans="1:10">
      <c r="A16" s="497" t="s">
        <v>998</v>
      </c>
      <c r="B16" s="485"/>
      <c r="C16" s="485"/>
      <c r="D16" s="485"/>
      <c r="E16" s="485"/>
      <c r="F16" s="485"/>
      <c r="G16" s="485"/>
      <c r="H16" s="485"/>
      <c r="I16" s="485"/>
      <c r="J16" s="486"/>
    </row>
    <row r="17" spans="1:6" ht="25.5" customHeight="1">
      <c r="A17" s="403" t="s">
        <v>2</v>
      </c>
      <c r="B17" s="403" t="s">
        <v>3</v>
      </c>
      <c r="C17" s="403" t="s">
        <v>4</v>
      </c>
      <c r="D17" s="408" t="s">
        <v>999</v>
      </c>
      <c r="E17" s="408" t="s">
        <v>639</v>
      </c>
      <c r="F17" s="408" t="s">
        <v>150</v>
      </c>
    </row>
    <row r="18" spans="1:6">
      <c r="A18" s="261" t="s">
        <v>728</v>
      </c>
      <c r="B18" s="261" t="s">
        <v>1000</v>
      </c>
      <c r="C18" s="261" t="s">
        <v>731</v>
      </c>
      <c r="D18" s="262">
        <f>'22_SOTP'!E7</f>
        <v>78500</v>
      </c>
      <c r="E18" s="264" t="s">
        <v>398</v>
      </c>
      <c r="F18" s="264" t="s">
        <v>982</v>
      </c>
    </row>
    <row r="19" spans="1:6">
      <c r="A19" s="261" t="s">
        <v>728</v>
      </c>
      <c r="B19" s="261" t="s">
        <v>1001</v>
      </c>
      <c r="C19" s="261" t="s">
        <v>733</v>
      </c>
      <c r="D19" s="262">
        <f>'22_SOTP'!E8</f>
        <v>1468423529</v>
      </c>
      <c r="E19" s="264" t="s">
        <v>398</v>
      </c>
      <c r="F19" s="264" t="s">
        <v>982</v>
      </c>
    </row>
    <row r="20" spans="1:6">
      <c r="A20" s="261" t="s">
        <v>734</v>
      </c>
      <c r="B20" s="261" t="s">
        <v>1002</v>
      </c>
      <c r="C20" s="261" t="s">
        <v>14</v>
      </c>
      <c r="D20" s="265">
        <f>'22_SOTP'!E9</f>
        <v>-18284.153128744998</v>
      </c>
      <c r="E20" s="264" t="s">
        <v>398</v>
      </c>
      <c r="F20" s="264" t="s">
        <v>982</v>
      </c>
    </row>
    <row r="21" spans="1:6">
      <c r="A21" s="261" t="s">
        <v>734</v>
      </c>
      <c r="B21" s="261" t="s">
        <v>1003</v>
      </c>
      <c r="C21" s="261" t="s">
        <v>14</v>
      </c>
      <c r="D21" s="265">
        <f>'20_DCF'!E10</f>
        <v>632.1648863183425</v>
      </c>
      <c r="E21" s="264" t="s">
        <v>398</v>
      </c>
      <c r="F21" s="264" t="s">
        <v>913</v>
      </c>
    </row>
    <row r="22" spans="1:6" ht="25.5" customHeight="1">
      <c r="A22" s="261" t="s">
        <v>1004</v>
      </c>
      <c r="B22" s="261" t="s">
        <v>1005</v>
      </c>
      <c r="C22" s="261" t="s">
        <v>23</v>
      </c>
      <c r="D22" s="263">
        <f>'20_DCF'!E11</f>
        <v>0.112</v>
      </c>
      <c r="E22" s="264" t="s">
        <v>398</v>
      </c>
      <c r="F22" s="264" t="s">
        <v>1006</v>
      </c>
    </row>
    <row r="23" spans="1:6">
      <c r="A23" s="261" t="s">
        <v>1004</v>
      </c>
      <c r="B23" s="261" t="s">
        <v>1007</v>
      </c>
      <c r="C23" s="261" t="s">
        <v>23</v>
      </c>
      <c r="D23" s="263">
        <f>'20_DCF'!E12</f>
        <v>0.03</v>
      </c>
      <c r="E23" s="264" t="s">
        <v>398</v>
      </c>
      <c r="F23" s="264" t="s">
        <v>913</v>
      </c>
    </row>
    <row r="24" spans="1:6">
      <c r="A24" s="261" t="s">
        <v>1008</v>
      </c>
      <c r="B24" s="261" t="s">
        <v>947</v>
      </c>
      <c r="C24" s="261" t="s">
        <v>14</v>
      </c>
      <c r="D24" s="265">
        <f>'22_SOTP'!E36</f>
        <v>134198.33635753213</v>
      </c>
      <c r="E24" s="264" t="s">
        <v>398</v>
      </c>
      <c r="F24" s="264" t="s">
        <v>982</v>
      </c>
    </row>
    <row r="25" spans="1:6">
      <c r="A25" s="261" t="s">
        <v>1008</v>
      </c>
      <c r="B25" s="261" t="s">
        <v>1009</v>
      </c>
      <c r="C25" s="261" t="s">
        <v>14</v>
      </c>
      <c r="D25" s="265">
        <f>'22_SOTP'!E32</f>
        <v>44400</v>
      </c>
      <c r="E25" s="264" t="s">
        <v>398</v>
      </c>
      <c r="F25" s="264" t="s">
        <v>982</v>
      </c>
    </row>
    <row r="26" spans="1:6" ht="25.5" customHeight="1">
      <c r="A26" s="261" t="s">
        <v>1008</v>
      </c>
      <c r="B26" s="261" t="s">
        <v>898</v>
      </c>
      <c r="C26" s="261" t="s">
        <v>14</v>
      </c>
      <c r="D26" s="265">
        <f>'22_SOTP'!E32/'21_Target_Multiple_Bridge'!E14</f>
        <v>55500</v>
      </c>
      <c r="E26" s="264" t="s">
        <v>24</v>
      </c>
      <c r="F26" s="264" t="s">
        <v>1010</v>
      </c>
    </row>
    <row r="27" spans="1:6">
      <c r="A27" s="261" t="s">
        <v>1008</v>
      </c>
      <c r="B27" s="261" t="s">
        <v>1011</v>
      </c>
      <c r="C27" s="261" t="s">
        <v>14</v>
      </c>
      <c r="D27" s="265">
        <f>'22_SOTP'!E31</f>
        <v>88100.336357532127</v>
      </c>
      <c r="E27" s="264" t="s">
        <v>398</v>
      </c>
      <c r="F27" s="264" t="s">
        <v>982</v>
      </c>
    </row>
    <row r="28" spans="1:6" ht="25.5" customHeight="1">
      <c r="A28" s="261" t="s">
        <v>1008</v>
      </c>
      <c r="B28" s="261" t="s">
        <v>1012</v>
      </c>
      <c r="C28" s="261" t="s">
        <v>23</v>
      </c>
      <c r="D28" s="263">
        <f>'21_Target_Multiple_Bridge'!E11</f>
        <v>0.8598510282796421</v>
      </c>
      <c r="E28" s="264" t="s">
        <v>398</v>
      </c>
      <c r="F28" s="264" t="s">
        <v>925</v>
      </c>
    </row>
    <row r="29" spans="1:6">
      <c r="A29" s="261" t="s">
        <v>1008</v>
      </c>
      <c r="B29" s="261" t="s">
        <v>1013</v>
      </c>
      <c r="C29" s="261" t="s">
        <v>14</v>
      </c>
      <c r="D29" s="265">
        <f>'22_SOTP'!E38</f>
        <v>9142.076564372499</v>
      </c>
      <c r="E29" s="264" t="s">
        <v>398</v>
      </c>
      <c r="F29" s="264" t="s">
        <v>982</v>
      </c>
    </row>
    <row r="30" spans="1:6">
      <c r="A30" s="261" t="s">
        <v>910</v>
      </c>
      <c r="B30" s="261" t="s">
        <v>1014</v>
      </c>
      <c r="C30" s="261" t="s">
        <v>731</v>
      </c>
      <c r="D30" s="265">
        <f>'22_SOTP'!E40</f>
        <v>88476.230951316655</v>
      </c>
      <c r="E30" s="264" t="s">
        <v>398</v>
      </c>
      <c r="F30" s="264" t="s">
        <v>982</v>
      </c>
    </row>
    <row r="31" spans="1:6">
      <c r="A31" s="261" t="s">
        <v>910</v>
      </c>
      <c r="B31" s="261" t="s">
        <v>1015</v>
      </c>
      <c r="C31" s="261" t="s">
        <v>731</v>
      </c>
      <c r="D31" s="265">
        <f>'20_DCF'!E15</f>
        <v>110920.36207822731</v>
      </c>
      <c r="E31" s="264" t="s">
        <v>398</v>
      </c>
      <c r="F31" s="264" t="s">
        <v>913</v>
      </c>
    </row>
    <row r="32" spans="1:6">
      <c r="A32" s="261"/>
      <c r="B32" s="261"/>
      <c r="C32" s="261"/>
      <c r="D32" s="308"/>
      <c r="E32" s="264"/>
      <c r="F32" s="264"/>
    </row>
    <row r="33" spans="1:10">
      <c r="A33" s="315"/>
      <c r="B33" s="315"/>
      <c r="C33" s="315"/>
      <c r="D33" s="271"/>
      <c r="E33" s="271"/>
      <c r="F33" s="271"/>
      <c r="G33" s="315"/>
      <c r="H33" s="315"/>
      <c r="I33" s="315"/>
      <c r="J33" s="315"/>
    </row>
    <row r="34" spans="1:10">
      <c r="A34" s="497" t="s">
        <v>1016</v>
      </c>
      <c r="B34" s="485"/>
      <c r="C34" s="485"/>
      <c r="D34" s="485"/>
      <c r="E34" s="485"/>
      <c r="F34" s="485"/>
      <c r="G34" s="485"/>
      <c r="H34" s="485"/>
      <c r="I34" s="485"/>
      <c r="J34" s="486"/>
    </row>
    <row r="35" spans="1:10">
      <c r="A35" s="498" t="s">
        <v>2851</v>
      </c>
      <c r="B35" s="452"/>
      <c r="C35" s="452"/>
      <c r="D35" s="452"/>
      <c r="E35" s="452"/>
      <c r="F35" s="452"/>
      <c r="G35" s="452"/>
      <c r="H35" s="452"/>
      <c r="I35" s="452"/>
      <c r="J35" s="452"/>
    </row>
    <row r="36" spans="1:10">
      <c r="A36" s="315"/>
      <c r="B36" s="315"/>
      <c r="C36" s="315"/>
      <c r="D36" s="271"/>
      <c r="E36" s="271"/>
      <c r="F36" s="271"/>
      <c r="G36" s="315"/>
      <c r="H36" s="315"/>
      <c r="I36" s="315"/>
      <c r="J36" s="315"/>
    </row>
    <row r="37" spans="1:10">
      <c r="A37" s="403" t="s">
        <v>1017</v>
      </c>
      <c r="B37" s="409">
        <f>$D$22-1.5%</f>
        <v>9.7000000000000003E-2</v>
      </c>
      <c r="C37" s="409">
        <f>$D$22-0.75%</f>
        <v>0.10450000000000001</v>
      </c>
      <c r="D37" s="410">
        <f>$D$22</f>
        <v>0.112</v>
      </c>
      <c r="E37" s="410">
        <f>$D$22+0.75%</f>
        <v>0.1195</v>
      </c>
      <c r="F37" s="410">
        <f>$D$22+1.5%</f>
        <v>0.127</v>
      </c>
      <c r="G37" s="315"/>
      <c r="H37" s="315"/>
      <c r="I37" s="315"/>
      <c r="J37" s="315"/>
    </row>
    <row r="38" spans="1:10">
      <c r="A38" s="411">
        <f>$D$23-0.5%</f>
        <v>2.4999999999999998E-2</v>
      </c>
      <c r="B38" s="266">
        <f>IF(B$37&lt;=$A38,"NM",(('20_DCF'!$D$29*'20_DCF'!$K$37/(1+B$37)^'20_DCF'!$D$37)+('20_DCF'!$E$29/(1+B$37)^'20_DCF'!$E$37)+('20_DCF'!$F$29/(1+B$37)^'20_DCF'!$F$37)+('20_DCF'!$G$29/(1+B$37)^'20_DCF'!$G$37)+('20_DCF'!$H$29/(1+B$37)^'20_DCF'!$H$37)+(('20_DCF'!$H$29*(1+$A38)/(B$37-$A38))/(1+B$37)^'20_DCF'!$H$37)-'20_DCF'!$E$9-'20_DCF'!$E$10)*1000000000/'20_DCF'!$E$8)</f>
        <v>127048.56978835823</v>
      </c>
      <c r="C38" s="266">
        <f>IF(C$37&lt;=$A38,"NM",(('20_DCF'!$D$29*'20_DCF'!$K$37/(1+C$37)^'20_DCF'!$D$37)+('20_DCF'!$E$29/(1+C$37)^'20_DCF'!$E$37)+('20_DCF'!$F$29/(1+C$37)^'20_DCF'!$F$37)+('20_DCF'!$G$29/(1+C$37)^'20_DCF'!$G$37)+('20_DCF'!$H$29/(1+C$37)^'20_DCF'!$H$37)+(('20_DCF'!$H$29*(1+$A38)/(C$37-$A38))/(1+C$37)^'20_DCF'!$H$37)-'20_DCF'!$E$9-'20_DCF'!$E$10)*1000000000/'20_DCF'!$E$8)</f>
        <v>115712.01451375175</v>
      </c>
      <c r="D38" s="267">
        <f>IF(D$37&lt;=$A38,"NM",(('20_DCF'!$D$29*'20_DCF'!$K$37/(1+D$37)^'20_DCF'!$D$37)+('20_DCF'!$E$29/(1+D$37)^'20_DCF'!$E$37)+('20_DCF'!$F$29/(1+D$37)^'20_DCF'!$F$37)+('20_DCF'!$G$29/(1+D$37)^'20_DCF'!$G$37)+('20_DCF'!$H$29/(1+D$37)^'20_DCF'!$H$37)+(('20_DCF'!$H$29*(1+$A38)/(D$37-$A38))/(1+D$37)^'20_DCF'!$H$37)-'20_DCF'!$E$9-'20_DCF'!$E$10)*1000000000/'20_DCF'!$E$8)</f>
        <v>106340.57449247008</v>
      </c>
      <c r="E38" s="267">
        <f>IF(E$37&lt;=$A38,"NM",(('20_DCF'!$D$29*'20_DCF'!$K$37/(1+E$37)^'20_DCF'!$D$37)+('20_DCF'!$E$29/(1+E$37)^'20_DCF'!$E$37)+('20_DCF'!$F$29/(1+E$37)^'20_DCF'!$F$37)+('20_DCF'!$G$29/(1+E$37)^'20_DCF'!$G$37)+('20_DCF'!$H$29/(1+E$37)^'20_DCF'!$H$37)+(('20_DCF'!$H$29*(1+$A38)/(E$37-$A38))/(1+E$37)^'20_DCF'!$H$37)-'20_DCF'!$E$9-'20_DCF'!$E$10)*1000000000/'20_DCF'!$E$8)</f>
        <v>98466.083819098276</v>
      </c>
      <c r="F38" s="267">
        <f>IF(F$37&lt;=$A38,"NM",(('20_DCF'!$D$29*'20_DCF'!$K$37/(1+F$37)^'20_DCF'!$D$37)+('20_DCF'!$E$29/(1+F$37)^'20_DCF'!$E$37)+('20_DCF'!$F$29/(1+F$37)^'20_DCF'!$F$37)+('20_DCF'!$G$29/(1+F$37)^'20_DCF'!$G$37)+('20_DCF'!$H$29/(1+F$37)^'20_DCF'!$H$37)+(('20_DCF'!$H$29*(1+$A38)/(F$37-$A38))/(1+F$37)^'20_DCF'!$H$37)-'20_DCF'!$E$9-'20_DCF'!$E$10)*1000000000/'20_DCF'!$E$8)</f>
        <v>91758.081903057231</v>
      </c>
      <c r="G38" s="315"/>
      <c r="H38" s="315"/>
      <c r="I38" s="315"/>
      <c r="J38" s="315"/>
    </row>
    <row r="39" spans="1:10">
      <c r="A39" s="411">
        <f>$D$23-0.25%</f>
        <v>2.75E-2</v>
      </c>
      <c r="B39" s="266">
        <f>IF(B$37&lt;=$A39,"NM",(('20_DCF'!$D$29*'20_DCF'!$K$37/(1+B$37)^'20_DCF'!$D$37)+('20_DCF'!$E$29/(1+B$37)^'20_DCF'!$E$37)+('20_DCF'!$F$29/(1+B$37)^'20_DCF'!$F$37)+('20_DCF'!$G$29/(1+B$37)^'20_DCF'!$G$37)+('20_DCF'!$H$29/(1+B$37)^'20_DCF'!$H$37)+(('20_DCF'!$H$29*(1+$A39)/(B$37-$A39))/(1+B$37)^'20_DCF'!$H$37)-'20_DCF'!$E$9-'20_DCF'!$E$10)*1000000000/'20_DCF'!$E$8)</f>
        <v>130473.03426851706</v>
      </c>
      <c r="C39" s="266">
        <f>IF(C$37&lt;=$A39,"NM",(('20_DCF'!$D$29*'20_DCF'!$K$37/(1+C$37)^'20_DCF'!$D$37)+('20_DCF'!$E$29/(1+C$37)^'20_DCF'!$E$37)+('20_DCF'!$F$29/(1+C$37)^'20_DCF'!$F$37)+('20_DCF'!$G$29/(1+C$37)^'20_DCF'!$G$37)+('20_DCF'!$H$29/(1+C$37)^'20_DCF'!$H$37)+(('20_DCF'!$H$29*(1+$A39)/(C$37-$A39))/(1+C$37)^'20_DCF'!$H$37)-'20_DCF'!$E$9-'20_DCF'!$E$10)*1000000000/'20_DCF'!$E$8)</f>
        <v>118444.99233324881</v>
      </c>
      <c r="D39" s="267">
        <f>IF(D$37&lt;=$A39,"NM",(('20_DCF'!$D$29*'20_DCF'!$K$37/(1+D$37)^'20_DCF'!$D$37)+('20_DCF'!$E$29/(1+D$37)^'20_DCF'!$E$37)+('20_DCF'!$F$29/(1+D$37)^'20_DCF'!$F$37)+('20_DCF'!$G$29/(1+D$37)^'20_DCF'!$G$37)+('20_DCF'!$H$29/(1+D$37)^'20_DCF'!$H$37)+(('20_DCF'!$H$29*(1+$A39)/(D$37-$A39))/(1+D$37)^'20_DCF'!$H$37)-'20_DCF'!$E$9-'20_DCF'!$E$10)*1000000000/'20_DCF'!$E$8)</f>
        <v>108562.71994828129</v>
      </c>
      <c r="E39" s="267">
        <f>IF(E$37&lt;=$A39,"NM",(('20_DCF'!$D$29*'20_DCF'!$K$37/(1+E$37)^'20_DCF'!$D$37)+('20_DCF'!$E$29/(1+E$37)^'20_DCF'!$E$37)+('20_DCF'!$F$29/(1+E$37)^'20_DCF'!$F$37)+('20_DCF'!$G$29/(1+E$37)^'20_DCF'!$G$37)+('20_DCF'!$H$29/(1+E$37)^'20_DCF'!$H$37)+(('20_DCF'!$H$29*(1+$A39)/(E$37-$A39))/(1+E$37)^'20_DCF'!$H$37)-'20_DCF'!$E$9-'20_DCF'!$E$10)*1000000000/'20_DCF'!$E$8)</f>
        <v>100301.15466463201</v>
      </c>
      <c r="F39" s="267">
        <f>IF(F$37&lt;=$A39,"NM",(('20_DCF'!$D$29*'20_DCF'!$K$37/(1+F$37)^'20_DCF'!$D$37)+('20_DCF'!$E$29/(1+F$37)^'20_DCF'!$E$37)+('20_DCF'!$F$29/(1+F$37)^'20_DCF'!$F$37)+('20_DCF'!$G$29/(1+F$37)^'20_DCF'!$G$37)+('20_DCF'!$H$29/(1+F$37)^'20_DCF'!$H$37)+(('20_DCF'!$H$29*(1+$A39)/(F$37-$A39))/(1+F$37)^'20_DCF'!$H$37)-'20_DCF'!$E$9-'20_DCF'!$E$10)*1000000000/'20_DCF'!$E$8)</f>
        <v>93293.553753484099</v>
      </c>
      <c r="G39" s="315"/>
      <c r="H39" s="315"/>
      <c r="I39" s="315"/>
      <c r="J39" s="315"/>
    </row>
    <row r="40" spans="1:10">
      <c r="A40" s="411">
        <f>$D$23</f>
        <v>0.03</v>
      </c>
      <c r="B40" s="266">
        <f>IF(B$37&lt;=$A40,"NM",(('20_DCF'!$D$29*'20_DCF'!$K$37/(1+B$37)^'20_DCF'!$D$37)+('20_DCF'!$E$29/(1+B$37)^'20_DCF'!$E$37)+('20_DCF'!$F$29/(1+B$37)^'20_DCF'!$F$37)+('20_DCF'!$G$29/(1+B$37)^'20_DCF'!$G$37)+('20_DCF'!$H$29/(1+B$37)^'20_DCF'!$H$37)+(('20_DCF'!$H$29*(1+$A40)/(B$37-$A40))/(1+B$37)^'20_DCF'!$H$37)-'20_DCF'!$E$9-'20_DCF'!$E$10)*1000000000/'20_DCF'!$E$8)</f>
        <v>134153.05579943396</v>
      </c>
      <c r="C40" s="266">
        <f>IF(C$37&lt;=$A40,"NM",(('20_DCF'!$D$29*'20_DCF'!$K$37/(1+C$37)^'20_DCF'!$D$37)+('20_DCF'!$E$29/(1+C$37)^'20_DCF'!$E$37)+('20_DCF'!$F$29/(1+C$37)^'20_DCF'!$F$37)+('20_DCF'!$G$29/(1+C$37)^'20_DCF'!$G$37)+('20_DCF'!$H$29/(1+C$37)^'20_DCF'!$H$37)+(('20_DCF'!$H$29*(1+$A40)/(C$37-$A40))/(1+C$37)^'20_DCF'!$H$37)-'20_DCF'!$E$9-'20_DCF'!$E$10)*1000000000/'20_DCF'!$E$8)</f>
        <v>121361.39148291344</v>
      </c>
      <c r="D40" s="268">
        <f>IF(D$37&lt;=$A40,"NM",(('20_DCF'!$D$29*'20_DCF'!$K$37/(1+D$37)^'20_DCF'!$D$37)+('20_DCF'!$E$29/(1+D$37)^'20_DCF'!$E$37)+('20_DCF'!$F$29/(1+D$37)^'20_DCF'!$F$37)+('20_DCF'!$G$29/(1+D$37)^'20_DCF'!$G$37)+('20_DCF'!$H$29/(1+D$37)^'20_DCF'!$H$37)+(('20_DCF'!$H$29*(1+$A40)/(D$37-$A40))/(1+D$37)^'20_DCF'!$H$37)-'20_DCF'!$E$9-'20_DCF'!$E$10)*1000000000/'20_DCF'!$E$8)</f>
        <v>110920.36207822731</v>
      </c>
      <c r="E40" s="267">
        <f>IF(E$37&lt;=$A40,"NM",(('20_DCF'!$D$29*'20_DCF'!$K$37/(1+E$37)^'20_DCF'!$D$37)+('20_DCF'!$E$29/(1+E$37)^'20_DCF'!$E$37)+('20_DCF'!$F$29/(1+E$37)^'20_DCF'!$F$37)+('20_DCF'!$G$29/(1+E$37)^'20_DCF'!$G$37)+('20_DCF'!$H$29/(1+E$37)^'20_DCF'!$H$37)+(('20_DCF'!$H$29*(1+$A40)/(E$37-$A40))/(1+E$37)^'20_DCF'!$H$37)-'20_DCF'!$E$9-'20_DCF'!$E$10)*1000000000/'20_DCF'!$E$8)</f>
        <v>102238.74343449718</v>
      </c>
      <c r="F40" s="267">
        <f>IF(F$37&lt;=$A40,"NM",(('20_DCF'!$D$29*'20_DCF'!$K$37/(1+F$37)^'20_DCF'!$D$37)+('20_DCF'!$E$29/(1+F$37)^'20_DCF'!$E$37)+('20_DCF'!$F$29/(1+F$37)^'20_DCF'!$F$37)+('20_DCF'!$G$29/(1+F$37)^'20_DCF'!$G$37)+('20_DCF'!$H$29/(1+F$37)^'20_DCF'!$H$37)+(('20_DCF'!$H$29*(1+$A40)/(F$37-$A40))/(1+F$37)^'20_DCF'!$H$37)-'20_DCF'!$E$9-'20_DCF'!$E$10)*1000000000/'20_DCF'!$E$8)</f>
        <v>94908.1736374381</v>
      </c>
      <c r="G40" s="315"/>
      <c r="H40" s="315"/>
      <c r="I40" s="315"/>
      <c r="J40" s="315"/>
    </row>
    <row r="41" spans="1:10">
      <c r="A41" s="411">
        <f>$D$23+0.25%</f>
        <v>3.2500000000000001E-2</v>
      </c>
      <c r="B41" s="266">
        <f>IF(B$37&lt;=$A41,"NM",(('20_DCF'!$D$29*'20_DCF'!$K$37/(1+B$37)^'20_DCF'!$D$37)+('20_DCF'!$E$29/(1+B$37)^'20_DCF'!$E$37)+('20_DCF'!$F$29/(1+B$37)^'20_DCF'!$F$37)+('20_DCF'!$G$29/(1+B$37)^'20_DCF'!$G$37)+('20_DCF'!$H$29/(1+B$37)^'20_DCF'!$H$37)+(('20_DCF'!$H$29*(1+$A41)/(B$37-$A41))/(1+B$37)^'20_DCF'!$H$37)-'20_DCF'!$E$9-'20_DCF'!$E$10)*1000000000/'20_DCF'!$E$8)</f>
        <v>138118.35031724369</v>
      </c>
      <c r="C41" s="266">
        <f>IF(C$37&lt;=$A41,"NM",(('20_DCF'!$D$29*'20_DCF'!$K$37/(1+C$37)^'20_DCF'!$D$37)+('20_DCF'!$E$29/(1+C$37)^'20_DCF'!$E$37)+('20_DCF'!$F$29/(1+C$37)^'20_DCF'!$F$37)+('20_DCF'!$G$29/(1+C$37)^'20_DCF'!$G$37)+('20_DCF'!$H$29/(1+C$37)^'20_DCF'!$H$37)+(('20_DCF'!$H$29*(1+$A41)/(C$37-$A41))/(1+C$37)^'20_DCF'!$H$37)-'20_DCF'!$E$9-'20_DCF'!$E$10)*1000000000/'20_DCF'!$E$8)</f>
        <v>124480.31835130478</v>
      </c>
      <c r="D41" s="267">
        <f>IF(D$37&lt;=$A41,"NM",(('20_DCF'!$D$29*'20_DCF'!$K$37/(1+D$37)^'20_DCF'!$D$37)+('20_DCF'!$E$29/(1+D$37)^'20_DCF'!$E$37)+('20_DCF'!$F$29/(1+D$37)^'20_DCF'!$F$37)+('20_DCF'!$G$29/(1+D$37)^'20_DCF'!$G$37)+('20_DCF'!$H$29/(1+D$37)^'20_DCF'!$H$37)+(('20_DCF'!$H$29*(1+$A41)/(D$37-$A41))/(1+D$37)^'20_DCF'!$H$37)-'20_DCF'!$E$9-'20_DCF'!$E$10)*1000000000/'20_DCF'!$E$8)</f>
        <v>113426.28358741519</v>
      </c>
      <c r="E41" s="267">
        <f>IF(E$37&lt;=$A41,"NM",(('20_DCF'!$D$29*'20_DCF'!$K$37/(1+E$37)^'20_DCF'!$D$37)+('20_DCF'!$E$29/(1+E$37)^'20_DCF'!$E$37)+('20_DCF'!$F$29/(1+E$37)^'20_DCF'!$F$37)+('20_DCF'!$G$29/(1+E$37)^'20_DCF'!$G$37)+('20_DCF'!$H$29/(1+E$37)^'20_DCF'!$H$37)+(('20_DCF'!$H$29*(1+$A41)/(E$37-$A41))/(1+E$37)^'20_DCF'!$H$37)-'20_DCF'!$E$9-'20_DCF'!$E$10)*1000000000/'20_DCF'!$E$8)</f>
        <v>104287.6878807914</v>
      </c>
      <c r="F41" s="267">
        <f>IF(F$37&lt;=$A41,"NM",(('20_DCF'!$D$29*'20_DCF'!$K$37/(1+F$37)^'20_DCF'!$D$37)+('20_DCF'!$E$29/(1+F$37)^'20_DCF'!$E$37)+('20_DCF'!$F$29/(1+F$37)^'20_DCF'!$F$37)+('20_DCF'!$G$29/(1+F$37)^'20_DCF'!$G$37)+('20_DCF'!$H$29/(1+F$37)^'20_DCF'!$H$37)+(('20_DCF'!$H$29*(1+$A41)/(F$37-$A41))/(1+F$37)^'20_DCF'!$H$37)-'20_DCF'!$E$9-'20_DCF'!$E$10)*1000000000/'20_DCF'!$E$8)</f>
        <v>96608.223144881733</v>
      </c>
      <c r="G41" s="315"/>
      <c r="H41" s="315"/>
      <c r="I41" s="315"/>
      <c r="J41" s="315"/>
    </row>
    <row r="42" spans="1:10">
      <c r="A42" s="411">
        <f>$D$23+0.5%</f>
        <v>3.4999999999999996E-2</v>
      </c>
      <c r="B42" s="266">
        <f>IF(B$37&lt;=$A42,"NM",(('20_DCF'!$D$29*'20_DCF'!$K$37/(1+B$37)^'20_DCF'!$D$37)+('20_DCF'!$E$29/(1+B$37)^'20_DCF'!$E$37)+('20_DCF'!$F$29/(1+B$37)^'20_DCF'!$F$37)+('20_DCF'!$G$29/(1+B$37)^'20_DCF'!$G$37)+('20_DCF'!$H$29/(1+B$37)^'20_DCF'!$H$37)+(('20_DCF'!$H$29*(1+$A42)/(B$37-$A42))/(1+B$37)^'20_DCF'!$H$37)-'20_DCF'!$E$9-'20_DCF'!$E$10)*1000000000/'20_DCF'!$E$8)</f>
        <v>142403.42665100575</v>
      </c>
      <c r="C42" s="266">
        <f>IF(C$37&lt;=$A42,"NM",(('20_DCF'!$D$29*'20_DCF'!$K$37/(1+C$37)^'20_DCF'!$D$37)+('20_DCF'!$E$29/(1+C$37)^'20_DCF'!$E$37)+('20_DCF'!$F$29/(1+C$37)^'20_DCF'!$F$37)+('20_DCF'!$G$29/(1+C$37)^'20_DCF'!$G$37)+('20_DCF'!$H$29/(1+C$37)^'20_DCF'!$H$37)+(('20_DCF'!$H$29*(1+$A42)/(C$37-$A42))/(1+C$37)^'20_DCF'!$H$37)-'20_DCF'!$E$9-'20_DCF'!$E$10)*1000000000/'20_DCF'!$E$8)</f>
        <v>127823.62844763795</v>
      </c>
      <c r="D42" s="267">
        <f>IF(D$37&lt;=$A42,"NM",(('20_DCF'!$D$29*'20_DCF'!$K$37/(1+D$37)^'20_DCF'!$D$37)+('20_DCF'!$E$29/(1+D$37)^'20_DCF'!$E$37)+('20_DCF'!$F$29/(1+D$37)^'20_DCF'!$F$37)+('20_DCF'!$G$29/(1+D$37)^'20_DCF'!$G$37)+('20_DCF'!$H$29/(1+D$37)^'20_DCF'!$H$37)+(('20_DCF'!$H$29*(1+$A42)/(D$37-$A42))/(1+D$37)^'20_DCF'!$H$37)-'20_DCF'!$E$9-'20_DCF'!$E$10)*1000000000/'20_DCF'!$E$8)</f>
        <v>116094.92727252438</v>
      </c>
      <c r="E42" s="267">
        <f>IF(E$37&lt;=$A42,"NM",(('20_DCF'!$D$29*'20_DCF'!$K$37/(1+E$37)^'20_DCF'!$D$37)+('20_DCF'!$E$29/(1+E$37)^'20_DCF'!$E$37)+('20_DCF'!$F$29/(1+E$37)^'20_DCF'!$F$37)+('20_DCF'!$G$29/(1+E$37)^'20_DCF'!$G$37)+('20_DCF'!$H$29/(1+E$37)^'20_DCF'!$H$37)+(('20_DCF'!$H$29*(1+$A42)/(E$37-$A42))/(1+E$37)^'20_DCF'!$H$37)-'20_DCF'!$E$9-'20_DCF'!$E$10)*1000000000/'20_DCF'!$E$8)</f>
        <v>106457.87164343442</v>
      </c>
      <c r="F42" s="267">
        <f>IF(F$37&lt;=$A42,"NM",(('20_DCF'!$D$29*'20_DCF'!$K$37/(1+F$37)^'20_DCF'!$D$37)+('20_DCF'!$E$29/(1+F$37)^'20_DCF'!$E$37)+('20_DCF'!$F$29/(1+F$37)^'20_DCF'!$F$37)+('20_DCF'!$G$29/(1+F$37)^'20_DCF'!$G$37)+('20_DCF'!$H$29/(1+F$37)^'20_DCF'!$H$37)+(('20_DCF'!$H$29*(1+$A42)/(F$37-$A42))/(1+F$37)^'20_DCF'!$H$37)-'20_DCF'!$E$9-'20_DCF'!$E$10)*1000000000/'20_DCF'!$E$8)</f>
        <v>98400.666647295089</v>
      </c>
      <c r="G42" s="315"/>
      <c r="H42" s="315"/>
      <c r="I42" s="315"/>
      <c r="J42" s="315"/>
    </row>
    <row r="43" spans="1:10">
      <c r="A43" s="315"/>
      <c r="B43" s="315"/>
      <c r="C43" s="315"/>
      <c r="D43" s="271"/>
      <c r="E43" s="271"/>
      <c r="F43" s="271"/>
      <c r="G43" s="315"/>
      <c r="H43" s="315"/>
      <c r="I43" s="315"/>
      <c r="J43" s="315"/>
    </row>
    <row r="44" spans="1:10">
      <c r="A44" s="315"/>
      <c r="B44" s="315"/>
      <c r="C44" s="315"/>
      <c r="D44" s="271"/>
      <c r="E44" s="271"/>
      <c r="F44" s="271"/>
      <c r="G44" s="315"/>
      <c r="H44" s="315"/>
      <c r="I44" s="315"/>
      <c r="J44" s="315"/>
    </row>
    <row r="45" spans="1:10">
      <c r="A45" s="497" t="s">
        <v>1018</v>
      </c>
      <c r="B45" s="485"/>
      <c r="C45" s="485"/>
      <c r="D45" s="485"/>
      <c r="E45" s="485"/>
      <c r="F45" s="485"/>
      <c r="G45" s="485"/>
      <c r="H45" s="485"/>
      <c r="I45" s="485"/>
      <c r="J45" s="486"/>
    </row>
    <row r="46" spans="1:10">
      <c r="A46" s="498" t="s">
        <v>2879</v>
      </c>
      <c r="B46" s="452"/>
      <c r="C46" s="452"/>
      <c r="D46" s="452"/>
      <c r="E46" s="452"/>
      <c r="F46" s="452"/>
      <c r="G46" s="452"/>
      <c r="H46" s="452"/>
      <c r="I46" s="452"/>
      <c r="J46" s="452"/>
    </row>
    <row r="47" spans="1:10">
      <c r="A47" s="315"/>
      <c r="B47" s="315"/>
      <c r="C47" s="315"/>
      <c r="D47" s="271"/>
      <c r="E47" s="271"/>
      <c r="F47" s="271"/>
      <c r="G47" s="315"/>
      <c r="H47" s="315"/>
      <c r="I47" s="315"/>
      <c r="J47" s="315"/>
    </row>
    <row r="48" spans="1:10">
      <c r="A48" s="403" t="s">
        <v>967</v>
      </c>
      <c r="B48" s="409">
        <f>'21_Target_Multiple_Bridge'!$E$21-5%</f>
        <v>0.05</v>
      </c>
      <c r="C48" s="409">
        <f>'21_Target_Multiple_Bridge'!$E$21-2.5%</f>
        <v>7.5000000000000011E-2</v>
      </c>
      <c r="D48" s="410">
        <f>'21_Target_Multiple_Bridge'!$E$21</f>
        <v>0.1</v>
      </c>
      <c r="E48" s="410">
        <f>'21_Target_Multiple_Bridge'!$E$21+2.5%</f>
        <v>0.125</v>
      </c>
      <c r="F48" s="410">
        <f>'21_Target_Multiple_Bridge'!$E$21+5%</f>
        <v>0.15000000000000002</v>
      </c>
      <c r="G48" s="315"/>
      <c r="H48" s="315"/>
      <c r="I48" s="315"/>
      <c r="J48" s="315"/>
    </row>
    <row r="49" spans="1:10">
      <c r="A49" s="412">
        <f>'21_Target_Multiple_Bridge'!$E$14-0.2</f>
        <v>0.60000000000000009</v>
      </c>
      <c r="B49" s="266">
        <f t="shared" ref="B49:F53" si="0">((($D$24-$D$25+$D$26*$A49)*(1-B$48)+$D$29)*1000000000/$D$19)</f>
        <v>85864.529962886489</v>
      </c>
      <c r="C49" s="266">
        <f t="shared" si="0"/>
        <v>83768.773290399738</v>
      </c>
      <c r="D49" s="267">
        <f t="shared" si="0"/>
        <v>81673.016617912974</v>
      </c>
      <c r="E49" s="267">
        <f t="shared" si="0"/>
        <v>79577.259945426224</v>
      </c>
      <c r="F49" s="267">
        <f t="shared" si="0"/>
        <v>77481.503272939459</v>
      </c>
      <c r="G49" s="315"/>
      <c r="H49" s="315"/>
      <c r="I49" s="315"/>
      <c r="J49" s="315"/>
    </row>
    <row r="50" spans="1:10">
      <c r="A50" s="412">
        <f>'21_Target_Multiple_Bridge'!$E$14-0.1</f>
        <v>0.70000000000000007</v>
      </c>
      <c r="B50" s="266">
        <f t="shared" si="0"/>
        <v>89455.115305516199</v>
      </c>
      <c r="C50" s="266">
        <f t="shared" si="0"/>
        <v>87264.869545065507</v>
      </c>
      <c r="D50" s="267">
        <f t="shared" si="0"/>
        <v>85074.623784614814</v>
      </c>
      <c r="E50" s="267">
        <f t="shared" si="0"/>
        <v>82884.378024164122</v>
      </c>
      <c r="F50" s="267">
        <f t="shared" si="0"/>
        <v>80694.132263713414</v>
      </c>
      <c r="G50" s="315"/>
      <c r="H50" s="315"/>
      <c r="I50" s="315"/>
      <c r="J50" s="315"/>
    </row>
    <row r="51" spans="1:10">
      <c r="A51" s="412">
        <f>'21_Target_Multiple_Bridge'!$E$14</f>
        <v>0.8</v>
      </c>
      <c r="B51" s="266">
        <f t="shared" si="0"/>
        <v>93045.700648145925</v>
      </c>
      <c r="C51" s="266">
        <f t="shared" si="0"/>
        <v>90760.96579973129</v>
      </c>
      <c r="D51" s="268">
        <f t="shared" si="0"/>
        <v>88476.230951316655</v>
      </c>
      <c r="E51" s="267">
        <f t="shared" si="0"/>
        <v>86191.49610290202</v>
      </c>
      <c r="F51" s="267">
        <f t="shared" si="0"/>
        <v>83906.76125448737</v>
      </c>
      <c r="G51" s="315"/>
      <c r="H51" s="315"/>
      <c r="I51" s="315"/>
      <c r="J51" s="315"/>
    </row>
    <row r="52" spans="1:10">
      <c r="A52" s="412">
        <f>'21_Target_Multiple_Bridge'!$E$14+0.1</f>
        <v>0.9</v>
      </c>
      <c r="B52" s="266">
        <f t="shared" si="0"/>
        <v>96636.285990775621</v>
      </c>
      <c r="C52" s="266">
        <f t="shared" si="0"/>
        <v>94257.062054397073</v>
      </c>
      <c r="D52" s="267">
        <f t="shared" si="0"/>
        <v>91877.838118018481</v>
      </c>
      <c r="E52" s="267">
        <f t="shared" si="0"/>
        <v>89498.614181639903</v>
      </c>
      <c r="F52" s="267">
        <f t="shared" si="0"/>
        <v>87119.390245261326</v>
      </c>
      <c r="G52" s="315"/>
      <c r="H52" s="315"/>
      <c r="I52" s="315"/>
      <c r="J52" s="315"/>
    </row>
    <row r="53" spans="1:10">
      <c r="A53" s="412">
        <f>'21_Target_Multiple_Bridge'!$E$14+0.2</f>
        <v>1</v>
      </c>
      <c r="B53" s="266">
        <f t="shared" si="0"/>
        <v>100226.87133340533</v>
      </c>
      <c r="C53" s="266">
        <f t="shared" si="0"/>
        <v>97753.158309062826</v>
      </c>
      <c r="D53" s="267">
        <f t="shared" si="0"/>
        <v>95279.445284720321</v>
      </c>
      <c r="E53" s="267">
        <f t="shared" si="0"/>
        <v>92805.732260377801</v>
      </c>
      <c r="F53" s="267">
        <f t="shared" si="0"/>
        <v>90332.019236035267</v>
      </c>
      <c r="G53" s="315"/>
      <c r="H53" s="315"/>
      <c r="I53" s="315"/>
      <c r="J53" s="315"/>
    </row>
    <row r="54" spans="1:10">
      <c r="A54" s="315"/>
      <c r="B54" s="315"/>
      <c r="C54" s="315"/>
      <c r="D54" s="271"/>
      <c r="E54" s="271"/>
      <c r="F54" s="271"/>
      <c r="G54" s="315"/>
      <c r="H54" s="315"/>
      <c r="I54" s="315"/>
      <c r="J54" s="315"/>
    </row>
    <row r="55" spans="1:10">
      <c r="A55" s="315"/>
      <c r="B55" s="315"/>
      <c r="C55" s="315"/>
      <c r="D55" s="271"/>
      <c r="E55" s="271"/>
      <c r="F55" s="271"/>
      <c r="G55" s="315"/>
      <c r="H55" s="315"/>
      <c r="I55" s="315"/>
      <c r="J55" s="315"/>
    </row>
    <row r="56" spans="1:10">
      <c r="A56" s="497" t="s">
        <v>1019</v>
      </c>
      <c r="B56" s="485"/>
      <c r="C56" s="485"/>
      <c r="D56" s="485"/>
      <c r="E56" s="485"/>
      <c r="F56" s="485"/>
      <c r="G56" s="485"/>
      <c r="H56" s="485"/>
      <c r="I56" s="485"/>
      <c r="J56" s="486"/>
    </row>
    <row r="57" spans="1:10">
      <c r="A57" s="498" t="s">
        <v>2880</v>
      </c>
      <c r="B57" s="452"/>
      <c r="C57" s="452"/>
      <c r="D57" s="452"/>
      <c r="E57" s="452"/>
      <c r="F57" s="452"/>
      <c r="G57" s="452"/>
      <c r="H57" s="452"/>
      <c r="I57" s="452"/>
      <c r="J57" s="452"/>
    </row>
    <row r="58" spans="1:10">
      <c r="A58" s="315"/>
      <c r="B58" s="315"/>
      <c r="C58" s="315"/>
      <c r="D58" s="271"/>
      <c r="E58" s="271"/>
      <c r="F58" s="271"/>
      <c r="G58" s="315"/>
      <c r="H58" s="315"/>
      <c r="I58" s="315"/>
      <c r="J58" s="315"/>
    </row>
    <row r="59" spans="1:10">
      <c r="A59" s="403" t="s">
        <v>1020</v>
      </c>
      <c r="B59" s="409">
        <f>'21_Target_Multiple_Bridge'!$E$21-5%</f>
        <v>0.05</v>
      </c>
      <c r="C59" s="409">
        <f>'21_Target_Multiple_Bridge'!$E$21-2.5%</f>
        <v>7.5000000000000011E-2</v>
      </c>
      <c r="D59" s="410">
        <f>'21_Target_Multiple_Bridge'!$E$21</f>
        <v>0.1</v>
      </c>
      <c r="E59" s="410">
        <f>'21_Target_Multiple_Bridge'!$E$21+2.5%</f>
        <v>0.125</v>
      </c>
      <c r="F59" s="410">
        <f>'21_Target_Multiple_Bridge'!$E$21+5%</f>
        <v>0.15000000000000002</v>
      </c>
      <c r="G59" s="315"/>
      <c r="H59" s="315"/>
      <c r="I59" s="315"/>
      <c r="J59" s="315"/>
    </row>
    <row r="60" spans="1:10">
      <c r="A60" s="413">
        <f>'21_Target_Multiple_Bridge'!$F$8</f>
        <v>100000</v>
      </c>
      <c r="B60" s="266">
        <f t="shared" ref="B60:F64" si="1">((($D$24-$D$27+$A60*$D$28)*(1-B$59)+$D$29)*1000000000/$D$19)</f>
        <v>91677.245421568339</v>
      </c>
      <c r="C60" s="266">
        <f t="shared" si="1"/>
        <v>89428.52255280051</v>
      </c>
      <c r="D60" s="267">
        <f t="shared" si="1"/>
        <v>87179.799684032638</v>
      </c>
      <c r="E60" s="267">
        <f t="shared" si="1"/>
        <v>84931.076815264765</v>
      </c>
      <c r="F60" s="267">
        <f t="shared" si="1"/>
        <v>82682.353946496907</v>
      </c>
      <c r="G60" s="315"/>
      <c r="H60" s="315"/>
      <c r="I60" s="315"/>
      <c r="J60" s="315"/>
    </row>
    <row r="61" spans="1:10">
      <c r="A61" s="413">
        <f>'21_Target_Multiple_Bridge'!$E$8</f>
        <v>102460</v>
      </c>
      <c r="B61" s="266">
        <f t="shared" si="1"/>
        <v>93045.700648145925</v>
      </c>
      <c r="C61" s="266">
        <f t="shared" si="1"/>
        <v>90760.96579973129</v>
      </c>
      <c r="D61" s="268">
        <f t="shared" si="1"/>
        <v>88476.230951316655</v>
      </c>
      <c r="E61" s="267">
        <f t="shared" si="1"/>
        <v>86191.49610290202</v>
      </c>
      <c r="F61" s="267">
        <f t="shared" si="1"/>
        <v>83906.76125448737</v>
      </c>
      <c r="G61" s="315"/>
      <c r="H61" s="315"/>
      <c r="I61" s="315"/>
      <c r="J61" s="315"/>
    </row>
    <row r="62" spans="1:10">
      <c r="A62" s="413">
        <f>ROUND('21_Target_Multiple_Bridge'!$E$8*1.05,-2)</f>
        <v>107600</v>
      </c>
      <c r="B62" s="266">
        <f t="shared" si="1"/>
        <v>95904.993276035617</v>
      </c>
      <c r="C62" s="266">
        <f t="shared" si="1"/>
        <v>93545.013884781787</v>
      </c>
      <c r="D62" s="267">
        <f t="shared" si="1"/>
        <v>91185.034493527972</v>
      </c>
      <c r="E62" s="267">
        <f t="shared" si="1"/>
        <v>88825.055102274113</v>
      </c>
      <c r="F62" s="267">
        <f t="shared" si="1"/>
        <v>86465.075711020268</v>
      </c>
      <c r="G62" s="315"/>
      <c r="H62" s="315"/>
      <c r="I62" s="315"/>
      <c r="J62" s="315"/>
    </row>
    <row r="63" spans="1:10">
      <c r="A63" s="413">
        <f>'21_Target_Multiple_Bridge'!$D$8</f>
        <v>114999.99999999999</v>
      </c>
      <c r="B63" s="266">
        <f t="shared" si="1"/>
        <v>100021.48460801691</v>
      </c>
      <c r="C63" s="266">
        <f t="shared" si="1"/>
        <v>97553.176497500404</v>
      </c>
      <c r="D63" s="267">
        <f t="shared" si="1"/>
        <v>95084.868386983915</v>
      </c>
      <c r="E63" s="267">
        <f t="shared" si="1"/>
        <v>92616.560276467397</v>
      </c>
      <c r="F63" s="267">
        <f t="shared" si="1"/>
        <v>90148.252165950893</v>
      </c>
      <c r="G63" s="315"/>
      <c r="H63" s="315"/>
      <c r="I63" s="315"/>
      <c r="J63" s="315"/>
    </row>
    <row r="64" spans="1:10">
      <c r="A64" s="413">
        <f>ROUND('21_Target_Multiple_Bridge'!$E$8*1.15,-2)</f>
        <v>117800</v>
      </c>
      <c r="B64" s="266">
        <f t="shared" si="1"/>
        <v>101579.07592282064</v>
      </c>
      <c r="C64" s="266">
        <f t="shared" si="1"/>
        <v>99069.778567177738</v>
      </c>
      <c r="D64" s="267">
        <f t="shared" si="1"/>
        <v>96560.481211534803</v>
      </c>
      <c r="E64" s="267">
        <f t="shared" si="1"/>
        <v>94051.183855891897</v>
      </c>
      <c r="F64" s="267">
        <f t="shared" si="1"/>
        <v>91541.886500248962</v>
      </c>
      <c r="G64" s="315"/>
      <c r="H64" s="315"/>
      <c r="I64" s="315"/>
      <c r="J64" s="315"/>
    </row>
    <row r="65" spans="1:10">
      <c r="A65" s="315"/>
      <c r="B65" s="315"/>
      <c r="C65" s="315"/>
      <c r="D65" s="271"/>
      <c r="E65" s="271"/>
      <c r="F65" s="271"/>
      <c r="G65" s="315"/>
      <c r="H65" s="315"/>
      <c r="I65" s="315"/>
      <c r="J65" s="315"/>
    </row>
    <row r="66" spans="1:10">
      <c r="A66" s="315"/>
      <c r="B66" s="315"/>
      <c r="C66" s="315"/>
      <c r="D66" s="271"/>
      <c r="E66" s="271"/>
      <c r="F66" s="271"/>
      <c r="G66" s="315"/>
      <c r="H66" s="315"/>
      <c r="I66" s="315"/>
      <c r="J66" s="315"/>
    </row>
    <row r="67" spans="1:10">
      <c r="A67" s="497" t="s">
        <v>1021</v>
      </c>
      <c r="B67" s="485"/>
      <c r="C67" s="485"/>
      <c r="D67" s="485"/>
      <c r="E67" s="485"/>
      <c r="F67" s="485"/>
      <c r="G67" s="485"/>
      <c r="H67" s="485"/>
      <c r="I67" s="485"/>
      <c r="J67" s="486"/>
    </row>
    <row r="68" spans="1:10">
      <c r="A68" s="403" t="s">
        <v>427</v>
      </c>
      <c r="B68" s="403" t="s">
        <v>3</v>
      </c>
      <c r="C68" s="403" t="s">
        <v>4</v>
      </c>
      <c r="D68" s="408" t="s">
        <v>969</v>
      </c>
      <c r="E68" s="408" t="s">
        <v>336</v>
      </c>
      <c r="F68" s="408" t="s">
        <v>150</v>
      </c>
    </row>
    <row r="69" spans="1:10" ht="25.5" customHeight="1">
      <c r="A69" s="261" t="s">
        <v>1004</v>
      </c>
      <c r="B69" s="261" t="s">
        <v>1022</v>
      </c>
      <c r="C69" s="261" t="s">
        <v>731</v>
      </c>
      <c r="D69" s="269">
        <f>D40-$D$31</f>
        <v>0</v>
      </c>
      <c r="E69" s="270" t="str">
        <f>IF(ABS(D69)&lt;1,"OK","CHECK")</f>
        <v>OK</v>
      </c>
      <c r="F69" s="264" t="s">
        <v>913</v>
      </c>
    </row>
    <row r="70" spans="1:10" ht="25.5" customHeight="1">
      <c r="A70" s="261" t="s">
        <v>1008</v>
      </c>
      <c r="B70" s="261" t="s">
        <v>1023</v>
      </c>
      <c r="C70" s="261" t="s">
        <v>731</v>
      </c>
      <c r="D70" s="269">
        <f>D51-$D$30</f>
        <v>0</v>
      </c>
      <c r="E70" s="270" t="str">
        <f>IF(ABS(D70)&lt;1,"OK","CHECK")</f>
        <v>OK</v>
      </c>
      <c r="F70" s="264" t="s">
        <v>982</v>
      </c>
    </row>
    <row r="71" spans="1:10" ht="25.5" customHeight="1">
      <c r="A71" s="261" t="s">
        <v>1008</v>
      </c>
      <c r="B71" s="261" t="s">
        <v>1024</v>
      </c>
      <c r="C71" s="261" t="s">
        <v>731</v>
      </c>
      <c r="D71" s="269">
        <f>D61-$D$30</f>
        <v>0</v>
      </c>
      <c r="E71" s="270" t="str">
        <f>IF(ABS(D71)&lt;1,"OK","CHECK")</f>
        <v>OK</v>
      </c>
      <c r="F71" s="264" t="s">
        <v>982</v>
      </c>
    </row>
    <row r="72" spans="1:10">
      <c r="A72" s="404" t="s">
        <v>328</v>
      </c>
      <c r="B72" s="404" t="s">
        <v>1025</v>
      </c>
      <c r="C72" s="404" t="s">
        <v>601</v>
      </c>
      <c r="D72" s="407"/>
      <c r="E72" s="407" t="str">
        <f>IF(COUNTIF(E69:E71,"CHECK")=0,"OK","CHECK")</f>
        <v>OK</v>
      </c>
      <c r="F72" s="407" t="s">
        <v>24</v>
      </c>
    </row>
  </sheetData>
  <mergeCells count="11">
    <mergeCell ref="A1:J1"/>
    <mergeCell ref="A45:J45"/>
    <mergeCell ref="A46:J46"/>
    <mergeCell ref="A56:J56"/>
    <mergeCell ref="A67:J67"/>
    <mergeCell ref="A2:J2"/>
    <mergeCell ref="A34:J34"/>
    <mergeCell ref="A35:J35"/>
    <mergeCell ref="A4:J4"/>
    <mergeCell ref="A57:J57"/>
    <mergeCell ref="A16:J1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154"/>
  <sheetViews>
    <sheetView showGridLines="0" topLeftCell="A54" workbookViewId="0">
      <selection sqref="A1:AD1"/>
    </sheetView>
  </sheetViews>
  <sheetFormatPr defaultRowHeight="13.8"/>
  <cols>
    <col min="1" max="1" width="24.59765625" customWidth="1"/>
    <col min="2" max="2" width="12.59765625" customWidth="1"/>
    <col min="3" max="3" width="15.09765625" customWidth="1"/>
    <col min="4" max="15" width="10" customWidth="1"/>
    <col min="16" max="16" width="12" customWidth="1"/>
    <col min="17" max="17" width="9.59765625" customWidth="1"/>
    <col min="30" max="30" width="44" customWidth="1"/>
  </cols>
  <sheetData>
    <row r="1" spans="1:30">
      <c r="A1" s="497" t="s">
        <v>1026</v>
      </c>
      <c r="B1" s="485"/>
      <c r="C1" s="485"/>
      <c r="D1" s="485"/>
      <c r="E1" s="485"/>
      <c r="F1" s="485"/>
      <c r="G1" s="485"/>
      <c r="H1" s="485"/>
      <c r="I1" s="485"/>
      <c r="J1" s="485"/>
      <c r="K1" s="485"/>
      <c r="L1" s="485"/>
      <c r="M1" s="485"/>
      <c r="N1" s="485"/>
      <c r="O1" s="485"/>
      <c r="P1" s="485"/>
      <c r="Q1" s="485"/>
      <c r="R1" s="485"/>
      <c r="S1" s="485"/>
      <c r="T1" s="485"/>
      <c r="U1" s="485"/>
      <c r="V1" s="485"/>
      <c r="W1" s="485"/>
      <c r="X1" s="485"/>
      <c r="Y1" s="485"/>
      <c r="Z1" s="485"/>
      <c r="AA1" s="485"/>
      <c r="AB1" s="485"/>
      <c r="AC1" s="485"/>
      <c r="AD1" s="486"/>
    </row>
    <row r="2" spans="1:30">
      <c r="A2" s="505" t="s">
        <v>2881</v>
      </c>
      <c r="B2" s="485"/>
      <c r="C2" s="485"/>
      <c r="D2" s="485"/>
      <c r="E2" s="485"/>
      <c r="F2" s="485"/>
      <c r="G2" s="485"/>
      <c r="H2" s="485"/>
      <c r="I2" s="485"/>
      <c r="J2" s="485"/>
      <c r="K2" s="485"/>
      <c r="L2" s="485"/>
      <c r="M2" s="485"/>
      <c r="N2" s="485"/>
      <c r="O2" s="485"/>
      <c r="P2" s="485"/>
      <c r="Q2" s="485"/>
      <c r="R2" s="485"/>
      <c r="S2" s="485"/>
      <c r="T2" s="485"/>
      <c r="U2" s="485"/>
      <c r="V2" s="485"/>
      <c r="W2" s="485"/>
      <c r="X2" s="485"/>
      <c r="Y2" s="485"/>
      <c r="Z2" s="485"/>
      <c r="AA2" s="485"/>
      <c r="AB2" s="485"/>
      <c r="AC2" s="485"/>
      <c r="AD2" s="486"/>
    </row>
    <row r="3" spans="1:30">
      <c r="A3" s="315"/>
      <c r="B3" s="315"/>
      <c r="C3" s="315"/>
      <c r="D3" s="315"/>
      <c r="E3" s="315"/>
      <c r="F3" s="315"/>
      <c r="G3" s="315"/>
      <c r="H3" s="315"/>
      <c r="I3" s="315"/>
      <c r="J3" s="315"/>
      <c r="K3" s="315"/>
      <c r="L3" s="315"/>
      <c r="M3" s="315"/>
      <c r="N3" s="315"/>
      <c r="O3" s="315"/>
      <c r="P3" s="315"/>
      <c r="Q3" s="315"/>
      <c r="R3" s="315"/>
      <c r="S3" s="315"/>
      <c r="T3" s="315"/>
      <c r="U3" s="315"/>
      <c r="V3" s="315"/>
      <c r="W3" s="315"/>
      <c r="X3" s="315"/>
      <c r="Y3" s="315"/>
      <c r="Z3" s="315"/>
      <c r="AA3" s="315"/>
      <c r="AB3" s="315"/>
      <c r="AC3" s="315"/>
      <c r="AD3" s="315"/>
    </row>
    <row r="4" spans="1:30">
      <c r="A4" s="497" t="s">
        <v>1027</v>
      </c>
      <c r="B4" s="485"/>
      <c r="C4" s="485"/>
      <c r="D4" s="485"/>
      <c r="E4" s="485"/>
      <c r="F4" s="485"/>
      <c r="G4" s="485"/>
      <c r="H4" s="485"/>
      <c r="I4" s="486"/>
      <c r="J4" s="315"/>
      <c r="K4" s="315"/>
      <c r="L4" s="315"/>
      <c r="M4" s="315"/>
      <c r="N4" s="315"/>
      <c r="O4" s="315"/>
      <c r="P4" s="315"/>
      <c r="Q4" s="315"/>
      <c r="R4" s="315"/>
      <c r="S4" s="315"/>
      <c r="T4" s="315"/>
      <c r="U4" s="315"/>
      <c r="V4" s="315"/>
      <c r="W4" s="315"/>
      <c r="X4" s="315"/>
      <c r="Y4" s="315"/>
      <c r="Z4" s="315"/>
      <c r="AA4" s="315"/>
      <c r="AB4" s="315"/>
      <c r="AC4" s="315"/>
      <c r="AD4" s="315"/>
    </row>
    <row r="5" spans="1:30" ht="25.5" customHeight="1">
      <c r="A5" s="403" t="s">
        <v>206</v>
      </c>
      <c r="B5" s="403" t="s">
        <v>1028</v>
      </c>
      <c r="C5" s="403" t="s">
        <v>803</v>
      </c>
      <c r="D5" s="403" t="s">
        <v>1029</v>
      </c>
      <c r="E5" s="403" t="s">
        <v>1030</v>
      </c>
      <c r="F5" s="403" t="s">
        <v>1031</v>
      </c>
      <c r="G5" s="403" t="s">
        <v>336</v>
      </c>
      <c r="H5" s="403" t="s">
        <v>150</v>
      </c>
      <c r="I5" s="315"/>
      <c r="J5" s="315"/>
      <c r="K5" s="315"/>
      <c r="L5" s="315"/>
      <c r="M5" s="315"/>
      <c r="N5" s="315"/>
      <c r="O5" s="315"/>
      <c r="P5" s="315"/>
      <c r="Q5" s="315"/>
      <c r="R5" s="315"/>
      <c r="S5" s="315"/>
      <c r="T5" s="315"/>
      <c r="U5" s="315"/>
      <c r="V5" s="315"/>
      <c r="W5" s="315"/>
      <c r="X5" s="315"/>
      <c r="Y5" s="315"/>
      <c r="Z5" s="315"/>
      <c r="AA5" s="315"/>
      <c r="AB5" s="315"/>
      <c r="AC5" s="315"/>
      <c r="AD5" s="315"/>
    </row>
    <row r="6" spans="1:30" ht="25.5" customHeight="1">
      <c r="A6" s="404" t="s">
        <v>1032</v>
      </c>
      <c r="B6" s="404" t="s">
        <v>233</v>
      </c>
      <c r="C6" s="414">
        <f>'07_Revenue_Drivers'!$F$8</f>
        <v>79159</v>
      </c>
      <c r="D6" s="414">
        <f>SUM($D$50:$H$50)</f>
        <v>73413.178552874058</v>
      </c>
      <c r="E6" s="414">
        <f t="shared" ref="E6:E15" si="0">C6-D6</f>
        <v>5745.8214471259416</v>
      </c>
      <c r="F6" s="406">
        <f t="shared" ref="F6:F13" si="1">IFERROR(E6/D6,0)</f>
        <v>7.8266893770137652E-2</v>
      </c>
      <c r="G6" s="404" t="str">
        <f t="shared" ref="G6:G11" si="2">IF(E6&gt;=0,"Favorable","Unfavorable")</f>
        <v>Favorable</v>
      </c>
      <c r="H6" s="404" t="s">
        <v>1033</v>
      </c>
      <c r="I6" s="315"/>
      <c r="J6" s="315"/>
      <c r="K6" s="315"/>
      <c r="L6" s="315"/>
      <c r="M6" s="315"/>
      <c r="N6" s="315"/>
      <c r="O6" s="315"/>
      <c r="P6" s="315"/>
      <c r="Q6" s="315"/>
      <c r="R6" s="315"/>
      <c r="S6" s="315"/>
      <c r="T6" s="315"/>
      <c r="U6" s="315"/>
      <c r="V6" s="315"/>
      <c r="W6" s="315"/>
      <c r="X6" s="315"/>
      <c r="Y6" s="315"/>
      <c r="Z6" s="315"/>
      <c r="AA6" s="315"/>
      <c r="AB6" s="315"/>
      <c r="AC6" s="315"/>
      <c r="AD6" s="315"/>
    </row>
    <row r="7" spans="1:30" ht="25.5" customHeight="1">
      <c r="A7" s="261" t="s">
        <v>1032</v>
      </c>
      <c r="B7" s="261" t="s">
        <v>1034</v>
      </c>
      <c r="C7" s="265">
        <f>'04_Q1_Historical_FS'!$E$7</f>
        <v>46461.952026772997</v>
      </c>
      <c r="D7" s="265">
        <f>SUM($D$50:$F$50)</f>
        <v>42809.447240099238</v>
      </c>
      <c r="E7" s="415">
        <f t="shared" si="0"/>
        <v>3652.5047866737586</v>
      </c>
      <c r="F7" s="416">
        <f t="shared" si="1"/>
        <v>8.5320064194907175E-2</v>
      </c>
      <c r="G7" s="417" t="str">
        <f t="shared" si="2"/>
        <v>Favorable</v>
      </c>
      <c r="H7" s="261" t="s">
        <v>1035</v>
      </c>
      <c r="I7" s="315"/>
      <c r="J7" s="315"/>
      <c r="K7" s="315"/>
      <c r="L7" s="315"/>
      <c r="M7" s="315"/>
      <c r="N7" s="315"/>
      <c r="O7" s="315"/>
      <c r="P7" s="315"/>
      <c r="Q7" s="315"/>
      <c r="R7" s="315"/>
      <c r="S7" s="315"/>
      <c r="T7" s="315"/>
      <c r="U7" s="315"/>
      <c r="V7" s="315"/>
      <c r="W7" s="315"/>
      <c r="X7" s="315"/>
      <c r="Y7" s="315"/>
      <c r="Z7" s="315"/>
      <c r="AA7" s="315"/>
      <c r="AB7" s="315"/>
      <c r="AC7" s="315"/>
      <c r="AD7" s="315"/>
    </row>
    <row r="8" spans="1:30" ht="38.25" customHeight="1">
      <c r="A8" s="261" t="s">
        <v>1036</v>
      </c>
      <c r="B8" s="261" t="s">
        <v>1037</v>
      </c>
      <c r="C8" s="265">
        <f>'07_Revenue_Drivers'!$F$8-'04_Q1_Historical_FS'!$E$7</f>
        <v>32697.047973227003</v>
      </c>
      <c r="D8" s="265">
        <f>SUM($G$50:$H$50)</f>
        <v>30603.73131277482</v>
      </c>
      <c r="E8" s="415">
        <f t="shared" si="0"/>
        <v>2093.316660452183</v>
      </c>
      <c r="F8" s="416">
        <f t="shared" si="1"/>
        <v>6.8400700524330393E-2</v>
      </c>
      <c r="G8" s="417" t="str">
        <f t="shared" si="2"/>
        <v>Favorable</v>
      </c>
      <c r="H8" s="261" t="s">
        <v>1038</v>
      </c>
      <c r="I8" s="315"/>
      <c r="J8" s="315"/>
      <c r="K8" s="315"/>
      <c r="L8" s="315"/>
      <c r="M8" s="315"/>
      <c r="N8" s="315"/>
      <c r="O8" s="315"/>
      <c r="P8" s="315"/>
      <c r="Q8" s="315"/>
      <c r="R8" s="315"/>
      <c r="S8" s="315"/>
      <c r="T8" s="315"/>
      <c r="U8" s="315"/>
      <c r="V8" s="315"/>
      <c r="W8" s="315"/>
      <c r="X8" s="315"/>
      <c r="Y8" s="315"/>
      <c r="Z8" s="315"/>
      <c r="AA8" s="315"/>
      <c r="AB8" s="315"/>
      <c r="AC8" s="315"/>
      <c r="AD8" s="315"/>
    </row>
    <row r="9" spans="1:30" ht="25.5" customHeight="1">
      <c r="A9" s="261" t="s">
        <v>1039</v>
      </c>
      <c r="B9" s="261" t="s">
        <v>233</v>
      </c>
      <c r="C9" s="265">
        <f>'07_Revenue_Drivers'!$F$17</f>
        <v>23114.428</v>
      </c>
      <c r="D9" s="265">
        <f>SUM($D$53:$H$53)</f>
        <v>22023.953565862215</v>
      </c>
      <c r="E9" s="415">
        <f t="shared" si="0"/>
        <v>1090.4744341377846</v>
      </c>
      <c r="F9" s="416">
        <f t="shared" si="1"/>
        <v>4.951310993626741E-2</v>
      </c>
      <c r="G9" s="417" t="str">
        <f t="shared" si="2"/>
        <v>Favorable</v>
      </c>
      <c r="H9" s="261" t="s">
        <v>1033</v>
      </c>
      <c r="I9" s="315"/>
      <c r="J9" s="315"/>
      <c r="K9" s="315"/>
      <c r="L9" s="315"/>
      <c r="M9" s="315"/>
      <c r="N9" s="315"/>
      <c r="O9" s="315"/>
      <c r="P9" s="315"/>
      <c r="Q9" s="315"/>
      <c r="R9" s="315"/>
      <c r="S9" s="315"/>
      <c r="T9" s="315"/>
      <c r="U9" s="315"/>
      <c r="V9" s="315"/>
      <c r="W9" s="315"/>
      <c r="X9" s="315"/>
      <c r="Y9" s="315"/>
      <c r="Z9" s="315"/>
      <c r="AA9" s="315"/>
      <c r="AB9" s="315"/>
      <c r="AC9" s="315"/>
      <c r="AD9" s="315"/>
    </row>
    <row r="10" spans="1:30" ht="25.5" customHeight="1">
      <c r="A10" s="261" t="s">
        <v>1040</v>
      </c>
      <c r="B10" s="261" t="s">
        <v>233</v>
      </c>
      <c r="C10" s="265">
        <f>'06_Revenue_Drivers_Hist'!$J$49</f>
        <v>54500</v>
      </c>
      <c r="D10" s="265">
        <f>SUM('07_Revenue_Drivers'!$G$15:$G$16)*SUM($D$49:$H$49)</f>
        <v>47718.566059368146</v>
      </c>
      <c r="E10" s="415">
        <f t="shared" si="0"/>
        <v>6781.4339406318541</v>
      </c>
      <c r="F10" s="416">
        <f t="shared" si="1"/>
        <v>0.14211311237212917</v>
      </c>
      <c r="G10" s="417" t="str">
        <f t="shared" si="2"/>
        <v>Favorable</v>
      </c>
      <c r="H10" s="261" t="s">
        <v>1041</v>
      </c>
      <c r="I10" s="315"/>
      <c r="J10" s="315"/>
      <c r="K10" s="315"/>
      <c r="L10" s="315"/>
      <c r="M10" s="315"/>
      <c r="N10" s="315"/>
      <c r="O10" s="315"/>
      <c r="P10" s="315"/>
      <c r="Q10" s="315"/>
      <c r="R10" s="315"/>
      <c r="S10" s="315"/>
      <c r="T10" s="315"/>
      <c r="U10" s="315"/>
      <c r="V10" s="315"/>
      <c r="W10" s="315"/>
      <c r="X10" s="315"/>
      <c r="Y10" s="315"/>
      <c r="Z10" s="315"/>
      <c r="AA10" s="315"/>
      <c r="AB10" s="315"/>
      <c r="AC10" s="315"/>
      <c r="AD10" s="315"/>
    </row>
    <row r="11" spans="1:30" ht="25.5" customHeight="1">
      <c r="A11" s="261" t="s">
        <v>1042</v>
      </c>
      <c r="B11" s="261" t="s">
        <v>233</v>
      </c>
      <c r="C11" s="265">
        <f>'07_Revenue_Drivers'!$F$11</f>
        <v>6000</v>
      </c>
      <c r="D11" s="265">
        <f>'07_Revenue_Drivers'!$G$11*SUM($D$49:$H$49)</f>
        <v>5138.9224987011858</v>
      </c>
      <c r="E11" s="415">
        <f t="shared" si="0"/>
        <v>861.07750129881424</v>
      </c>
      <c r="F11" s="416">
        <f t="shared" si="1"/>
        <v>0.16755993138959449</v>
      </c>
      <c r="G11" s="417" t="str">
        <f t="shared" si="2"/>
        <v>Favorable</v>
      </c>
      <c r="H11" s="261" t="s">
        <v>1033</v>
      </c>
      <c r="I11" s="315"/>
      <c r="J11" s="315"/>
      <c r="K11" s="315"/>
      <c r="L11" s="315"/>
      <c r="M11" s="315"/>
      <c r="N11" s="315"/>
      <c r="O11" s="315"/>
      <c r="P11" s="315"/>
      <c r="Q11" s="315"/>
      <c r="R11" s="315"/>
      <c r="S11" s="315"/>
      <c r="T11" s="315"/>
      <c r="U11" s="315"/>
      <c r="V11" s="315"/>
      <c r="W11" s="315"/>
      <c r="X11" s="315"/>
      <c r="Y11" s="315"/>
      <c r="Z11" s="315"/>
      <c r="AA11" s="315"/>
      <c r="AB11" s="315"/>
      <c r="AC11" s="315"/>
      <c r="AD11" s="315"/>
    </row>
    <row r="12" spans="1:30" ht="25.5" customHeight="1">
      <c r="A12" s="261" t="s">
        <v>1043</v>
      </c>
      <c r="B12" s="261" t="s">
        <v>233</v>
      </c>
      <c r="C12" s="265">
        <f>'06_Revenue_Drivers_Hist'!$J$51</f>
        <v>532</v>
      </c>
      <c r="D12" s="265">
        <f>('07_Revenue_Drivers'!$G$34-'07_Revenue_Drivers'!$D$34)*5/12</f>
        <v>416.66666666666669</v>
      </c>
      <c r="E12" s="415">
        <f t="shared" si="0"/>
        <v>115.33333333333331</v>
      </c>
      <c r="F12" s="416">
        <f t="shared" si="1"/>
        <v>0.27679999999999993</v>
      </c>
      <c r="G12" s="417" t="str">
        <f>IF(E12&gt;=0,"Ahead of plan","Behind plan")</f>
        <v>Ahead of plan</v>
      </c>
      <c r="H12" s="261" t="s">
        <v>1041</v>
      </c>
      <c r="I12" s="315"/>
      <c r="J12" s="315"/>
      <c r="K12" s="315"/>
      <c r="L12" s="315"/>
      <c r="M12" s="315"/>
      <c r="N12" s="315"/>
      <c r="O12" s="315"/>
      <c r="P12" s="315"/>
      <c r="Q12" s="315"/>
      <c r="R12" s="315"/>
      <c r="S12" s="315"/>
      <c r="T12" s="315"/>
      <c r="U12" s="315"/>
      <c r="V12" s="315"/>
      <c r="W12" s="315"/>
      <c r="X12" s="315"/>
      <c r="Y12" s="315"/>
      <c r="Z12" s="315"/>
      <c r="AA12" s="315"/>
      <c r="AB12" s="315"/>
      <c r="AC12" s="315"/>
      <c r="AD12" s="315"/>
    </row>
    <row r="13" spans="1:30" ht="25.5" customHeight="1">
      <c r="A13" s="261" t="s">
        <v>48</v>
      </c>
      <c r="B13" s="261" t="s">
        <v>1034</v>
      </c>
      <c r="C13" s="265">
        <f>'04_Q1_Historical_FS'!$E$24</f>
        <v>2757.5570205270001</v>
      </c>
      <c r="D13" s="265">
        <f>SUM($D$63:$F$63)</f>
        <v>2152.5785002912999</v>
      </c>
      <c r="E13" s="415">
        <f t="shared" si="0"/>
        <v>604.97852023570022</v>
      </c>
      <c r="F13" s="416">
        <f t="shared" si="1"/>
        <v>0.28104829633568806</v>
      </c>
      <c r="G13" s="417" t="str">
        <f>IF(E13&gt;=0,"Favorable","Unfavorable")</f>
        <v>Favorable</v>
      </c>
      <c r="H13" s="261" t="s">
        <v>1035</v>
      </c>
      <c r="I13" s="315"/>
      <c r="J13" s="315"/>
      <c r="K13" s="315"/>
      <c r="L13" s="315"/>
      <c r="M13" s="315"/>
      <c r="N13" s="315"/>
      <c r="O13" s="315"/>
      <c r="P13" s="315"/>
      <c r="Q13" s="315"/>
      <c r="R13" s="315"/>
      <c r="S13" s="315"/>
      <c r="T13" s="315"/>
      <c r="U13" s="315"/>
      <c r="V13" s="315"/>
      <c r="W13" s="315"/>
      <c r="X13" s="315"/>
      <c r="Y13" s="315"/>
      <c r="Z13" s="315"/>
      <c r="AA13" s="315"/>
      <c r="AB13" s="315"/>
      <c r="AC13" s="315"/>
      <c r="AD13" s="315"/>
    </row>
    <row r="14" spans="1:30" ht="25.5" customHeight="1">
      <c r="A14" s="261" t="s">
        <v>1044</v>
      </c>
      <c r="B14" s="261" t="s">
        <v>1034</v>
      </c>
      <c r="C14" s="263">
        <f>'04_Q1_Historical_FS'!$E$10</f>
        <v>0.20899038924840482</v>
      </c>
      <c r="D14" s="263">
        <f>SUM($D$57:$F$57)/SUM($D$50:$F$50)</f>
        <v>0.20499999999999996</v>
      </c>
      <c r="E14" s="416">
        <f t="shared" si="0"/>
        <v>3.9903892484048631E-3</v>
      </c>
      <c r="F14" s="418">
        <f>E14*100</f>
        <v>0.39903892484048631</v>
      </c>
      <c r="G14" s="417" t="str">
        <f>IF(E14&gt;=0,"Favorable","Unfavorable")</f>
        <v>Favorable</v>
      </c>
      <c r="H14" s="261" t="s">
        <v>1035</v>
      </c>
      <c r="I14" s="315"/>
      <c r="J14" s="315"/>
      <c r="K14" s="315"/>
      <c r="L14" s="315"/>
      <c r="M14" s="315"/>
      <c r="N14" s="315"/>
      <c r="O14" s="315"/>
      <c r="P14" s="315"/>
      <c r="Q14" s="315"/>
      <c r="R14" s="315"/>
      <c r="S14" s="315"/>
      <c r="T14" s="315"/>
      <c r="U14" s="315"/>
      <c r="V14" s="315"/>
      <c r="W14" s="315"/>
      <c r="X14" s="315"/>
      <c r="Y14" s="315"/>
      <c r="Z14" s="315"/>
      <c r="AA14" s="315"/>
      <c r="AB14" s="315"/>
      <c r="AC14" s="315"/>
      <c r="AD14" s="315"/>
    </row>
    <row r="15" spans="1:30" ht="25.5" customHeight="1">
      <c r="A15" s="261" t="s">
        <v>63</v>
      </c>
      <c r="B15" s="261" t="s">
        <v>1034</v>
      </c>
      <c r="C15" s="265">
        <f>'04_Q1_Historical_FS'!$E$32</f>
        <v>27600.707843304001</v>
      </c>
      <c r="D15" s="265">
        <f>$F$68</f>
        <v>27763.938620394434</v>
      </c>
      <c r="E15" s="415">
        <f t="shared" si="0"/>
        <v>-163.23077709043355</v>
      </c>
      <c r="F15" s="416">
        <f>IFERROR(E15/D15,0)</f>
        <v>-5.8792370679904126E-3</v>
      </c>
      <c r="G15" s="417" t="str">
        <f>IF(E15&lt;=0,"Favorable","Watch WC")</f>
        <v>Favorable</v>
      </c>
      <c r="H15" s="261" t="s">
        <v>1035</v>
      </c>
      <c r="I15" s="315"/>
      <c r="J15" s="315"/>
      <c r="K15" s="315"/>
      <c r="L15" s="315"/>
      <c r="M15" s="315"/>
      <c r="N15" s="315"/>
      <c r="O15" s="315"/>
      <c r="P15" s="315"/>
      <c r="Q15" s="315"/>
      <c r="R15" s="315"/>
      <c r="S15" s="315"/>
      <c r="T15" s="315"/>
      <c r="U15" s="315"/>
      <c r="V15" s="315"/>
      <c r="W15" s="315"/>
      <c r="X15" s="315"/>
      <c r="Y15" s="315"/>
      <c r="Z15" s="315"/>
      <c r="AA15" s="315"/>
      <c r="AB15" s="315"/>
      <c r="AC15" s="315"/>
      <c r="AD15" s="315"/>
    </row>
    <row r="16" spans="1:30">
      <c r="A16" s="315"/>
      <c r="B16" s="315"/>
      <c r="C16" s="271"/>
      <c r="D16" s="271"/>
      <c r="E16" s="271"/>
      <c r="F16" s="271"/>
      <c r="G16" s="315"/>
      <c r="H16" s="315"/>
      <c r="I16" s="315"/>
      <c r="J16" s="315"/>
      <c r="K16" s="315"/>
      <c r="L16" s="315"/>
      <c r="M16" s="315"/>
      <c r="N16" s="315"/>
      <c r="O16" s="315"/>
      <c r="P16" s="315"/>
      <c r="Q16" s="315"/>
      <c r="R16" s="315"/>
      <c r="S16" s="315"/>
      <c r="T16" s="315"/>
      <c r="U16" s="315"/>
      <c r="V16" s="315"/>
      <c r="W16" s="315"/>
      <c r="X16" s="315"/>
      <c r="Y16" s="315"/>
      <c r="Z16" s="315"/>
      <c r="AA16" s="315"/>
      <c r="AB16" s="315"/>
      <c r="AC16" s="315"/>
      <c r="AD16" s="315"/>
    </row>
    <row r="17" spans="1:30">
      <c r="A17" s="497" t="s">
        <v>1045</v>
      </c>
      <c r="B17" s="485"/>
      <c r="C17" s="485"/>
      <c r="D17" s="485"/>
      <c r="E17" s="485"/>
      <c r="F17" s="485"/>
      <c r="G17" s="485"/>
      <c r="H17" s="485"/>
      <c r="I17" s="486"/>
      <c r="J17" s="315"/>
      <c r="K17" s="315"/>
      <c r="L17" s="315"/>
      <c r="M17" s="315"/>
      <c r="N17" s="315"/>
      <c r="O17" s="315"/>
      <c r="P17" s="315"/>
      <c r="Q17" s="315"/>
      <c r="R17" s="315"/>
      <c r="S17" s="315"/>
      <c r="T17" s="315"/>
      <c r="U17" s="315"/>
      <c r="V17" s="315"/>
      <c r="W17" s="315"/>
      <c r="X17" s="315"/>
      <c r="Y17" s="315"/>
      <c r="Z17" s="315"/>
      <c r="AA17" s="315"/>
      <c r="AB17" s="315"/>
      <c r="AC17" s="315"/>
      <c r="AD17" s="315"/>
    </row>
    <row r="18" spans="1:30" ht="25.5" customHeight="1">
      <c r="A18" s="403" t="s">
        <v>2</v>
      </c>
      <c r="B18" s="403" t="s">
        <v>3</v>
      </c>
      <c r="C18" s="408" t="s">
        <v>4</v>
      </c>
      <c r="D18" s="408" t="s">
        <v>1046</v>
      </c>
      <c r="E18" s="408" t="s">
        <v>295</v>
      </c>
      <c r="F18" s="408" t="s">
        <v>639</v>
      </c>
      <c r="G18" s="403" t="s">
        <v>150</v>
      </c>
      <c r="H18" s="403" t="s">
        <v>1047</v>
      </c>
      <c r="I18" s="315"/>
      <c r="J18" s="315"/>
      <c r="K18" s="315"/>
      <c r="L18" s="315"/>
      <c r="M18" s="315"/>
      <c r="N18" s="315"/>
      <c r="O18" s="315"/>
      <c r="P18" s="315"/>
      <c r="Q18" s="315"/>
      <c r="R18" s="315"/>
      <c r="S18" s="315"/>
      <c r="T18" s="315"/>
      <c r="U18" s="315"/>
      <c r="V18" s="315"/>
      <c r="W18" s="315"/>
      <c r="X18" s="315"/>
      <c r="Y18" s="315"/>
      <c r="Z18" s="315"/>
      <c r="AA18" s="315"/>
      <c r="AB18" s="315"/>
      <c r="AC18" s="315"/>
      <c r="AD18" s="315"/>
    </row>
    <row r="19" spans="1:30" ht="38.25" customHeight="1">
      <c r="A19" s="261" t="s">
        <v>1048</v>
      </c>
      <c r="B19" s="261" t="s">
        <v>1049</v>
      </c>
      <c r="C19" s="264" t="s">
        <v>601</v>
      </c>
      <c r="D19" s="419" t="s">
        <v>1050</v>
      </c>
      <c r="E19" s="419" t="s">
        <v>1050</v>
      </c>
      <c r="F19" s="264" t="s">
        <v>773</v>
      </c>
      <c r="G19" s="261" t="s">
        <v>997</v>
      </c>
      <c r="H19" s="261"/>
      <c r="I19" s="315"/>
      <c r="J19" s="315"/>
      <c r="K19" s="315"/>
      <c r="L19" s="315"/>
      <c r="M19" s="315"/>
      <c r="N19" s="315"/>
      <c r="O19" s="315"/>
      <c r="P19" s="315"/>
      <c r="Q19" s="315"/>
      <c r="R19" s="315"/>
      <c r="S19" s="315"/>
      <c r="T19" s="315"/>
      <c r="U19" s="315"/>
      <c r="V19" s="315"/>
      <c r="W19" s="315"/>
      <c r="X19" s="315"/>
      <c r="Y19" s="315"/>
      <c r="Z19" s="315"/>
      <c r="AA19" s="315"/>
      <c r="AB19" s="315"/>
      <c r="AC19" s="315"/>
      <c r="AD19" s="315"/>
    </row>
    <row r="20" spans="1:30" ht="38.25" customHeight="1">
      <c r="A20" s="261" t="s">
        <v>17</v>
      </c>
      <c r="B20" s="261" t="s">
        <v>1032</v>
      </c>
      <c r="C20" s="264" t="s">
        <v>14</v>
      </c>
      <c r="D20" s="265">
        <f>'12_Income_Statement'!$I$6</f>
        <v>185000</v>
      </c>
      <c r="E20" s="265">
        <f>'12_Income_Statement'!$J$6</f>
        <v>210702.27006116117</v>
      </c>
      <c r="F20" s="264" t="s">
        <v>398</v>
      </c>
      <c r="G20" s="261" t="s">
        <v>757</v>
      </c>
      <c r="H20" s="261" t="s">
        <v>1051</v>
      </c>
      <c r="I20" s="315"/>
      <c r="J20" s="315"/>
      <c r="K20" s="315"/>
      <c r="L20" s="315"/>
      <c r="M20" s="315"/>
      <c r="N20" s="315"/>
      <c r="O20" s="315"/>
      <c r="P20" s="315"/>
      <c r="Q20" s="315"/>
      <c r="R20" s="315"/>
      <c r="S20" s="315"/>
      <c r="T20" s="315"/>
      <c r="U20" s="315"/>
      <c r="V20" s="315"/>
      <c r="W20" s="315"/>
      <c r="X20" s="315"/>
      <c r="Y20" s="315"/>
      <c r="Z20" s="315"/>
      <c r="AA20" s="315"/>
      <c r="AB20" s="315"/>
      <c r="AC20" s="315"/>
      <c r="AD20" s="315"/>
    </row>
    <row r="21" spans="1:30" ht="38.25" customHeight="1">
      <c r="A21" s="261" t="s">
        <v>1052</v>
      </c>
      <c r="B21" s="261" t="s">
        <v>48</v>
      </c>
      <c r="C21" s="264" t="s">
        <v>14</v>
      </c>
      <c r="D21" s="265">
        <f>'12_Income_Statement'!$I$23</f>
        <v>9302.316386390401</v>
      </c>
      <c r="E21" s="265">
        <f>'12_Income_Statement'!$J$23</f>
        <v>11459.27053665854</v>
      </c>
      <c r="F21" s="264" t="s">
        <v>398</v>
      </c>
      <c r="G21" s="261" t="s">
        <v>757</v>
      </c>
      <c r="H21" s="261" t="s">
        <v>1053</v>
      </c>
      <c r="I21" s="315"/>
      <c r="J21" s="315"/>
      <c r="K21" s="315"/>
      <c r="L21" s="315"/>
      <c r="M21" s="315"/>
      <c r="N21" s="315"/>
      <c r="O21" s="315"/>
      <c r="P21" s="315"/>
      <c r="Q21" s="315"/>
      <c r="R21" s="315"/>
      <c r="S21" s="315"/>
      <c r="T21" s="315"/>
      <c r="U21" s="315"/>
      <c r="V21" s="315"/>
      <c r="W21" s="315"/>
      <c r="X21" s="315"/>
      <c r="Y21" s="315"/>
      <c r="Z21" s="315"/>
      <c r="AA21" s="315"/>
      <c r="AB21" s="315"/>
      <c r="AC21" s="315"/>
      <c r="AD21" s="315"/>
    </row>
    <row r="22" spans="1:30" ht="38.25" customHeight="1">
      <c r="A22" s="261" t="s">
        <v>363</v>
      </c>
      <c r="B22" s="261" t="s">
        <v>1044</v>
      </c>
      <c r="C22" s="264" t="s">
        <v>23</v>
      </c>
      <c r="D22" s="263">
        <f>'08_P5_Assumptions'!$I$8</f>
        <v>0.20499999999999999</v>
      </c>
      <c r="E22" s="263">
        <f>'08_P5_Assumptions'!$J$8</f>
        <v>0.20799999999999999</v>
      </c>
      <c r="F22" s="264" t="s">
        <v>398</v>
      </c>
      <c r="G22" s="261" t="s">
        <v>710</v>
      </c>
      <c r="H22" s="261" t="s">
        <v>1054</v>
      </c>
      <c r="I22" s="315"/>
      <c r="J22" s="315"/>
      <c r="K22" s="315"/>
      <c r="L22" s="315"/>
      <c r="M22" s="315"/>
      <c r="N22" s="315"/>
      <c r="O22" s="315"/>
      <c r="P22" s="315"/>
      <c r="Q22" s="315"/>
      <c r="R22" s="315"/>
      <c r="S22" s="315"/>
      <c r="T22" s="315"/>
      <c r="U22" s="315"/>
      <c r="V22" s="315"/>
      <c r="W22" s="315"/>
      <c r="X22" s="315"/>
      <c r="Y22" s="315"/>
      <c r="Z22" s="315"/>
      <c r="AA22" s="315"/>
      <c r="AB22" s="315"/>
      <c r="AC22" s="315"/>
      <c r="AD22" s="315"/>
    </row>
    <row r="23" spans="1:30" ht="38.25" customHeight="1">
      <c r="A23" s="261" t="s">
        <v>364</v>
      </c>
      <c r="B23" s="261" t="s">
        <v>1055</v>
      </c>
      <c r="C23" s="264" t="s">
        <v>23</v>
      </c>
      <c r="D23" s="263">
        <f>'08_P5_Assumptions'!$I$9</f>
        <v>0.122</v>
      </c>
      <c r="E23" s="263">
        <f>'08_P5_Assumptions'!$J$9</f>
        <v>0.12</v>
      </c>
      <c r="F23" s="264" t="s">
        <v>398</v>
      </c>
      <c r="G23" s="261" t="s">
        <v>710</v>
      </c>
      <c r="H23" s="261" t="s">
        <v>1056</v>
      </c>
      <c r="I23" s="315"/>
      <c r="J23" s="315"/>
      <c r="K23" s="315"/>
      <c r="L23" s="315"/>
      <c r="M23" s="315"/>
      <c r="N23" s="315"/>
      <c r="O23" s="315"/>
      <c r="P23" s="315"/>
      <c r="Q23" s="315"/>
      <c r="R23" s="315"/>
      <c r="S23" s="315"/>
      <c r="T23" s="315"/>
      <c r="U23" s="315"/>
      <c r="V23" s="315"/>
      <c r="W23" s="315"/>
      <c r="X23" s="315"/>
      <c r="Y23" s="315"/>
      <c r="Z23" s="315"/>
      <c r="AA23" s="315"/>
      <c r="AB23" s="315"/>
      <c r="AC23" s="315"/>
      <c r="AD23" s="315"/>
    </row>
    <row r="24" spans="1:30" ht="38.25" customHeight="1">
      <c r="A24" s="261" t="s">
        <v>364</v>
      </c>
      <c r="B24" s="261" t="s">
        <v>1057</v>
      </c>
      <c r="C24" s="264" t="s">
        <v>23</v>
      </c>
      <c r="D24" s="263">
        <f>'08_P5_Assumptions'!$I$10</f>
        <v>2.8000000000000001E-2</v>
      </c>
      <c r="E24" s="263">
        <f>'08_P5_Assumptions'!$J$10</f>
        <v>2.7E-2</v>
      </c>
      <c r="F24" s="264" t="s">
        <v>398</v>
      </c>
      <c r="G24" s="261" t="s">
        <v>710</v>
      </c>
      <c r="H24" s="261" t="s">
        <v>1058</v>
      </c>
      <c r="I24" s="315"/>
      <c r="J24" s="315"/>
      <c r="K24" s="315"/>
      <c r="L24" s="315"/>
      <c r="M24" s="315"/>
      <c r="N24" s="315"/>
      <c r="O24" s="315"/>
      <c r="P24" s="315"/>
      <c r="Q24" s="315"/>
      <c r="R24" s="315"/>
      <c r="S24" s="315"/>
      <c r="T24" s="315"/>
      <c r="U24" s="315"/>
      <c r="V24" s="315"/>
      <c r="W24" s="315"/>
      <c r="X24" s="315"/>
      <c r="Y24" s="315"/>
      <c r="Z24" s="315"/>
      <c r="AA24" s="315"/>
      <c r="AB24" s="315"/>
      <c r="AC24" s="315"/>
      <c r="AD24" s="315"/>
    </row>
    <row r="25" spans="1:30" ht="38.25" customHeight="1">
      <c r="A25" s="261" t="s">
        <v>410</v>
      </c>
      <c r="B25" s="261" t="s">
        <v>1059</v>
      </c>
      <c r="C25" s="264" t="s">
        <v>23</v>
      </c>
      <c r="D25" s="263">
        <f>'08_P5_Assumptions'!$I$32</f>
        <v>1.2E-2</v>
      </c>
      <c r="E25" s="263">
        <f>'08_P5_Assumptions'!$J$32</f>
        <v>1.2E-2</v>
      </c>
      <c r="F25" s="264" t="s">
        <v>398</v>
      </c>
      <c r="G25" s="261" t="s">
        <v>710</v>
      </c>
      <c r="H25" s="261" t="s">
        <v>1060</v>
      </c>
      <c r="I25" s="315"/>
      <c r="J25" s="315"/>
      <c r="K25" s="315"/>
      <c r="L25" s="315"/>
      <c r="M25" s="315"/>
      <c r="N25" s="315"/>
      <c r="O25" s="315"/>
      <c r="P25" s="315"/>
      <c r="Q25" s="315"/>
      <c r="R25" s="315"/>
      <c r="S25" s="315"/>
      <c r="T25" s="315"/>
      <c r="U25" s="315"/>
      <c r="V25" s="315"/>
      <c r="W25" s="315"/>
      <c r="X25" s="315"/>
      <c r="Y25" s="315"/>
      <c r="Z25" s="315"/>
      <c r="AA25" s="315"/>
      <c r="AB25" s="315"/>
      <c r="AC25" s="315"/>
      <c r="AD25" s="315"/>
    </row>
    <row r="26" spans="1:30" ht="38.25" customHeight="1">
      <c r="A26" s="261" t="s">
        <v>379</v>
      </c>
      <c r="B26" s="261" t="s">
        <v>1061</v>
      </c>
      <c r="C26" s="264" t="s">
        <v>220</v>
      </c>
      <c r="D26" s="265">
        <f>'08_P5_Assumptions'!$I$20</f>
        <v>73</v>
      </c>
      <c r="E26" s="265">
        <f>'08_P5_Assumptions'!$J$20</f>
        <v>72</v>
      </c>
      <c r="F26" s="264" t="s">
        <v>398</v>
      </c>
      <c r="G26" s="261" t="s">
        <v>710</v>
      </c>
      <c r="H26" s="261" t="s">
        <v>1062</v>
      </c>
      <c r="I26" s="315"/>
      <c r="J26" s="315"/>
      <c r="K26" s="315"/>
      <c r="L26" s="315"/>
      <c r="M26" s="315"/>
      <c r="N26" s="315"/>
      <c r="O26" s="315"/>
      <c r="P26" s="315"/>
      <c r="Q26" s="315"/>
      <c r="R26" s="315"/>
      <c r="S26" s="315"/>
      <c r="T26" s="315"/>
      <c r="U26" s="315"/>
      <c r="V26" s="315"/>
      <c r="W26" s="315"/>
      <c r="X26" s="315"/>
      <c r="Y26" s="315"/>
      <c r="Z26" s="315"/>
      <c r="AA26" s="315"/>
      <c r="AB26" s="315"/>
      <c r="AC26" s="315"/>
      <c r="AD26" s="315"/>
    </row>
    <row r="27" spans="1:30" ht="38.25" customHeight="1">
      <c r="A27" s="261" t="s">
        <v>379</v>
      </c>
      <c r="B27" s="261" t="s">
        <v>1063</v>
      </c>
      <c r="C27" s="264" t="s">
        <v>220</v>
      </c>
      <c r="D27" s="265">
        <f>'08_P5_Assumptions'!$I$22</f>
        <v>33</v>
      </c>
      <c r="E27" s="265">
        <f>'08_P5_Assumptions'!$J$22</f>
        <v>34</v>
      </c>
      <c r="F27" s="264" t="s">
        <v>398</v>
      </c>
      <c r="G27" s="261" t="s">
        <v>710</v>
      </c>
      <c r="H27" s="261" t="s">
        <v>1064</v>
      </c>
      <c r="I27" s="315"/>
      <c r="J27" s="315"/>
      <c r="K27" s="315"/>
      <c r="L27" s="315"/>
      <c r="M27" s="315"/>
      <c r="N27" s="315"/>
      <c r="O27" s="315"/>
      <c r="P27" s="315"/>
      <c r="Q27" s="315"/>
      <c r="R27" s="315"/>
      <c r="S27" s="315"/>
      <c r="T27" s="315"/>
      <c r="U27" s="315"/>
      <c r="V27" s="315"/>
      <c r="W27" s="315"/>
      <c r="X27" s="315"/>
      <c r="Y27" s="315"/>
      <c r="Z27" s="315"/>
      <c r="AA27" s="315"/>
      <c r="AB27" s="315"/>
      <c r="AC27" s="315"/>
      <c r="AD27" s="315"/>
    </row>
    <row r="28" spans="1:30" ht="25.5" customHeight="1">
      <c r="A28" s="261" t="s">
        <v>803</v>
      </c>
      <c r="B28" s="261" t="s">
        <v>1065</v>
      </c>
      <c r="C28" s="264" t="s">
        <v>14</v>
      </c>
      <c r="D28" s="265">
        <f>'07_Revenue_Drivers'!$F$8</f>
        <v>79159</v>
      </c>
      <c r="E28" s="265"/>
      <c r="F28" s="264" t="s">
        <v>398</v>
      </c>
      <c r="G28" s="261" t="s">
        <v>1033</v>
      </c>
      <c r="H28" s="261" t="s">
        <v>1066</v>
      </c>
      <c r="I28" s="315"/>
      <c r="J28" s="315"/>
      <c r="K28" s="315"/>
      <c r="L28" s="315"/>
      <c r="M28" s="315"/>
      <c r="N28" s="315"/>
      <c r="O28" s="315"/>
      <c r="P28" s="315"/>
      <c r="Q28" s="315"/>
      <c r="R28" s="315"/>
      <c r="S28" s="315"/>
      <c r="T28" s="315"/>
      <c r="U28" s="315"/>
      <c r="V28" s="315"/>
      <c r="W28" s="315"/>
      <c r="X28" s="315"/>
      <c r="Y28" s="315"/>
      <c r="Z28" s="315"/>
      <c r="AA28" s="315"/>
      <c r="AB28" s="315"/>
      <c r="AC28" s="315"/>
      <c r="AD28" s="315"/>
    </row>
    <row r="29" spans="1:30" ht="38.25" customHeight="1">
      <c r="A29" s="261" t="s">
        <v>803</v>
      </c>
      <c r="B29" s="261" t="s">
        <v>1067</v>
      </c>
      <c r="C29" s="264" t="s">
        <v>14</v>
      </c>
      <c r="D29" s="265">
        <f>'04_Q1_Historical_FS'!$E$7</f>
        <v>46461.952026772997</v>
      </c>
      <c r="E29" s="265"/>
      <c r="F29" s="264" t="s">
        <v>398</v>
      </c>
      <c r="G29" s="261" t="s">
        <v>1035</v>
      </c>
      <c r="H29" s="261" t="s">
        <v>1068</v>
      </c>
      <c r="I29" s="315"/>
      <c r="J29" s="315"/>
      <c r="K29" s="315"/>
      <c r="L29" s="315"/>
      <c r="M29" s="315"/>
      <c r="N29" s="315"/>
      <c r="O29" s="315"/>
      <c r="P29" s="315"/>
      <c r="Q29" s="315"/>
      <c r="R29" s="315"/>
      <c r="S29" s="315"/>
      <c r="T29" s="315"/>
      <c r="U29" s="315"/>
      <c r="V29" s="315"/>
      <c r="W29" s="315"/>
      <c r="X29" s="315"/>
      <c r="Y29" s="315"/>
      <c r="Z29" s="315"/>
      <c r="AA29" s="315"/>
      <c r="AB29" s="315"/>
      <c r="AC29" s="315"/>
      <c r="AD29" s="315"/>
    </row>
    <row r="30" spans="1:30" ht="25.5" customHeight="1">
      <c r="A30" s="261" t="s">
        <v>803</v>
      </c>
      <c r="B30" s="261" t="s">
        <v>1069</v>
      </c>
      <c r="C30" s="264" t="s">
        <v>14</v>
      </c>
      <c r="D30" s="265">
        <f>'07_Revenue_Drivers'!$F$17</f>
        <v>23114.428</v>
      </c>
      <c r="E30" s="265"/>
      <c r="F30" s="264" t="s">
        <v>398</v>
      </c>
      <c r="G30" s="261" t="s">
        <v>1033</v>
      </c>
      <c r="H30" s="261" t="s">
        <v>1070</v>
      </c>
      <c r="I30" s="315"/>
      <c r="J30" s="315"/>
      <c r="K30" s="315"/>
      <c r="L30" s="315"/>
      <c r="M30" s="315"/>
      <c r="N30" s="315"/>
      <c r="O30" s="315"/>
      <c r="P30" s="315"/>
      <c r="Q30" s="315"/>
      <c r="R30" s="315"/>
      <c r="S30" s="315"/>
      <c r="T30" s="315"/>
      <c r="U30" s="315"/>
      <c r="V30" s="315"/>
      <c r="W30" s="315"/>
      <c r="X30" s="315"/>
      <c r="Y30" s="315"/>
      <c r="Z30" s="315"/>
      <c r="AA30" s="315"/>
      <c r="AB30" s="315"/>
      <c r="AC30" s="315"/>
      <c r="AD30" s="315"/>
    </row>
    <row r="31" spans="1:30" ht="25.5" customHeight="1">
      <c r="A31" s="261" t="s">
        <v>803</v>
      </c>
      <c r="B31" s="261" t="s">
        <v>1071</v>
      </c>
      <c r="C31" s="264" t="s">
        <v>14</v>
      </c>
      <c r="D31" s="265">
        <f>'06_Revenue_Drivers_Hist'!$J$49</f>
        <v>54500</v>
      </c>
      <c r="E31" s="265"/>
      <c r="F31" s="264" t="s">
        <v>398</v>
      </c>
      <c r="G31" s="261" t="s">
        <v>1072</v>
      </c>
      <c r="H31" s="261" t="s">
        <v>1073</v>
      </c>
      <c r="I31" s="315"/>
      <c r="J31" s="315"/>
      <c r="K31" s="315"/>
      <c r="L31" s="315"/>
      <c r="M31" s="315"/>
      <c r="N31" s="315"/>
      <c r="O31" s="315"/>
      <c r="P31" s="315"/>
      <c r="Q31" s="315"/>
      <c r="R31" s="315"/>
      <c r="S31" s="315"/>
      <c r="T31" s="315"/>
      <c r="U31" s="315"/>
      <c r="V31" s="315"/>
      <c r="W31" s="315"/>
      <c r="X31" s="315"/>
      <c r="Y31" s="315"/>
      <c r="Z31" s="315"/>
      <c r="AA31" s="315"/>
      <c r="AB31" s="315"/>
      <c r="AC31" s="315"/>
      <c r="AD31" s="315"/>
    </row>
    <row r="32" spans="1:30" ht="38.25" customHeight="1">
      <c r="A32" s="261" t="s">
        <v>803</v>
      </c>
      <c r="B32" s="261" t="s">
        <v>1074</v>
      </c>
      <c r="C32" s="264" t="s">
        <v>14</v>
      </c>
      <c r="D32" s="265">
        <f>'07_Revenue_Drivers'!$F$11</f>
        <v>6000</v>
      </c>
      <c r="E32" s="265"/>
      <c r="F32" s="264" t="s">
        <v>398</v>
      </c>
      <c r="G32" s="261" t="s">
        <v>1033</v>
      </c>
      <c r="H32" s="261" t="s">
        <v>1075</v>
      </c>
      <c r="I32" s="315"/>
      <c r="J32" s="315"/>
      <c r="K32" s="315"/>
      <c r="L32" s="315"/>
      <c r="M32" s="315"/>
      <c r="N32" s="315"/>
      <c r="O32" s="315"/>
      <c r="P32" s="315"/>
      <c r="Q32" s="315"/>
      <c r="R32" s="315"/>
      <c r="S32" s="315"/>
      <c r="T32" s="315"/>
      <c r="U32" s="315"/>
      <c r="V32" s="315"/>
      <c r="W32" s="315"/>
      <c r="X32" s="315"/>
      <c r="Y32" s="315"/>
      <c r="Z32" s="315"/>
      <c r="AA32" s="315"/>
      <c r="AB32" s="315"/>
      <c r="AC32" s="315"/>
      <c r="AD32" s="315"/>
    </row>
    <row r="33" spans="1:30" ht="25.5" customHeight="1">
      <c r="A33" s="261" t="s">
        <v>803</v>
      </c>
      <c r="B33" s="261" t="s">
        <v>1076</v>
      </c>
      <c r="C33" s="264" t="s">
        <v>261</v>
      </c>
      <c r="D33" s="265">
        <f>'06_Revenue_Drivers_Hist'!$J$51</f>
        <v>532</v>
      </c>
      <c r="E33" s="265"/>
      <c r="F33" s="264" t="s">
        <v>398</v>
      </c>
      <c r="G33" s="261" t="s">
        <v>1072</v>
      </c>
      <c r="H33" s="261" t="s">
        <v>1077</v>
      </c>
      <c r="I33" s="315"/>
      <c r="J33" s="315"/>
      <c r="K33" s="315"/>
      <c r="L33" s="315"/>
      <c r="M33" s="315"/>
      <c r="N33" s="315"/>
      <c r="O33" s="315"/>
      <c r="P33" s="315"/>
      <c r="Q33" s="315"/>
      <c r="R33" s="315"/>
      <c r="S33" s="315"/>
      <c r="T33" s="315"/>
      <c r="U33" s="315"/>
      <c r="V33" s="315"/>
      <c r="W33" s="315"/>
      <c r="X33" s="315"/>
      <c r="Y33" s="315"/>
      <c r="Z33" s="315"/>
      <c r="AA33" s="315"/>
      <c r="AB33" s="315"/>
      <c r="AC33" s="315"/>
      <c r="AD33" s="315"/>
    </row>
    <row r="34" spans="1:30" ht="63.75" customHeight="1">
      <c r="A34" s="261" t="s">
        <v>1078</v>
      </c>
      <c r="B34" s="261" t="s">
        <v>1079</v>
      </c>
      <c r="C34" s="264" t="s">
        <v>23</v>
      </c>
      <c r="D34" s="419" t="s">
        <v>1080</v>
      </c>
      <c r="E34" s="419" t="s">
        <v>1080</v>
      </c>
      <c r="F34" s="420" t="s">
        <v>1081</v>
      </c>
      <c r="G34" s="421" t="s">
        <v>1082</v>
      </c>
      <c r="H34" s="421" t="s">
        <v>1083</v>
      </c>
      <c r="I34" s="315"/>
      <c r="J34" s="315"/>
      <c r="K34" s="315"/>
      <c r="L34" s="315"/>
      <c r="M34" s="315"/>
      <c r="N34" s="315"/>
      <c r="O34" s="315"/>
      <c r="P34" s="315"/>
      <c r="Q34" s="315"/>
      <c r="R34" s="315"/>
      <c r="S34" s="315"/>
      <c r="T34" s="315"/>
      <c r="U34" s="315"/>
      <c r="V34" s="315"/>
      <c r="W34" s="315"/>
      <c r="X34" s="315"/>
      <c r="Y34" s="315"/>
      <c r="Z34" s="315"/>
      <c r="AA34" s="315"/>
      <c r="AB34" s="315"/>
      <c r="AC34" s="315"/>
      <c r="AD34" s="315"/>
    </row>
    <row r="35" spans="1:30" ht="63.75" customHeight="1">
      <c r="A35" s="261" t="s">
        <v>1078</v>
      </c>
      <c r="B35" s="261" t="s">
        <v>1084</v>
      </c>
      <c r="C35" s="264" t="s">
        <v>601</v>
      </c>
      <c r="D35" s="419" t="s">
        <v>1085</v>
      </c>
      <c r="E35" s="419" t="s">
        <v>1085</v>
      </c>
      <c r="F35" s="420" t="s">
        <v>1081</v>
      </c>
      <c r="G35" s="421" t="s">
        <v>1086</v>
      </c>
      <c r="H35" s="421" t="s">
        <v>1087</v>
      </c>
      <c r="I35" s="315"/>
      <c r="J35" s="315"/>
      <c r="K35" s="315"/>
      <c r="L35" s="315"/>
      <c r="M35" s="315"/>
      <c r="N35" s="315"/>
      <c r="O35" s="315"/>
      <c r="P35" s="315"/>
      <c r="Q35" s="315"/>
      <c r="R35" s="315"/>
      <c r="S35" s="315"/>
      <c r="T35" s="315"/>
      <c r="U35" s="315"/>
      <c r="V35" s="315"/>
      <c r="W35" s="315"/>
      <c r="X35" s="315"/>
      <c r="Y35" s="315"/>
      <c r="Z35" s="315"/>
      <c r="AA35" s="315"/>
      <c r="AB35" s="315"/>
      <c r="AC35" s="315"/>
      <c r="AD35" s="315"/>
    </row>
    <row r="36" spans="1:30">
      <c r="A36" s="315"/>
      <c r="B36" s="315"/>
      <c r="C36" s="271"/>
      <c r="D36" s="271"/>
      <c r="E36" s="271"/>
      <c r="F36" s="271"/>
      <c r="G36" s="315"/>
      <c r="H36" s="315"/>
      <c r="I36" s="315"/>
      <c r="J36" s="315"/>
      <c r="K36" s="315"/>
      <c r="L36" s="315"/>
      <c r="M36" s="315"/>
      <c r="N36" s="315"/>
      <c r="O36" s="315"/>
      <c r="P36" s="315"/>
      <c r="Q36" s="315"/>
      <c r="R36" s="315"/>
      <c r="S36" s="315"/>
      <c r="T36" s="315"/>
      <c r="U36" s="315"/>
      <c r="V36" s="315"/>
      <c r="W36" s="315"/>
      <c r="X36" s="315"/>
      <c r="Y36" s="315"/>
      <c r="Z36" s="315"/>
      <c r="AA36" s="315"/>
      <c r="AB36" s="315"/>
      <c r="AC36" s="315"/>
      <c r="AD36" s="315"/>
    </row>
    <row r="37" spans="1:30" ht="34.5" customHeight="1">
      <c r="A37" s="497" t="s">
        <v>1088</v>
      </c>
      <c r="B37" s="485"/>
      <c r="C37" s="485"/>
      <c r="D37" s="485"/>
      <c r="E37" s="485"/>
      <c r="F37" s="485"/>
      <c r="G37" s="485"/>
      <c r="H37" s="485"/>
      <c r="I37" s="485"/>
      <c r="J37" s="485"/>
      <c r="K37" s="485"/>
      <c r="L37" s="485"/>
      <c r="M37" s="485"/>
      <c r="N37" s="485"/>
      <c r="O37" s="486"/>
      <c r="P37" s="315"/>
      <c r="Q37" s="315"/>
      <c r="R37" s="315"/>
      <c r="S37" s="315"/>
      <c r="T37" s="315"/>
      <c r="U37" s="315"/>
      <c r="V37" s="315"/>
      <c r="W37" s="315"/>
      <c r="X37" s="315"/>
      <c r="Y37" s="315"/>
      <c r="Z37" s="315"/>
      <c r="AA37" s="315"/>
      <c r="AB37" s="315"/>
      <c r="AC37" s="315"/>
      <c r="AD37" s="315"/>
    </row>
    <row r="38" spans="1:30" ht="34.5" customHeight="1">
      <c r="A38" s="403" t="s">
        <v>3</v>
      </c>
      <c r="B38" s="403" t="s">
        <v>4</v>
      </c>
      <c r="C38" s="408" t="s">
        <v>1089</v>
      </c>
      <c r="D38" s="408" t="s">
        <v>1090</v>
      </c>
      <c r="E38" s="408" t="s">
        <v>1091</v>
      </c>
      <c r="F38" s="408" t="s">
        <v>1092</v>
      </c>
      <c r="G38" s="403" t="s">
        <v>1093</v>
      </c>
      <c r="H38" s="403" t="s">
        <v>1094</v>
      </c>
      <c r="I38" s="403" t="s">
        <v>1095</v>
      </c>
      <c r="J38" s="403" t="s">
        <v>1096</v>
      </c>
      <c r="K38" s="403" t="s">
        <v>1097</v>
      </c>
      <c r="L38" s="403" t="s">
        <v>1098</v>
      </c>
      <c r="M38" s="403" t="s">
        <v>1099</v>
      </c>
      <c r="N38" s="403" t="s">
        <v>1100</v>
      </c>
      <c r="O38" s="403" t="s">
        <v>1101</v>
      </c>
      <c r="P38" s="315"/>
      <c r="Q38" s="315"/>
      <c r="R38" s="315"/>
      <c r="S38" s="315"/>
      <c r="T38" s="315"/>
      <c r="U38" s="315"/>
      <c r="V38" s="315"/>
      <c r="W38" s="315"/>
      <c r="X38" s="315"/>
      <c r="Y38" s="315"/>
      <c r="Z38" s="315"/>
      <c r="AA38" s="315"/>
      <c r="AB38" s="315"/>
      <c r="AC38" s="315"/>
      <c r="AD38" s="315"/>
    </row>
    <row r="39" spans="1:30" ht="34.5" customHeight="1">
      <c r="A39" s="261" t="s">
        <v>1102</v>
      </c>
      <c r="B39" s="261" t="s">
        <v>601</v>
      </c>
      <c r="C39" s="264" t="s">
        <v>1103</v>
      </c>
      <c r="D39" s="264" t="s">
        <v>1090</v>
      </c>
      <c r="E39" s="264" t="s">
        <v>1091</v>
      </c>
      <c r="F39" s="264" t="s">
        <v>1092</v>
      </c>
      <c r="G39" s="261" t="s">
        <v>1093</v>
      </c>
      <c r="H39" s="261" t="s">
        <v>1094</v>
      </c>
      <c r="I39" s="261" t="s">
        <v>1095</v>
      </c>
      <c r="J39" s="261" t="s">
        <v>1096</v>
      </c>
      <c r="K39" s="261" t="s">
        <v>1097</v>
      </c>
      <c r="L39" s="261" t="s">
        <v>1098</v>
      </c>
      <c r="M39" s="261" t="s">
        <v>1099</v>
      </c>
      <c r="N39" s="261" t="s">
        <v>1100</v>
      </c>
      <c r="O39" s="261" t="s">
        <v>1101</v>
      </c>
      <c r="P39" s="315"/>
      <c r="Q39" s="315"/>
      <c r="R39" s="315"/>
      <c r="S39" s="315"/>
      <c r="T39" s="315"/>
      <c r="U39" s="315"/>
      <c r="V39" s="315"/>
      <c r="W39" s="315"/>
      <c r="X39" s="315"/>
      <c r="Y39" s="315"/>
      <c r="Z39" s="315"/>
      <c r="AA39" s="315"/>
      <c r="AB39" s="315"/>
      <c r="AC39" s="315"/>
      <c r="AD39" s="315"/>
    </row>
    <row r="40" spans="1:30" ht="34.5" customHeight="1">
      <c r="A40" s="261" t="s">
        <v>1104</v>
      </c>
      <c r="B40" s="261" t="s">
        <v>23</v>
      </c>
      <c r="C40" s="264" t="s">
        <v>1105</v>
      </c>
      <c r="D40" s="422">
        <f t="shared" ref="D40:O40" si="3">D136</f>
        <v>8.7153827536060866E-2</v>
      </c>
      <c r="E40" s="422">
        <f t="shared" si="3"/>
        <v>7.1773740323814839E-2</v>
      </c>
      <c r="F40" s="422">
        <f t="shared" si="3"/>
        <v>7.2474849654174223E-2</v>
      </c>
      <c r="G40" s="411">
        <f t="shared" si="3"/>
        <v>8.2729384147113866E-2</v>
      </c>
      <c r="H40" s="411">
        <f t="shared" si="3"/>
        <v>8.2696190516533818E-2</v>
      </c>
      <c r="I40" s="411">
        <f t="shared" si="3"/>
        <v>8.1188941232109152E-2</v>
      </c>
      <c r="J40" s="411">
        <f t="shared" si="3"/>
        <v>8.2307983665670409E-2</v>
      </c>
      <c r="K40" s="411">
        <f t="shared" si="3"/>
        <v>8.4929195413354031E-2</v>
      </c>
      <c r="L40" s="411">
        <f t="shared" si="3"/>
        <v>8.7596785912876202E-2</v>
      </c>
      <c r="M40" s="411">
        <f t="shared" si="3"/>
        <v>9.2345952840577561E-2</v>
      </c>
      <c r="N40" s="411">
        <f t="shared" si="3"/>
        <v>8.6060719275496592E-2</v>
      </c>
      <c r="O40" s="411">
        <f t="shared" si="3"/>
        <v>8.8742429482218416E-2</v>
      </c>
      <c r="P40" s="315"/>
      <c r="Q40" s="315"/>
      <c r="R40" s="315"/>
      <c r="S40" s="315"/>
      <c r="T40" s="315"/>
      <c r="U40" s="315"/>
      <c r="V40" s="315"/>
      <c r="W40" s="315"/>
      <c r="X40" s="315"/>
      <c r="Y40" s="315"/>
      <c r="Z40" s="315"/>
      <c r="AA40" s="315"/>
      <c r="AB40" s="315"/>
      <c r="AC40" s="315"/>
      <c r="AD40" s="315"/>
    </row>
    <row r="41" spans="1:30" ht="34.5" customHeight="1">
      <c r="A41" s="261" t="s">
        <v>1106</v>
      </c>
      <c r="B41" s="261" t="s">
        <v>23</v>
      </c>
      <c r="C41" s="264" t="s">
        <v>1107</v>
      </c>
      <c r="D41" s="422">
        <f t="shared" ref="D41:O41" si="4">D$151</f>
        <v>9.9500000000000005E-2</v>
      </c>
      <c r="E41" s="422">
        <f t="shared" si="4"/>
        <v>9.9500000000000005E-2</v>
      </c>
      <c r="F41" s="422">
        <f t="shared" si="4"/>
        <v>8.1000000000000003E-2</v>
      </c>
      <c r="G41" s="411">
        <f t="shared" si="4"/>
        <v>0.123</v>
      </c>
      <c r="H41" s="411">
        <f t="shared" si="4"/>
        <v>0.129</v>
      </c>
      <c r="I41" s="411">
        <f t="shared" si="4"/>
        <v>4.9393139841688652E-3</v>
      </c>
      <c r="J41" s="411">
        <f t="shared" si="4"/>
        <v>2.4696569920844329E-2</v>
      </c>
      <c r="K41" s="411">
        <f t="shared" si="4"/>
        <v>3.5810026385224278E-2</v>
      </c>
      <c r="L41" s="411">
        <f t="shared" si="4"/>
        <v>7.0385224274406341E-2</v>
      </c>
      <c r="M41" s="411">
        <f t="shared" si="4"/>
        <v>9.8786279683377318E-2</v>
      </c>
      <c r="N41" s="411">
        <f t="shared" si="4"/>
        <v>0.1494142480211082</v>
      </c>
      <c r="O41" s="411">
        <f t="shared" si="4"/>
        <v>8.3968337730870715E-2</v>
      </c>
      <c r="P41" s="315"/>
      <c r="Q41" s="315"/>
      <c r="R41" s="315"/>
      <c r="S41" s="315"/>
      <c r="T41" s="315"/>
      <c r="U41" s="315"/>
      <c r="V41" s="315"/>
      <c r="W41" s="315"/>
      <c r="X41" s="315"/>
      <c r="Y41" s="315"/>
      <c r="Z41" s="315"/>
      <c r="AA41" s="315"/>
      <c r="AB41" s="315"/>
      <c r="AC41" s="315"/>
      <c r="AD41" s="315"/>
    </row>
    <row r="42" spans="1:30" ht="34.5" customHeight="1">
      <c r="A42" s="261" t="s">
        <v>1108</v>
      </c>
      <c r="B42" s="261" t="s">
        <v>23</v>
      </c>
      <c r="C42" s="264" t="s">
        <v>1109</v>
      </c>
      <c r="D42" s="423">
        <f>SUM($D$41:$O$41)</f>
        <v>1</v>
      </c>
      <c r="E42" s="423"/>
      <c r="F42" s="423"/>
      <c r="G42" s="424"/>
      <c r="H42" s="424"/>
      <c r="I42" s="424"/>
      <c r="J42" s="424"/>
      <c r="K42" s="424"/>
      <c r="L42" s="424"/>
      <c r="M42" s="424"/>
      <c r="N42" s="424"/>
      <c r="O42" s="424"/>
      <c r="P42" s="315"/>
      <c r="Q42" s="315"/>
      <c r="R42" s="315"/>
      <c r="S42" s="315"/>
      <c r="T42" s="315"/>
      <c r="U42" s="315"/>
      <c r="V42" s="315"/>
      <c r="W42" s="315"/>
      <c r="X42" s="315"/>
      <c r="Y42" s="315"/>
      <c r="Z42" s="315"/>
      <c r="AA42" s="315"/>
      <c r="AB42" s="315"/>
      <c r="AC42" s="315"/>
      <c r="AD42" s="315"/>
    </row>
    <row r="43" spans="1:30">
      <c r="A43" s="315"/>
      <c r="B43" s="315"/>
      <c r="C43" s="271"/>
      <c r="D43" s="271"/>
      <c r="E43" s="271"/>
      <c r="F43" s="271"/>
      <c r="G43" s="315"/>
      <c r="H43" s="315"/>
      <c r="I43" s="315"/>
      <c r="J43" s="315"/>
      <c r="K43" s="315"/>
      <c r="L43" s="315"/>
      <c r="M43" s="315"/>
      <c r="N43" s="315"/>
      <c r="O43" s="315"/>
      <c r="P43" s="315"/>
      <c r="Q43" s="315"/>
      <c r="R43" s="315"/>
      <c r="S43" s="315"/>
      <c r="T43" s="315"/>
      <c r="U43" s="315"/>
      <c r="V43" s="315"/>
      <c r="W43" s="315"/>
      <c r="X43" s="315"/>
      <c r="Y43" s="315"/>
      <c r="Z43" s="315"/>
      <c r="AA43" s="315"/>
      <c r="AB43" s="315"/>
      <c r="AC43" s="315"/>
      <c r="AD43" s="315"/>
    </row>
    <row r="44" spans="1:30">
      <c r="A44" s="497" t="s">
        <v>1110</v>
      </c>
      <c r="B44" s="485"/>
      <c r="C44" s="485"/>
      <c r="D44" s="485"/>
      <c r="E44" s="485"/>
      <c r="F44" s="485"/>
      <c r="G44" s="485"/>
      <c r="H44" s="485"/>
      <c r="I44" s="485"/>
      <c r="J44" s="485"/>
      <c r="K44" s="485"/>
      <c r="L44" s="485"/>
      <c r="M44" s="485"/>
      <c r="N44" s="485"/>
      <c r="O44" s="485"/>
      <c r="P44" s="485"/>
      <c r="Q44" s="485"/>
      <c r="R44" s="485"/>
      <c r="S44" s="485"/>
      <c r="T44" s="485"/>
      <c r="U44" s="485"/>
      <c r="V44" s="485"/>
      <c r="W44" s="485"/>
      <c r="X44" s="485"/>
      <c r="Y44" s="485"/>
      <c r="Z44" s="485"/>
      <c r="AA44" s="485"/>
      <c r="AB44" s="485"/>
      <c r="AC44" s="485"/>
      <c r="AD44" s="486"/>
    </row>
    <row r="45" spans="1:30" ht="25.5" customHeight="1">
      <c r="A45" s="403" t="s">
        <v>2</v>
      </c>
      <c r="B45" s="403" t="s">
        <v>3</v>
      </c>
      <c r="C45" s="408" t="s">
        <v>4</v>
      </c>
      <c r="D45" s="312">
        <v>46023</v>
      </c>
      <c r="E45" s="312">
        <v>46054</v>
      </c>
      <c r="F45" s="312">
        <v>46082</v>
      </c>
      <c r="G45" s="312">
        <v>46113</v>
      </c>
      <c r="H45" s="312">
        <v>46143</v>
      </c>
      <c r="I45" s="312">
        <v>46174</v>
      </c>
      <c r="J45" s="312">
        <v>46204</v>
      </c>
      <c r="K45" s="312">
        <v>46235</v>
      </c>
      <c r="L45" s="312">
        <v>46266</v>
      </c>
      <c r="M45" s="312">
        <v>46296</v>
      </c>
      <c r="N45" s="312">
        <v>46327</v>
      </c>
      <c r="O45" s="312">
        <v>46357</v>
      </c>
      <c r="P45" s="312">
        <v>46388</v>
      </c>
      <c r="Q45" s="312">
        <v>46419</v>
      </c>
      <c r="R45" s="312">
        <v>46447</v>
      </c>
      <c r="S45" s="312">
        <v>46478</v>
      </c>
      <c r="T45" s="312">
        <v>46508</v>
      </c>
      <c r="U45" s="312">
        <v>46539</v>
      </c>
      <c r="V45" s="312">
        <v>46569</v>
      </c>
      <c r="W45" s="312">
        <v>46600</v>
      </c>
      <c r="X45" s="312">
        <v>46631</v>
      </c>
      <c r="Y45" s="312">
        <v>46661</v>
      </c>
      <c r="Z45" s="312">
        <v>46692</v>
      </c>
      <c r="AA45" s="312">
        <v>46722</v>
      </c>
      <c r="AB45" s="408" t="s">
        <v>1111</v>
      </c>
      <c r="AC45" s="408" t="s">
        <v>1112</v>
      </c>
      <c r="AD45" s="403" t="s">
        <v>1113</v>
      </c>
    </row>
    <row r="46" spans="1:30">
      <c r="A46" s="261" t="s">
        <v>1114</v>
      </c>
      <c r="B46" s="261" t="s">
        <v>1115</v>
      </c>
      <c r="C46" s="264" t="s">
        <v>1116</v>
      </c>
      <c r="D46" s="264">
        <f t="shared" ref="D46:AA46" si="5">YEAR(D$45)</f>
        <v>2026</v>
      </c>
      <c r="E46" s="264">
        <f t="shared" si="5"/>
        <v>2026</v>
      </c>
      <c r="F46" s="264">
        <f t="shared" si="5"/>
        <v>2026</v>
      </c>
      <c r="G46" s="264">
        <f t="shared" si="5"/>
        <v>2026</v>
      </c>
      <c r="H46" s="264">
        <f t="shared" si="5"/>
        <v>2026</v>
      </c>
      <c r="I46" s="264">
        <f t="shared" si="5"/>
        <v>2026</v>
      </c>
      <c r="J46" s="264">
        <f t="shared" si="5"/>
        <v>2026</v>
      </c>
      <c r="K46" s="264">
        <f t="shared" si="5"/>
        <v>2026</v>
      </c>
      <c r="L46" s="264">
        <f t="shared" si="5"/>
        <v>2026</v>
      </c>
      <c r="M46" s="264">
        <f t="shared" si="5"/>
        <v>2026</v>
      </c>
      <c r="N46" s="264">
        <f t="shared" si="5"/>
        <v>2026</v>
      </c>
      <c r="O46" s="264">
        <f t="shared" si="5"/>
        <v>2026</v>
      </c>
      <c r="P46" s="264">
        <f t="shared" si="5"/>
        <v>2027</v>
      </c>
      <c r="Q46" s="264">
        <f t="shared" si="5"/>
        <v>2027</v>
      </c>
      <c r="R46" s="264">
        <f t="shared" si="5"/>
        <v>2027</v>
      </c>
      <c r="S46" s="264">
        <f t="shared" si="5"/>
        <v>2027</v>
      </c>
      <c r="T46" s="264">
        <f t="shared" si="5"/>
        <v>2027</v>
      </c>
      <c r="U46" s="264">
        <f t="shared" si="5"/>
        <v>2027</v>
      </c>
      <c r="V46" s="264">
        <f t="shared" si="5"/>
        <v>2027</v>
      </c>
      <c r="W46" s="264">
        <f t="shared" si="5"/>
        <v>2027</v>
      </c>
      <c r="X46" s="264">
        <f t="shared" si="5"/>
        <v>2027</v>
      </c>
      <c r="Y46" s="264">
        <f t="shared" si="5"/>
        <v>2027</v>
      </c>
      <c r="Z46" s="264">
        <f t="shared" si="5"/>
        <v>2027</v>
      </c>
      <c r="AA46" s="264">
        <f t="shared" si="5"/>
        <v>2027</v>
      </c>
      <c r="AB46" s="264"/>
      <c r="AC46" s="264"/>
      <c r="AD46" s="261" t="s">
        <v>1117</v>
      </c>
    </row>
    <row r="47" spans="1:30">
      <c r="A47" s="261" t="s">
        <v>1114</v>
      </c>
      <c r="B47" s="261" t="s">
        <v>1102</v>
      </c>
      <c r="C47" s="264" t="s">
        <v>1118</v>
      </c>
      <c r="D47" s="264" t="str">
        <f t="shared" ref="D47:AA47" si="6">TEXT(D$45,"mmm")</f>
        <v>Thg1</v>
      </c>
      <c r="E47" s="264" t="str">
        <f t="shared" si="6"/>
        <v>Thg2</v>
      </c>
      <c r="F47" s="264" t="str">
        <f t="shared" si="6"/>
        <v>Thg3</v>
      </c>
      <c r="G47" s="264" t="str">
        <f t="shared" si="6"/>
        <v>Thg4</v>
      </c>
      <c r="H47" s="264" t="str">
        <f t="shared" si="6"/>
        <v>Thg5</v>
      </c>
      <c r="I47" s="264" t="str">
        <f t="shared" si="6"/>
        <v>Thg6</v>
      </c>
      <c r="J47" s="264" t="str">
        <f t="shared" si="6"/>
        <v>Thg7</v>
      </c>
      <c r="K47" s="264" t="str">
        <f t="shared" si="6"/>
        <v>Thg8</v>
      </c>
      <c r="L47" s="264" t="str">
        <f t="shared" si="6"/>
        <v>Thg9</v>
      </c>
      <c r="M47" s="264" t="str">
        <f t="shared" si="6"/>
        <v>Thg10</v>
      </c>
      <c r="N47" s="264" t="str">
        <f t="shared" si="6"/>
        <v>Thg11</v>
      </c>
      <c r="O47" s="264" t="str">
        <f t="shared" si="6"/>
        <v>Thg12</v>
      </c>
      <c r="P47" s="264" t="str">
        <f t="shared" si="6"/>
        <v>Thg1</v>
      </c>
      <c r="Q47" s="264" t="str">
        <f t="shared" si="6"/>
        <v>Thg2</v>
      </c>
      <c r="R47" s="264" t="str">
        <f t="shared" si="6"/>
        <v>Thg3</v>
      </c>
      <c r="S47" s="264" t="str">
        <f t="shared" si="6"/>
        <v>Thg4</v>
      </c>
      <c r="T47" s="264" t="str">
        <f t="shared" si="6"/>
        <v>Thg5</v>
      </c>
      <c r="U47" s="264" t="str">
        <f t="shared" si="6"/>
        <v>Thg6</v>
      </c>
      <c r="V47" s="264" t="str">
        <f t="shared" si="6"/>
        <v>Thg7</v>
      </c>
      <c r="W47" s="264" t="str">
        <f t="shared" si="6"/>
        <v>Thg8</v>
      </c>
      <c r="X47" s="264" t="str">
        <f t="shared" si="6"/>
        <v>Thg9</v>
      </c>
      <c r="Y47" s="264" t="str">
        <f t="shared" si="6"/>
        <v>Thg10</v>
      </c>
      <c r="Z47" s="264" t="str">
        <f t="shared" si="6"/>
        <v>Thg11</v>
      </c>
      <c r="AA47" s="264" t="str">
        <f t="shared" si="6"/>
        <v>Thg12</v>
      </c>
      <c r="AB47" s="264"/>
      <c r="AC47" s="264"/>
      <c r="AD47" s="261" t="s">
        <v>1103</v>
      </c>
    </row>
    <row r="48" spans="1:30" ht="25.5" customHeight="1">
      <c r="A48" s="261" t="s">
        <v>1114</v>
      </c>
      <c r="B48" s="261" t="s">
        <v>336</v>
      </c>
      <c r="C48" s="264" t="s">
        <v>601</v>
      </c>
      <c r="D48" s="264" t="s">
        <v>1029</v>
      </c>
      <c r="E48" s="264" t="s">
        <v>1029</v>
      </c>
      <c r="F48" s="264" t="s">
        <v>1029</v>
      </c>
      <c r="G48" s="264" t="s">
        <v>1029</v>
      </c>
      <c r="H48" s="264" t="s">
        <v>1029</v>
      </c>
      <c r="I48" s="264" t="s">
        <v>1029</v>
      </c>
      <c r="J48" s="264" t="s">
        <v>1029</v>
      </c>
      <c r="K48" s="264" t="s">
        <v>1029</v>
      </c>
      <c r="L48" s="264" t="s">
        <v>1029</v>
      </c>
      <c r="M48" s="264" t="s">
        <v>1029</v>
      </c>
      <c r="N48" s="264" t="s">
        <v>1029</v>
      </c>
      <c r="O48" s="264" t="s">
        <v>1029</v>
      </c>
      <c r="P48" s="264" t="s">
        <v>1029</v>
      </c>
      <c r="Q48" s="264" t="s">
        <v>1029</v>
      </c>
      <c r="R48" s="264" t="s">
        <v>1029</v>
      </c>
      <c r="S48" s="264" t="s">
        <v>1029</v>
      </c>
      <c r="T48" s="264" t="s">
        <v>1029</v>
      </c>
      <c r="U48" s="264" t="s">
        <v>1029</v>
      </c>
      <c r="V48" s="264" t="s">
        <v>1029</v>
      </c>
      <c r="W48" s="264" t="s">
        <v>1029</v>
      </c>
      <c r="X48" s="264" t="s">
        <v>1029</v>
      </c>
      <c r="Y48" s="264" t="s">
        <v>1029</v>
      </c>
      <c r="Z48" s="264" t="s">
        <v>1029</v>
      </c>
      <c r="AA48" s="264" t="s">
        <v>1029</v>
      </c>
      <c r="AB48" s="264"/>
      <c r="AC48" s="264"/>
      <c r="AD48" s="261" t="s">
        <v>2882</v>
      </c>
    </row>
    <row r="49" spans="1:30" ht="25.5" customHeight="1">
      <c r="A49" s="261" t="s">
        <v>1119</v>
      </c>
      <c r="B49" s="261" t="s">
        <v>1120</v>
      </c>
      <c r="C49" s="264" t="s">
        <v>23</v>
      </c>
      <c r="D49" s="425">
        <f t="shared" ref="D49:AA49" si="7">INDEX($D$40:$O$40,1,MONTH(D$45))</f>
        <v>8.7153827536060866E-2</v>
      </c>
      <c r="E49" s="425">
        <f t="shared" si="7"/>
        <v>7.1773740323814839E-2</v>
      </c>
      <c r="F49" s="425">
        <f t="shared" si="7"/>
        <v>7.2474849654174223E-2</v>
      </c>
      <c r="G49" s="425">
        <f t="shared" si="7"/>
        <v>8.2729384147113866E-2</v>
      </c>
      <c r="H49" s="425">
        <f t="shared" si="7"/>
        <v>8.2696190516533818E-2</v>
      </c>
      <c r="I49" s="425">
        <f t="shared" si="7"/>
        <v>8.1188941232109152E-2</v>
      </c>
      <c r="J49" s="425">
        <f t="shared" si="7"/>
        <v>8.2307983665670409E-2</v>
      </c>
      <c r="K49" s="425">
        <f t="shared" si="7"/>
        <v>8.4929195413354031E-2</v>
      </c>
      <c r="L49" s="425">
        <f t="shared" si="7"/>
        <v>8.7596785912876202E-2</v>
      </c>
      <c r="M49" s="425">
        <f t="shared" si="7"/>
        <v>9.2345952840577561E-2</v>
      </c>
      <c r="N49" s="425">
        <f t="shared" si="7"/>
        <v>8.6060719275496592E-2</v>
      </c>
      <c r="O49" s="425">
        <f t="shared" si="7"/>
        <v>8.8742429482218416E-2</v>
      </c>
      <c r="P49" s="425">
        <f t="shared" si="7"/>
        <v>8.7153827536060866E-2</v>
      </c>
      <c r="Q49" s="425">
        <f t="shared" si="7"/>
        <v>7.1773740323814839E-2</v>
      </c>
      <c r="R49" s="425">
        <f t="shared" si="7"/>
        <v>7.2474849654174223E-2</v>
      </c>
      <c r="S49" s="425">
        <f t="shared" si="7"/>
        <v>8.2729384147113866E-2</v>
      </c>
      <c r="T49" s="425">
        <f t="shared" si="7"/>
        <v>8.2696190516533818E-2</v>
      </c>
      <c r="U49" s="425">
        <f t="shared" si="7"/>
        <v>8.1188941232109152E-2</v>
      </c>
      <c r="V49" s="425">
        <f t="shared" si="7"/>
        <v>8.2307983665670409E-2</v>
      </c>
      <c r="W49" s="425">
        <f t="shared" si="7"/>
        <v>8.4929195413354031E-2</v>
      </c>
      <c r="X49" s="425">
        <f t="shared" si="7"/>
        <v>8.7596785912876202E-2</v>
      </c>
      <c r="Y49" s="425">
        <f t="shared" si="7"/>
        <v>9.2345952840577561E-2</v>
      </c>
      <c r="Z49" s="425">
        <f t="shared" si="7"/>
        <v>8.6060719275496592E-2</v>
      </c>
      <c r="AA49" s="425">
        <f t="shared" si="7"/>
        <v>8.8742429482218416E-2</v>
      </c>
      <c r="AB49" s="264"/>
      <c r="AC49" s="264"/>
      <c r="AD49" s="261" t="s">
        <v>2883</v>
      </c>
    </row>
    <row r="50" spans="1:30">
      <c r="A50" s="404" t="s">
        <v>17</v>
      </c>
      <c r="B50" s="404" t="s">
        <v>239</v>
      </c>
      <c r="C50" s="407" t="s">
        <v>14</v>
      </c>
      <c r="D50" s="414">
        <f>IF(YEAR(D$45)=2026,'12_Income_Statement'!$I$6,'12_Income_Statement'!$J$6)*D$49</f>
        <v>16123.458094171259</v>
      </c>
      <c r="E50" s="414">
        <f>IF(YEAR(E$45)=2026,'12_Income_Statement'!$I$6,'12_Income_Statement'!$J$6)*E$49</f>
        <v>13278.141959905744</v>
      </c>
      <c r="F50" s="414">
        <f>IF(YEAR(F$45)=2026,'12_Income_Statement'!$I$6,'12_Income_Statement'!$J$6)*F$49</f>
        <v>13407.847186022231</v>
      </c>
      <c r="G50" s="414">
        <f>IF(YEAR(G$45)=2026,'12_Income_Statement'!$I$6,'12_Income_Statement'!$J$6)*G$49</f>
        <v>15304.936067216066</v>
      </c>
      <c r="H50" s="414">
        <f>IF(YEAR(H$45)=2026,'12_Income_Statement'!$I$6,'12_Income_Statement'!$J$6)*H$49</f>
        <v>15298.795245558757</v>
      </c>
      <c r="I50" s="414">
        <f>IF(YEAR(I$45)=2026,'12_Income_Statement'!$I$6,'12_Income_Statement'!$J$6)*I$49</f>
        <v>15019.954127940193</v>
      </c>
      <c r="J50" s="414">
        <f>IF(YEAR(J$45)=2026,'12_Income_Statement'!$I$6,'12_Income_Statement'!$J$6)*J$49</f>
        <v>15226.976978149025</v>
      </c>
      <c r="K50" s="414">
        <f>IF(YEAR(K$45)=2026,'12_Income_Statement'!$I$6,'12_Income_Statement'!$J$6)*K$49</f>
        <v>15711.901151470496</v>
      </c>
      <c r="L50" s="414">
        <f>IF(YEAR(L$45)=2026,'12_Income_Statement'!$I$6,'12_Income_Statement'!$J$6)*L$49</f>
        <v>16205.405393882098</v>
      </c>
      <c r="M50" s="414">
        <f>IF(YEAR(M$45)=2026,'12_Income_Statement'!$I$6,'12_Income_Statement'!$J$6)*M$49</f>
        <v>17084.001275506849</v>
      </c>
      <c r="N50" s="414">
        <f>IF(YEAR(N$45)=2026,'12_Income_Statement'!$I$6,'12_Income_Statement'!$J$6)*N$49</f>
        <v>15921.23306596687</v>
      </c>
      <c r="O50" s="414">
        <f>IF(YEAR(O$45)=2026,'12_Income_Statement'!$I$6,'12_Income_Statement'!$J$6)*O$49</f>
        <v>16417.349454210405</v>
      </c>
      <c r="P50" s="414">
        <f>IF(YEAR(P$45)=2026,'12_Income_Statement'!$I$6,'12_Income_Statement'!$J$6)*P$49</f>
        <v>18363.509306366959</v>
      </c>
      <c r="Q50" s="414">
        <f>IF(YEAR(Q$45)=2026,'12_Income_Statement'!$I$6,'12_Income_Statement'!$J$6)*Q$49</f>
        <v>15122.890017008087</v>
      </c>
      <c r="R50" s="414">
        <f>IF(YEAR(R$45)=2026,'12_Income_Statement'!$I$6,'12_Income_Statement'!$J$6)*R$49</f>
        <v>15270.615344475869</v>
      </c>
      <c r="S50" s="414">
        <f>IF(YEAR(S$45)=2026,'12_Income_Statement'!$I$6,'12_Income_Statement'!$J$6)*S$49</f>
        <v>17431.269040558731</v>
      </c>
      <c r="T50" s="414">
        <f>IF(YEAR(T$45)=2026,'12_Income_Statement'!$I$6,'12_Income_Statement'!$J$6)*T$49</f>
        <v>17424.275067243943</v>
      </c>
      <c r="U50" s="414">
        <f>IF(YEAR(U$45)=2026,'12_Income_Statement'!$I$6,'12_Income_Statement'!$J$6)*U$49</f>
        <v>17106.694221467606</v>
      </c>
      <c r="V50" s="414">
        <f>IF(YEAR(V$45)=2026,'12_Income_Statement'!$I$6,'12_Income_Statement'!$J$6)*V$49</f>
        <v>17342.47900251373</v>
      </c>
      <c r="W50" s="414">
        <f>IF(YEAR(W$45)=2026,'12_Income_Statement'!$I$6,'12_Income_Statement'!$J$6)*W$49</f>
        <v>17894.77426806165</v>
      </c>
      <c r="X50" s="414">
        <f>IF(YEAR(X$45)=2026,'12_Income_Statement'!$I$6,'12_Income_Statement'!$J$6)*X$49</f>
        <v>18456.841641904561</v>
      </c>
      <c r="Y50" s="414">
        <f>IF(YEAR(Y$45)=2026,'12_Income_Statement'!$I$6,'12_Income_Statement'!$J$6)*Y$49</f>
        <v>19457.501894470628</v>
      </c>
      <c r="Z50" s="414">
        <f>IF(YEAR(Z$45)=2026,'12_Income_Statement'!$I$6,'12_Income_Statement'!$J$6)*Z$49</f>
        <v>18133.188914443461</v>
      </c>
      <c r="AA50" s="414">
        <f>IF(YEAR(AA$45)=2026,'12_Income_Statement'!$I$6,'12_Income_Statement'!$J$6)*AA$49</f>
        <v>18698.231342645937</v>
      </c>
      <c r="AB50" s="414">
        <f>SUM($D$50:$O$50)-'12_Income_Statement'!$I$6</f>
        <v>0</v>
      </c>
      <c r="AC50" s="414">
        <f>SUM($P$50:$AA$50)-'12_Income_Statement'!$J$6</f>
        <v>0</v>
      </c>
      <c r="AD50" s="404" t="s">
        <v>1121</v>
      </c>
    </row>
    <row r="51" spans="1:30" ht="38.25" customHeight="1">
      <c r="A51" s="261" t="s">
        <v>17</v>
      </c>
      <c r="B51" s="261" t="s">
        <v>302</v>
      </c>
      <c r="C51" s="264" t="s">
        <v>14</v>
      </c>
      <c r="D51" s="269">
        <f>IF(YEAR(D$45)=2026,'07_Revenue_Drivers'!$G$15,'07_Revenue_Drivers'!$H$15)*D$49</f>
        <v>3427.4066079542827</v>
      </c>
      <c r="E51" s="269">
        <f>IF(YEAR(E$45)=2026,'07_Revenue_Drivers'!$G$15,'07_Revenue_Drivers'!$H$15)*E$49</f>
        <v>2822.5701477270568</v>
      </c>
      <c r="F51" s="269">
        <f>IF(YEAR(F$45)=2026,'07_Revenue_Drivers'!$G$15,'07_Revenue_Drivers'!$H$15)*F$49</f>
        <v>2850.1419345287081</v>
      </c>
      <c r="G51" s="269">
        <f>IF(YEAR(G$45)=2026,'07_Revenue_Drivers'!$G$15,'07_Revenue_Drivers'!$H$15)*G$49</f>
        <v>3253.4111916138795</v>
      </c>
      <c r="H51" s="269">
        <f>IF(YEAR(H$45)=2026,'07_Revenue_Drivers'!$G$15,'07_Revenue_Drivers'!$H$15)*H$49</f>
        <v>3252.105820731058</v>
      </c>
      <c r="I51" s="269">
        <f>IF(YEAR(I$45)=2026,'07_Revenue_Drivers'!$G$15,'07_Revenue_Drivers'!$H$15)*I$49</f>
        <v>3192.8318186210072</v>
      </c>
      <c r="J51" s="269">
        <f>IF(YEAR(J$45)=2026,'07_Revenue_Drivers'!$G$15,'07_Revenue_Drivers'!$H$15)*J$49</f>
        <v>3236.8392195556607</v>
      </c>
      <c r="K51" s="269">
        <f>IF(YEAR(K$45)=2026,'07_Revenue_Drivers'!$G$15,'07_Revenue_Drivers'!$H$15)*K$49</f>
        <v>3339.9208479688368</v>
      </c>
      <c r="L51" s="269">
        <f>IF(YEAR(L$45)=2026,'07_Revenue_Drivers'!$G$15,'07_Revenue_Drivers'!$H$15)*L$49</f>
        <v>3444.8263646151981</v>
      </c>
      <c r="M51" s="269">
        <f>IF(YEAR(M$45)=2026,'07_Revenue_Drivers'!$G$15,'07_Revenue_Drivers'!$H$15)*M$49</f>
        <v>3631.5918409053434</v>
      </c>
      <c r="N51" s="269">
        <f>IF(YEAR(N$45)=2026,'07_Revenue_Drivers'!$G$15,'07_Revenue_Drivers'!$H$15)*N$49</f>
        <v>3384.4190928744974</v>
      </c>
      <c r="O51" s="269">
        <f>IF(YEAR(O$45)=2026,'07_Revenue_Drivers'!$G$15,'07_Revenue_Drivers'!$H$15)*O$49</f>
        <v>3489.8798803463251</v>
      </c>
      <c r="P51" s="269">
        <f>IF(YEAR(P$45)=2026,'07_Revenue_Drivers'!$G$15,'07_Revenue_Drivers'!$H$15)*P$49</f>
        <v>3564.5028722724537</v>
      </c>
      <c r="Q51" s="269">
        <f>IF(YEAR(Q$45)=2026,'07_Revenue_Drivers'!$G$15,'07_Revenue_Drivers'!$H$15)*Q$49</f>
        <v>2935.4729536361388</v>
      </c>
      <c r="R51" s="269">
        <f>IF(YEAR(R$45)=2026,'07_Revenue_Drivers'!$G$15,'07_Revenue_Drivers'!$H$15)*R$49</f>
        <v>2964.1476119098561</v>
      </c>
      <c r="S51" s="269">
        <f>IF(YEAR(S$45)=2026,'07_Revenue_Drivers'!$G$15,'07_Revenue_Drivers'!$H$15)*S$49</f>
        <v>3383.5476392784349</v>
      </c>
      <c r="T51" s="269">
        <f>IF(YEAR(T$45)=2026,'07_Revenue_Drivers'!$G$15,'07_Revenue_Drivers'!$H$15)*T$49</f>
        <v>3382.1900535602999</v>
      </c>
      <c r="U51" s="269">
        <f>IF(YEAR(U$45)=2026,'07_Revenue_Drivers'!$G$15,'07_Revenue_Drivers'!$H$15)*U$49</f>
        <v>3320.5450913658474</v>
      </c>
      <c r="V51" s="269">
        <f>IF(YEAR(V$45)=2026,'07_Revenue_Drivers'!$G$15,'07_Revenue_Drivers'!$H$15)*V$49</f>
        <v>3366.312788337887</v>
      </c>
      <c r="W51" s="269">
        <f>IF(YEAR(W$45)=2026,'07_Revenue_Drivers'!$G$15,'07_Revenue_Drivers'!$H$15)*W$49</f>
        <v>3473.5176818875902</v>
      </c>
      <c r="X51" s="269">
        <f>IF(YEAR(X$45)=2026,'07_Revenue_Drivers'!$G$15,'07_Revenue_Drivers'!$H$15)*X$49</f>
        <v>3582.6194191998061</v>
      </c>
      <c r="Y51" s="269">
        <f>IF(YEAR(Y$45)=2026,'07_Revenue_Drivers'!$G$15,'07_Revenue_Drivers'!$H$15)*Y$49</f>
        <v>3776.8555145415571</v>
      </c>
      <c r="Z51" s="269">
        <f>IF(YEAR(Z$45)=2026,'07_Revenue_Drivers'!$G$15,'07_Revenue_Drivers'!$H$15)*Z$49</f>
        <v>3519.7958565894774</v>
      </c>
      <c r="AA51" s="269">
        <f>IF(YEAR(AA$45)=2026,'07_Revenue_Drivers'!$G$15,'07_Revenue_Drivers'!$H$15)*AA$49</f>
        <v>3629.4750755601781</v>
      </c>
      <c r="AB51" s="269"/>
      <c r="AC51" s="269"/>
      <c r="AD51" s="261" t="s">
        <v>1122</v>
      </c>
    </row>
    <row r="52" spans="1:30">
      <c r="A52" s="261" t="s">
        <v>17</v>
      </c>
      <c r="B52" s="261" t="s">
        <v>303</v>
      </c>
      <c r="C52" s="264" t="s">
        <v>14</v>
      </c>
      <c r="D52" s="269">
        <f>IF(YEAR(D$45)=2026,'07_Revenue_Drivers'!$G$16,'07_Revenue_Drivers'!$H$16)*D$49</f>
        <v>7052.8411532570353</v>
      </c>
      <c r="E52" s="269">
        <f>IF(YEAR(E$45)=2026,'07_Revenue_Drivers'!$G$16,'07_Revenue_Drivers'!$H$16)*E$49</f>
        <v>5808.2221262116773</v>
      </c>
      <c r="F52" s="269">
        <f>IF(YEAR(F$45)=2026,'07_Revenue_Drivers'!$G$16,'07_Revenue_Drivers'!$H$16)*F$49</f>
        <v>5864.9587363857418</v>
      </c>
      <c r="G52" s="269">
        <f>IF(YEAR(G$45)=2026,'07_Revenue_Drivers'!$G$16,'07_Revenue_Drivers'!$H$16)*G$49</f>
        <v>6694.7972520765625</v>
      </c>
      <c r="H52" s="269">
        <f>IF(YEAR(H$45)=2026,'07_Revenue_Drivers'!$G$16,'07_Revenue_Drivers'!$H$16)*H$49</f>
        <v>6692.1110888821331</v>
      </c>
      <c r="I52" s="269">
        <f>IF(YEAR(I$45)=2026,'07_Revenue_Drivers'!$G$16,'07_Revenue_Drivers'!$H$16)*I$49</f>
        <v>6570.1383645401174</v>
      </c>
      <c r="J52" s="269">
        <f>IF(YEAR(J$45)=2026,'07_Revenue_Drivers'!$G$16,'07_Revenue_Drivers'!$H$16)*J$49</f>
        <v>6660.6958162412047</v>
      </c>
      <c r="K52" s="269">
        <f>IF(YEAR(K$45)=2026,'07_Revenue_Drivers'!$G$16,'07_Revenue_Drivers'!$H$16)*K$49</f>
        <v>6872.8149004869847</v>
      </c>
      <c r="L52" s="269">
        <f>IF(YEAR(L$45)=2026,'07_Revenue_Drivers'!$G$16,'07_Revenue_Drivers'!$H$16)*L$49</f>
        <v>7088.6871414081643</v>
      </c>
      <c r="M52" s="269">
        <f>IF(YEAR(M$45)=2026,'07_Revenue_Drivers'!$G$16,'07_Revenue_Drivers'!$H$16)*M$49</f>
        <v>7473.0089881741078</v>
      </c>
      <c r="N52" s="269">
        <f>IF(YEAR(N$45)=2026,'07_Revenue_Drivers'!$G$16,'07_Revenue_Drivers'!$H$16)*N$49</f>
        <v>6964.3824000039667</v>
      </c>
      <c r="O52" s="269">
        <f>IF(YEAR(O$45)=2026,'07_Revenue_Drivers'!$G$16,'07_Revenue_Drivers'!$H$16)*O$49</f>
        <v>7181.3972648904391</v>
      </c>
      <c r="P52" s="269">
        <f>IF(YEAR(P$45)=2026,'07_Revenue_Drivers'!$G$16,'07_Revenue_Drivers'!$H$16)*P$49</f>
        <v>7468.5579717820174</v>
      </c>
      <c r="Q52" s="269">
        <f>IF(YEAR(Q$45)=2026,'07_Revenue_Drivers'!$G$16,'07_Revenue_Drivers'!$H$16)*Q$49</f>
        <v>6150.5771532322506</v>
      </c>
      <c r="R52" s="269">
        <f>IF(YEAR(R$45)=2026,'07_Revenue_Drivers'!$G$16,'07_Revenue_Drivers'!$H$16)*R$49</f>
        <v>6210.6579990927466</v>
      </c>
      <c r="S52" s="269">
        <f>IF(YEAR(S$45)=2026,'07_Revenue_Drivers'!$G$16,'07_Revenue_Drivers'!$H$16)*S$49</f>
        <v>7089.4098278918837</v>
      </c>
      <c r="T52" s="269">
        <f>IF(YEAR(T$45)=2026,'07_Revenue_Drivers'!$G$16,'07_Revenue_Drivers'!$H$16)*T$49</f>
        <v>7086.5653337223248</v>
      </c>
      <c r="U52" s="269">
        <f>IF(YEAR(U$45)=2026,'07_Revenue_Drivers'!$G$16,'07_Revenue_Drivers'!$H$16)*U$49</f>
        <v>6957.4031502944672</v>
      </c>
      <c r="V52" s="269">
        <f>IF(YEAR(V$45)=2026,'07_Revenue_Drivers'!$G$16,'07_Revenue_Drivers'!$H$16)*V$49</f>
        <v>7053.2983453101788</v>
      </c>
      <c r="W52" s="269">
        <f>IF(YEAR(W$45)=2026,'07_Revenue_Drivers'!$G$16,'07_Revenue_Drivers'!$H$16)*W$49</f>
        <v>7277.9204009025298</v>
      </c>
      <c r="X52" s="269">
        <f>IF(YEAR(X$45)=2026,'07_Revenue_Drivers'!$G$16,'07_Revenue_Drivers'!$H$16)*X$49</f>
        <v>7506.5168361240685</v>
      </c>
      <c r="Y52" s="269">
        <f>IF(YEAR(Y$45)=2026,'07_Revenue_Drivers'!$G$16,'07_Revenue_Drivers'!$H$16)*Y$49</f>
        <v>7913.4918310264047</v>
      </c>
      <c r="Z52" s="269">
        <f>IF(YEAR(Z$45)=2026,'07_Revenue_Drivers'!$G$16,'07_Revenue_Drivers'!$H$16)*Z$49</f>
        <v>7374.8851791547504</v>
      </c>
      <c r="AA52" s="269">
        <f>IF(YEAR(AA$45)=2026,'07_Revenue_Drivers'!$G$16,'07_Revenue_Drivers'!$H$16)*AA$49</f>
        <v>7604.6915882207713</v>
      </c>
      <c r="AB52" s="269"/>
      <c r="AC52" s="269"/>
      <c r="AD52" s="261" t="s">
        <v>1122</v>
      </c>
    </row>
    <row r="53" spans="1:30">
      <c r="A53" s="261" t="s">
        <v>17</v>
      </c>
      <c r="B53" s="261" t="s">
        <v>246</v>
      </c>
      <c r="C53" s="264" t="s">
        <v>14</v>
      </c>
      <c r="D53" s="269">
        <f>IF(YEAR(D$45)=2026,'07_Revenue_Drivers'!$G$17,'07_Revenue_Drivers'!$H$17)*D$49</f>
        <v>4837.0374282513776</v>
      </c>
      <c r="E53" s="269">
        <f>IF(YEAR(E$45)=2026,'07_Revenue_Drivers'!$G$17,'07_Revenue_Drivers'!$H$17)*E$49</f>
        <v>3983.4425879717237</v>
      </c>
      <c r="F53" s="269">
        <f>IF(YEAR(F$45)=2026,'07_Revenue_Drivers'!$G$17,'07_Revenue_Drivers'!$H$17)*F$49</f>
        <v>4022.3541558066695</v>
      </c>
      <c r="G53" s="269">
        <f>IF(YEAR(G$45)=2026,'07_Revenue_Drivers'!$G$17,'07_Revenue_Drivers'!$H$17)*G$49</f>
        <v>4591.4808201648193</v>
      </c>
      <c r="H53" s="269">
        <f>IF(YEAR(H$45)=2026,'07_Revenue_Drivers'!$G$17,'07_Revenue_Drivers'!$H$17)*H$49</f>
        <v>4589.6385736676266</v>
      </c>
      <c r="I53" s="269">
        <f>IF(YEAR(I$45)=2026,'07_Revenue_Drivers'!$G$17,'07_Revenue_Drivers'!$H$17)*I$49</f>
        <v>4505.9862383820582</v>
      </c>
      <c r="J53" s="269">
        <f>IF(YEAR(J$45)=2026,'07_Revenue_Drivers'!$G$17,'07_Revenue_Drivers'!$H$17)*J$49</f>
        <v>4568.0930934447078</v>
      </c>
      <c r="K53" s="269">
        <f>IF(YEAR(K$45)=2026,'07_Revenue_Drivers'!$G$17,'07_Revenue_Drivers'!$H$17)*K$49</f>
        <v>4713.5703454411487</v>
      </c>
      <c r="L53" s="269">
        <f>IF(YEAR(L$45)=2026,'07_Revenue_Drivers'!$G$17,'07_Revenue_Drivers'!$H$17)*L$49</f>
        <v>4861.6216181646296</v>
      </c>
      <c r="M53" s="269">
        <f>IF(YEAR(M$45)=2026,'07_Revenue_Drivers'!$G$17,'07_Revenue_Drivers'!$H$17)*M$49</f>
        <v>5125.2003826520549</v>
      </c>
      <c r="N53" s="269">
        <f>IF(YEAR(N$45)=2026,'07_Revenue_Drivers'!$G$17,'07_Revenue_Drivers'!$H$17)*N$49</f>
        <v>4776.3699197900605</v>
      </c>
      <c r="O53" s="269">
        <f>IF(YEAR(O$45)=2026,'07_Revenue_Drivers'!$G$17,'07_Revenue_Drivers'!$H$17)*O$49</f>
        <v>4925.2048362631222</v>
      </c>
      <c r="P53" s="269">
        <f>IF(YEAR(P$45)=2026,'07_Revenue_Drivers'!$G$17,'07_Revenue_Drivers'!$H$17)*P$49</f>
        <v>6407.1375637146684</v>
      </c>
      <c r="Q53" s="269">
        <f>IF(YEAR(Q$45)=2026,'07_Revenue_Drivers'!$G$17,'07_Revenue_Drivers'!$H$17)*Q$49</f>
        <v>5276.4662289414919</v>
      </c>
      <c r="R53" s="269">
        <f>IF(YEAR(R$45)=2026,'07_Revenue_Drivers'!$G$17,'07_Revenue_Drivers'!$H$17)*R$49</f>
        <v>5328.0084738871637</v>
      </c>
      <c r="S53" s="269">
        <f>IF(YEAR(S$45)=2026,'07_Revenue_Drivers'!$G$17,'07_Revenue_Drivers'!$H$17)*S$49</f>
        <v>6081.8733930260996</v>
      </c>
      <c r="T53" s="269">
        <f>IF(YEAR(T$45)=2026,'07_Revenue_Drivers'!$G$17,'07_Revenue_Drivers'!$H$17)*T$49</f>
        <v>6079.4331541590518</v>
      </c>
      <c r="U53" s="269">
        <f>IF(YEAR(U$45)=2026,'07_Revenue_Drivers'!$G$17,'07_Revenue_Drivers'!$H$17)*U$49</f>
        <v>5968.6273091246094</v>
      </c>
      <c r="V53" s="269">
        <f>IF(YEAR(V$45)=2026,'07_Revenue_Drivers'!$G$17,'07_Revenue_Drivers'!$H$17)*V$49</f>
        <v>6050.8940209164048</v>
      </c>
      <c r="W53" s="269">
        <f>IF(YEAR(W$45)=2026,'07_Revenue_Drivers'!$G$17,'07_Revenue_Drivers'!$H$17)*W$49</f>
        <v>6243.5931223309126</v>
      </c>
      <c r="X53" s="269">
        <f>IF(YEAR(X$45)=2026,'07_Revenue_Drivers'!$G$17,'07_Revenue_Drivers'!$H$17)*X$49</f>
        <v>6439.7017704224154</v>
      </c>
      <c r="Y53" s="269">
        <f>IF(YEAR(Y$45)=2026,'07_Revenue_Drivers'!$G$17,'07_Revenue_Drivers'!$H$17)*Y$49</f>
        <v>6788.8380812314454</v>
      </c>
      <c r="Z53" s="269">
        <f>IF(YEAR(Z$45)=2026,'07_Revenue_Drivers'!$G$17,'07_Revenue_Drivers'!$H$17)*Z$49</f>
        <v>6326.7774097722577</v>
      </c>
      <c r="AA53" s="269">
        <f>IF(YEAR(AA$45)=2026,'07_Revenue_Drivers'!$G$17,'07_Revenue_Drivers'!$H$17)*AA$49</f>
        <v>6523.9240720158077</v>
      </c>
      <c r="AB53" s="269"/>
      <c r="AC53" s="269"/>
      <c r="AD53" s="261" t="s">
        <v>1122</v>
      </c>
    </row>
    <row r="54" spans="1:30" ht="25.5" customHeight="1">
      <c r="A54" s="261" t="s">
        <v>17</v>
      </c>
      <c r="B54" s="261" t="s">
        <v>247</v>
      </c>
      <c r="C54" s="264" t="s">
        <v>14</v>
      </c>
      <c r="D54" s="269">
        <f>IF(YEAR(D$45)=2026,'07_Revenue_Drivers'!$G$18,'07_Revenue_Drivers'!$H$18)*D$49</f>
        <v>249.25994675313407</v>
      </c>
      <c r="E54" s="269">
        <f>IF(YEAR(E$45)=2026,'07_Revenue_Drivers'!$G$18,'07_Revenue_Drivers'!$H$18)*E$49</f>
        <v>205.27289732611044</v>
      </c>
      <c r="F54" s="269">
        <f>IF(YEAR(F$45)=2026,'07_Revenue_Drivers'!$G$18,'07_Revenue_Drivers'!$H$18)*F$49</f>
        <v>207.27807001093828</v>
      </c>
      <c r="G54" s="269">
        <f>IF(YEAR(G$45)=2026,'07_Revenue_Drivers'!$G$18,'07_Revenue_Drivers'!$H$18)*G$49</f>
        <v>236.60603866074567</v>
      </c>
      <c r="H54" s="269">
        <f>IF(YEAR(H$45)=2026,'07_Revenue_Drivers'!$G$18,'07_Revenue_Drivers'!$H$18)*H$49</f>
        <v>236.51110487728673</v>
      </c>
      <c r="I54" s="269">
        <f>IF(YEAR(I$45)=2026,'07_Revenue_Drivers'!$G$18,'07_Revenue_Drivers'!$H$18)*I$49</f>
        <v>232.20037192383217</v>
      </c>
      <c r="J54" s="269">
        <f>IF(YEAR(J$45)=2026,'07_Revenue_Drivers'!$G$18,'07_Revenue_Drivers'!$H$18)*J$49</f>
        <v>235.40083328381738</v>
      </c>
      <c r="K54" s="269">
        <f>IF(YEAR(K$45)=2026,'07_Revenue_Drivers'!$G$18,'07_Revenue_Drivers'!$H$18)*K$49</f>
        <v>242.89749888219254</v>
      </c>
      <c r="L54" s="269">
        <f>IF(YEAR(L$45)=2026,'07_Revenue_Drivers'!$G$18,'07_Revenue_Drivers'!$H$18)*L$49</f>
        <v>250.52680771082595</v>
      </c>
      <c r="M54" s="269">
        <f>IF(YEAR(M$45)=2026,'07_Revenue_Drivers'!$G$18,'07_Revenue_Drivers'!$H$18)*M$49</f>
        <v>264.10942512405182</v>
      </c>
      <c r="N54" s="269">
        <f>IF(YEAR(N$45)=2026,'07_Revenue_Drivers'!$G$18,'07_Revenue_Drivers'!$H$18)*N$49</f>
        <v>246.13365712792026</v>
      </c>
      <c r="O54" s="269">
        <f>IF(YEAR(O$45)=2026,'07_Revenue_Drivers'!$G$18,'07_Revenue_Drivers'!$H$18)*O$49</f>
        <v>253.80334831914467</v>
      </c>
      <c r="P54" s="269">
        <f>IF(YEAR(P$45)=2026,'07_Revenue_Drivers'!$G$18,'07_Revenue_Drivers'!$H$18)*P$49</f>
        <v>307.23596399793706</v>
      </c>
      <c r="Q54" s="269">
        <f>IF(YEAR(Q$45)=2026,'07_Revenue_Drivers'!$G$18,'07_Revenue_Drivers'!$H$18)*Q$49</f>
        <v>253.0178527041835</v>
      </c>
      <c r="R54" s="269">
        <f>IF(YEAR(R$45)=2026,'07_Revenue_Drivers'!$G$18,'07_Revenue_Drivers'!$H$18)*R$49</f>
        <v>255.48941370237131</v>
      </c>
      <c r="S54" s="269">
        <f>IF(YEAR(S$45)=2026,'07_Revenue_Drivers'!$G$18,'07_Revenue_Drivers'!$H$18)*S$49</f>
        <v>291.63885061591162</v>
      </c>
      <c r="T54" s="269">
        <f>IF(YEAR(T$45)=2026,'07_Revenue_Drivers'!$G$18,'07_Revenue_Drivers'!$H$18)*T$49</f>
        <v>291.5218359376334</v>
      </c>
      <c r="U54" s="269">
        <f>IF(YEAR(U$45)=2026,'07_Revenue_Drivers'!$G$18,'07_Revenue_Drivers'!$H$18)*U$49</f>
        <v>286.20845843056054</v>
      </c>
      <c r="V54" s="269">
        <f>IF(YEAR(V$45)=2026,'07_Revenue_Drivers'!$G$18,'07_Revenue_Drivers'!$H$18)*V$49</f>
        <v>290.15332339575707</v>
      </c>
      <c r="W54" s="269">
        <f>IF(YEAR(W$45)=2026,'07_Revenue_Drivers'!$G$18,'07_Revenue_Drivers'!$H$18)*W$49</f>
        <v>299.39365788145801</v>
      </c>
      <c r="X54" s="269">
        <f>IF(YEAR(X$45)=2026,'07_Revenue_Drivers'!$G$18,'07_Revenue_Drivers'!$H$18)*X$49</f>
        <v>308.79748743023282</v>
      </c>
      <c r="Y54" s="269">
        <f>IF(YEAR(Y$45)=2026,'07_Revenue_Drivers'!$G$18,'07_Revenue_Drivers'!$H$18)*Y$49</f>
        <v>325.53932104179421</v>
      </c>
      <c r="Z54" s="269">
        <f>IF(YEAR(Z$45)=2026,'07_Revenue_Drivers'!$G$18,'07_Revenue_Drivers'!$H$18)*Z$49</f>
        <v>303.38252256359942</v>
      </c>
      <c r="AA54" s="269">
        <f>IF(YEAR(AA$45)=2026,'07_Revenue_Drivers'!$G$18,'07_Revenue_Drivers'!$H$18)*AA$49</f>
        <v>312.83612711337531</v>
      </c>
      <c r="AB54" s="269"/>
      <c r="AC54" s="269"/>
      <c r="AD54" s="261" t="s">
        <v>1122</v>
      </c>
    </row>
    <row r="55" spans="1:30" ht="25.5" customHeight="1">
      <c r="A55" s="261" t="s">
        <v>17</v>
      </c>
      <c r="B55" s="261" t="s">
        <v>248</v>
      </c>
      <c r="C55" s="264" t="s">
        <v>14</v>
      </c>
      <c r="D55" s="269">
        <f>IF(YEAR(D$45)=2026,'07_Revenue_Drivers'!$G$19,'07_Revenue_Drivers'!$H$19)*D$49</f>
        <v>146.41843026058226</v>
      </c>
      <c r="E55" s="269">
        <f>IF(YEAR(E$45)=2026,'07_Revenue_Drivers'!$G$19,'07_Revenue_Drivers'!$H$19)*E$49</f>
        <v>120.57988374400892</v>
      </c>
      <c r="F55" s="269">
        <f>IF(YEAR(F$45)=2026,'07_Revenue_Drivers'!$G$19,'07_Revenue_Drivers'!$H$19)*F$49</f>
        <v>121.75774741901269</v>
      </c>
      <c r="G55" s="269">
        <f>IF(YEAR(G$45)=2026,'07_Revenue_Drivers'!$G$19,'07_Revenue_Drivers'!$H$19)*G$49</f>
        <v>138.9853653671513</v>
      </c>
      <c r="H55" s="269">
        <f>IF(YEAR(H$45)=2026,'07_Revenue_Drivers'!$G$19,'07_Revenue_Drivers'!$H$19)*H$49</f>
        <v>138.92960006777682</v>
      </c>
      <c r="I55" s="269">
        <f>IF(YEAR(I$45)=2026,'07_Revenue_Drivers'!$G$19,'07_Revenue_Drivers'!$H$19)*I$49</f>
        <v>136.39742126994338</v>
      </c>
      <c r="J55" s="269">
        <f>IF(YEAR(J$45)=2026,'07_Revenue_Drivers'!$G$19,'07_Revenue_Drivers'!$H$19)*J$49</f>
        <v>138.27741255832629</v>
      </c>
      <c r="K55" s="269">
        <f>IF(YEAR(K$45)=2026,'07_Revenue_Drivers'!$G$19,'07_Revenue_Drivers'!$H$19)*K$49</f>
        <v>142.68104829443476</v>
      </c>
      <c r="L55" s="269">
        <f>IF(YEAR(L$45)=2026,'07_Revenue_Drivers'!$G$19,'07_Revenue_Drivers'!$H$19)*L$49</f>
        <v>147.16260033363201</v>
      </c>
      <c r="M55" s="269">
        <f>IF(YEAR(M$45)=2026,'07_Revenue_Drivers'!$G$19,'07_Revenue_Drivers'!$H$19)*M$49</f>
        <v>155.14120077217029</v>
      </c>
      <c r="N55" s="269">
        <f>IF(YEAR(N$45)=2026,'07_Revenue_Drivers'!$G$19,'07_Revenue_Drivers'!$H$19)*N$49</f>
        <v>144.58200838283426</v>
      </c>
      <c r="O55" s="269">
        <f>IF(YEAR(O$45)=2026,'07_Revenue_Drivers'!$G$19,'07_Revenue_Drivers'!$H$19)*O$49</f>
        <v>149.08728153012694</v>
      </c>
      <c r="P55" s="269">
        <f>IF(YEAR(P$45)=2026,'07_Revenue_Drivers'!$G$19,'07_Revenue_Drivers'!$H$19)*P$49</f>
        <v>172.74084468945097</v>
      </c>
      <c r="Q55" s="269">
        <f>IF(YEAR(Q$45)=2026,'07_Revenue_Drivers'!$G$19,'07_Revenue_Drivers'!$H$19)*Q$49</f>
        <v>142.25716621484199</v>
      </c>
      <c r="R55" s="269">
        <f>IF(YEAR(R$45)=2026,'07_Revenue_Drivers'!$G$19,'07_Revenue_Drivers'!$H$19)*R$49</f>
        <v>143.64678066288013</v>
      </c>
      <c r="S55" s="269">
        <f>IF(YEAR(S$45)=2026,'07_Revenue_Drivers'!$G$19,'07_Revenue_Drivers'!$H$19)*S$49</f>
        <v>163.97149846686386</v>
      </c>
      <c r="T55" s="269">
        <f>IF(YEAR(T$45)=2026,'07_Revenue_Drivers'!$G$19,'07_Revenue_Drivers'!$H$19)*T$49</f>
        <v>163.90570794512993</v>
      </c>
      <c r="U55" s="269">
        <f>IF(YEAR(U$45)=2026,'07_Revenue_Drivers'!$G$19,'07_Revenue_Drivers'!$H$19)*U$49</f>
        <v>160.91830599262983</v>
      </c>
      <c r="V55" s="269">
        <f>IF(YEAR(V$45)=2026,'07_Revenue_Drivers'!$G$19,'07_Revenue_Drivers'!$H$19)*V$49</f>
        <v>163.1362732429692</v>
      </c>
      <c r="W55" s="269">
        <f>IF(YEAR(W$45)=2026,'07_Revenue_Drivers'!$G$19,'07_Revenue_Drivers'!$H$19)*W$49</f>
        <v>168.33157383051292</v>
      </c>
      <c r="X55" s="269">
        <f>IF(YEAR(X$45)=2026,'07_Revenue_Drivers'!$G$19,'07_Revenue_Drivers'!$H$19)*X$49</f>
        <v>173.61879814641978</v>
      </c>
      <c r="Y55" s="269">
        <f>IF(YEAR(Y$45)=2026,'07_Revenue_Drivers'!$G$19,'07_Revenue_Drivers'!$H$19)*Y$49</f>
        <v>183.03175371997619</v>
      </c>
      <c r="Z55" s="269">
        <f>IF(YEAR(Z$45)=2026,'07_Revenue_Drivers'!$G$19,'07_Revenue_Drivers'!$H$19)*Z$49</f>
        <v>170.574279552782</v>
      </c>
      <c r="AA55" s="269">
        <f>IF(YEAR(AA$45)=2026,'07_Revenue_Drivers'!$G$19,'07_Revenue_Drivers'!$H$19)*AA$49</f>
        <v>175.88948944565536</v>
      </c>
      <c r="AB55" s="269"/>
      <c r="AC55" s="269"/>
      <c r="AD55" s="261" t="s">
        <v>1122</v>
      </c>
    </row>
    <row r="56" spans="1:30" ht="38.25" customHeight="1">
      <c r="A56" s="261" t="s">
        <v>17</v>
      </c>
      <c r="B56" s="261" t="s">
        <v>1123</v>
      </c>
      <c r="C56" s="264" t="s">
        <v>14</v>
      </c>
      <c r="D56" s="269">
        <f>IF(YEAR(D$45)=2026,'07_Revenue_Drivers'!$G$20,'07_Revenue_Drivers'!$H$20)*D$49</f>
        <v>410.49452769484668</v>
      </c>
      <c r="E56" s="269">
        <f>IF(YEAR(E$45)=2026,'07_Revenue_Drivers'!$G$20,'07_Revenue_Drivers'!$H$20)*E$49</f>
        <v>338.05431692516788</v>
      </c>
      <c r="F56" s="269">
        <f>IF(YEAR(F$45)=2026,'07_Revenue_Drivers'!$G$20,'07_Revenue_Drivers'!$H$20)*F$49</f>
        <v>341.35654187116057</v>
      </c>
      <c r="G56" s="269">
        <f>IF(YEAR(G$45)=2026,'07_Revenue_Drivers'!$G$20,'07_Revenue_Drivers'!$H$20)*G$49</f>
        <v>389.65539933290631</v>
      </c>
      <c r="H56" s="269">
        <f>IF(YEAR(H$45)=2026,'07_Revenue_Drivers'!$G$20,'07_Revenue_Drivers'!$H$20)*H$49</f>
        <v>389.49905733287426</v>
      </c>
      <c r="I56" s="269">
        <f>IF(YEAR(I$45)=2026,'07_Revenue_Drivers'!$G$20,'07_Revenue_Drivers'!$H$20)*I$49</f>
        <v>382.39991320323412</v>
      </c>
      <c r="J56" s="269">
        <f>IF(YEAR(J$45)=2026,'07_Revenue_Drivers'!$G$20,'07_Revenue_Drivers'!$H$20)*J$49</f>
        <v>387.6706030653076</v>
      </c>
      <c r="K56" s="269">
        <f>IF(YEAR(K$45)=2026,'07_Revenue_Drivers'!$G$20,'07_Revenue_Drivers'!$H$20)*K$49</f>
        <v>400.0165103968975</v>
      </c>
      <c r="L56" s="269">
        <f>IF(YEAR(L$45)=2026,'07_Revenue_Drivers'!$G$20,'07_Revenue_Drivers'!$H$20)*L$49</f>
        <v>412.58086164964692</v>
      </c>
      <c r="M56" s="269">
        <f>IF(YEAR(M$45)=2026,'07_Revenue_Drivers'!$G$20,'07_Revenue_Drivers'!$H$20)*M$49</f>
        <v>434.9494378791203</v>
      </c>
      <c r="N56" s="269">
        <f>IF(YEAR(N$45)=2026,'07_Revenue_Drivers'!$G$20,'07_Revenue_Drivers'!$H$20)*N$49</f>
        <v>405.34598778758897</v>
      </c>
      <c r="O56" s="269">
        <f>IF(YEAR(O$45)=2026,'07_Revenue_Drivers'!$G$20,'07_Revenue_Drivers'!$H$20)*O$49</f>
        <v>417.97684286124871</v>
      </c>
      <c r="P56" s="269">
        <f>IF(YEAR(P$45)=2026,'07_Revenue_Drivers'!$G$20,'07_Revenue_Drivers'!$H$20)*P$49</f>
        <v>443.33408991043444</v>
      </c>
      <c r="Q56" s="269">
        <f>IF(YEAR(Q$45)=2026,'07_Revenue_Drivers'!$G$20,'07_Revenue_Drivers'!$H$20)*Q$49</f>
        <v>365.09866227918133</v>
      </c>
      <c r="R56" s="269">
        <f>IF(YEAR(R$45)=2026,'07_Revenue_Drivers'!$G$20,'07_Revenue_Drivers'!$H$20)*R$49</f>
        <v>368.66506522085342</v>
      </c>
      <c r="S56" s="269">
        <f>IF(YEAR(S$45)=2026,'07_Revenue_Drivers'!$G$20,'07_Revenue_Drivers'!$H$20)*S$49</f>
        <v>420.82783127953883</v>
      </c>
      <c r="T56" s="269">
        <f>IF(YEAR(T$45)=2026,'07_Revenue_Drivers'!$G$20,'07_Revenue_Drivers'!$H$20)*T$49</f>
        <v>420.65898191950424</v>
      </c>
      <c r="U56" s="269">
        <f>IF(YEAR(U$45)=2026,'07_Revenue_Drivers'!$G$20,'07_Revenue_Drivers'!$H$20)*U$49</f>
        <v>412.99190625949285</v>
      </c>
      <c r="V56" s="269">
        <f>IF(YEAR(V$45)=2026,'07_Revenue_Drivers'!$G$20,'07_Revenue_Drivers'!$H$20)*V$49</f>
        <v>418.68425131053226</v>
      </c>
      <c r="W56" s="269">
        <f>IF(YEAR(W$45)=2026,'07_Revenue_Drivers'!$G$20,'07_Revenue_Drivers'!$H$20)*W$49</f>
        <v>432.0178312286493</v>
      </c>
      <c r="X56" s="269">
        <f>IF(YEAR(X$45)=2026,'07_Revenue_Drivers'!$G$20,'07_Revenue_Drivers'!$H$20)*X$49</f>
        <v>445.58733058161869</v>
      </c>
      <c r="Y56" s="269">
        <f>IF(YEAR(Y$45)=2026,'07_Revenue_Drivers'!$G$20,'07_Revenue_Drivers'!$H$20)*Y$49</f>
        <v>469.74539290944995</v>
      </c>
      <c r="Z56" s="269">
        <f>IF(YEAR(Z$45)=2026,'07_Revenue_Drivers'!$G$20,'07_Revenue_Drivers'!$H$20)*Z$49</f>
        <v>437.77366681059607</v>
      </c>
      <c r="AA56" s="269">
        <f>IF(YEAR(AA$45)=2026,'07_Revenue_Drivers'!$G$20,'07_Revenue_Drivers'!$H$20)*AA$49</f>
        <v>451.41499029014864</v>
      </c>
      <c r="AB56" s="269"/>
      <c r="AC56" s="269"/>
      <c r="AD56" s="261" t="s">
        <v>1124</v>
      </c>
    </row>
    <row r="57" spans="1:30">
      <c r="A57" s="404" t="s">
        <v>1052</v>
      </c>
      <c r="B57" s="404" t="s">
        <v>20</v>
      </c>
      <c r="C57" s="407" t="s">
        <v>14</v>
      </c>
      <c r="D57" s="414">
        <f>D50*IF(YEAR(D$45)=2026,'08_P5_Assumptions'!$I$8,'08_P5_Assumptions'!$J$8)</f>
        <v>3305.308909305108</v>
      </c>
      <c r="E57" s="414">
        <f>E50*IF(YEAR(E$45)=2026,'08_P5_Assumptions'!$I$8,'08_P5_Assumptions'!$J$8)</f>
        <v>2722.0191017806774</v>
      </c>
      <c r="F57" s="414">
        <f>F50*IF(YEAR(F$45)=2026,'08_P5_Assumptions'!$I$8,'08_P5_Assumptions'!$J$8)</f>
        <v>2748.6086731345572</v>
      </c>
      <c r="G57" s="414">
        <f>G50*IF(YEAR(G$45)=2026,'08_P5_Assumptions'!$I$8,'08_P5_Assumptions'!$J$8)</f>
        <v>3137.5118937792931</v>
      </c>
      <c r="H57" s="414">
        <f>H50*IF(YEAR(H$45)=2026,'08_P5_Assumptions'!$I$8,'08_P5_Assumptions'!$J$8)</f>
        <v>3136.2530253395448</v>
      </c>
      <c r="I57" s="414">
        <f>I50*IF(YEAR(I$45)=2026,'08_P5_Assumptions'!$I$8,'08_P5_Assumptions'!$J$8)</f>
        <v>3079.0905962277393</v>
      </c>
      <c r="J57" s="414">
        <f>J50*IF(YEAR(J$45)=2026,'08_P5_Assumptions'!$I$8,'08_P5_Assumptions'!$J$8)</f>
        <v>3121.5302805205501</v>
      </c>
      <c r="K57" s="414">
        <f>K50*IF(YEAR(K$45)=2026,'08_P5_Assumptions'!$I$8,'08_P5_Assumptions'!$J$8)</f>
        <v>3220.9397360514517</v>
      </c>
      <c r="L57" s="414">
        <f>L50*IF(YEAR(L$45)=2026,'08_P5_Assumptions'!$I$8,'08_P5_Assumptions'!$J$8)</f>
        <v>3322.10810574583</v>
      </c>
      <c r="M57" s="414">
        <f>M50*IF(YEAR(M$45)=2026,'08_P5_Assumptions'!$I$8,'08_P5_Assumptions'!$J$8)</f>
        <v>3502.2202614789039</v>
      </c>
      <c r="N57" s="414">
        <f>N50*IF(YEAR(N$45)=2026,'08_P5_Assumptions'!$I$8,'08_P5_Assumptions'!$J$8)</f>
        <v>3263.8527785232081</v>
      </c>
      <c r="O57" s="414">
        <f>O50*IF(YEAR(O$45)=2026,'08_P5_Assumptions'!$I$8,'08_P5_Assumptions'!$J$8)</f>
        <v>3365.556638113133</v>
      </c>
      <c r="P57" s="414">
        <f>P50*IF(YEAR(P$45)=2026,'08_P5_Assumptions'!$I$8,'08_P5_Assumptions'!$J$8)</f>
        <v>3819.6099357243274</v>
      </c>
      <c r="Q57" s="414">
        <f>Q50*IF(YEAR(Q$45)=2026,'08_P5_Assumptions'!$I$8,'08_P5_Assumptions'!$J$8)</f>
        <v>3145.5611235376819</v>
      </c>
      <c r="R57" s="414">
        <f>R50*IF(YEAR(R$45)=2026,'08_P5_Assumptions'!$I$8,'08_P5_Assumptions'!$J$8)</f>
        <v>3176.2879916509805</v>
      </c>
      <c r="S57" s="414">
        <f>S50*IF(YEAR(S$45)=2026,'08_P5_Assumptions'!$I$8,'08_P5_Assumptions'!$J$8)</f>
        <v>3625.7039604362158</v>
      </c>
      <c r="T57" s="414">
        <f>T50*IF(YEAR(T$45)=2026,'08_P5_Assumptions'!$I$8,'08_P5_Assumptions'!$J$8)</f>
        <v>3624.24921398674</v>
      </c>
      <c r="U57" s="414">
        <f>U50*IF(YEAR(U$45)=2026,'08_P5_Assumptions'!$I$8,'08_P5_Assumptions'!$J$8)</f>
        <v>3558.1923980652618</v>
      </c>
      <c r="V57" s="414">
        <f>V50*IF(YEAR(V$45)=2026,'08_P5_Assumptions'!$I$8,'08_P5_Assumptions'!$J$8)</f>
        <v>3607.2356325228557</v>
      </c>
      <c r="W57" s="414">
        <f>W50*IF(YEAR(W$45)=2026,'08_P5_Assumptions'!$I$8,'08_P5_Assumptions'!$J$8)</f>
        <v>3722.1130477568231</v>
      </c>
      <c r="X57" s="414">
        <f>X50*IF(YEAR(X$45)=2026,'08_P5_Assumptions'!$I$8,'08_P5_Assumptions'!$J$8)</f>
        <v>3839.0230615161486</v>
      </c>
      <c r="Y57" s="414">
        <f>Y50*IF(YEAR(Y$45)=2026,'08_P5_Assumptions'!$I$8,'08_P5_Assumptions'!$J$8)</f>
        <v>4047.1603940498903</v>
      </c>
      <c r="Z57" s="414">
        <f>Z50*IF(YEAR(Z$45)=2026,'08_P5_Assumptions'!$I$8,'08_P5_Assumptions'!$J$8)</f>
        <v>3771.7032942042397</v>
      </c>
      <c r="AA57" s="414">
        <f>AA50*IF(YEAR(AA$45)=2026,'08_P5_Assumptions'!$I$8,'08_P5_Assumptions'!$J$8)</f>
        <v>3889.2321192703548</v>
      </c>
      <c r="AB57" s="414">
        <f>SUM($D$57:$O$57)-'12_Income_Statement'!$I$8</f>
        <v>0</v>
      </c>
      <c r="AC57" s="414">
        <f>SUM($P$57:$AA$57)-'12_Income_Statement'!$J$8</f>
        <v>0</v>
      </c>
      <c r="AD57" s="404" t="s">
        <v>1125</v>
      </c>
    </row>
    <row r="58" spans="1:30">
      <c r="A58" s="261" t="s">
        <v>1052</v>
      </c>
      <c r="B58" s="261" t="s">
        <v>22</v>
      </c>
      <c r="C58" s="264" t="s">
        <v>23</v>
      </c>
      <c r="D58" s="426">
        <f t="shared" ref="D58:AA58" si="8">D57/D50</f>
        <v>0.20499999999999999</v>
      </c>
      <c r="E58" s="426">
        <f t="shared" si="8"/>
        <v>0.20499999999999999</v>
      </c>
      <c r="F58" s="426">
        <f t="shared" si="8"/>
        <v>0.20499999999999999</v>
      </c>
      <c r="G58" s="426">
        <f t="shared" si="8"/>
        <v>0.20499999999999999</v>
      </c>
      <c r="H58" s="426">
        <f t="shared" si="8"/>
        <v>0.20499999999999999</v>
      </c>
      <c r="I58" s="426">
        <f t="shared" si="8"/>
        <v>0.20499999999999999</v>
      </c>
      <c r="J58" s="426">
        <f t="shared" si="8"/>
        <v>0.20500000000000002</v>
      </c>
      <c r="K58" s="426">
        <f t="shared" si="8"/>
        <v>0.20500000000000002</v>
      </c>
      <c r="L58" s="426">
        <f t="shared" si="8"/>
        <v>0.20499999999999999</v>
      </c>
      <c r="M58" s="426">
        <f t="shared" si="8"/>
        <v>0.20499999999999999</v>
      </c>
      <c r="N58" s="426">
        <f t="shared" si="8"/>
        <v>0.20499999999999999</v>
      </c>
      <c r="O58" s="426">
        <f t="shared" si="8"/>
        <v>0.20499999999999999</v>
      </c>
      <c r="P58" s="426">
        <f t="shared" si="8"/>
        <v>0.20799999999999999</v>
      </c>
      <c r="Q58" s="426">
        <f t="shared" si="8"/>
        <v>0.20799999999999999</v>
      </c>
      <c r="R58" s="426">
        <f t="shared" si="8"/>
        <v>0.20799999999999999</v>
      </c>
      <c r="S58" s="426">
        <f t="shared" si="8"/>
        <v>0.20799999999999999</v>
      </c>
      <c r="T58" s="426">
        <f t="shared" si="8"/>
        <v>0.20799999999999999</v>
      </c>
      <c r="U58" s="426">
        <f t="shared" si="8"/>
        <v>0.20799999999999999</v>
      </c>
      <c r="V58" s="426">
        <f t="shared" si="8"/>
        <v>0.20799999999999999</v>
      </c>
      <c r="W58" s="426">
        <f t="shared" si="8"/>
        <v>0.20799999999999999</v>
      </c>
      <c r="X58" s="426">
        <f t="shared" si="8"/>
        <v>0.20799999999999999</v>
      </c>
      <c r="Y58" s="426">
        <f t="shared" si="8"/>
        <v>0.20799999999999999</v>
      </c>
      <c r="Z58" s="426">
        <f t="shared" si="8"/>
        <v>0.20799999999999999</v>
      </c>
      <c r="AA58" s="426">
        <f t="shared" si="8"/>
        <v>0.20799999999999999</v>
      </c>
      <c r="AB58" s="269"/>
      <c r="AC58" s="269"/>
      <c r="AD58" s="261" t="s">
        <v>1126</v>
      </c>
    </row>
    <row r="59" spans="1:30" ht="25.5" customHeight="1">
      <c r="A59" s="261" t="s">
        <v>364</v>
      </c>
      <c r="B59" s="261" t="s">
        <v>31</v>
      </c>
      <c r="C59" s="264" t="s">
        <v>14</v>
      </c>
      <c r="D59" s="269">
        <f>D50*IF(YEAR(D$45)=2026,'08_P5_Assumptions'!$I$9,'08_P5_Assumptions'!$J$9)</f>
        <v>1967.0618874888935</v>
      </c>
      <c r="E59" s="269">
        <f>E50*IF(YEAR(E$45)=2026,'08_P5_Assumptions'!$I$9,'08_P5_Assumptions'!$J$9)</f>
        <v>1619.9333191085009</v>
      </c>
      <c r="F59" s="269">
        <f>F50*IF(YEAR(F$45)=2026,'08_P5_Assumptions'!$I$9,'08_P5_Assumptions'!$J$9)</f>
        <v>1635.7573566947121</v>
      </c>
      <c r="G59" s="269">
        <f>G50*IF(YEAR(G$45)=2026,'08_P5_Assumptions'!$I$9,'08_P5_Assumptions'!$J$9)</f>
        <v>1867.20220020036</v>
      </c>
      <c r="H59" s="269">
        <f>H50*IF(YEAR(H$45)=2026,'08_P5_Assumptions'!$I$9,'08_P5_Assumptions'!$J$9)</f>
        <v>1866.4530199581682</v>
      </c>
      <c r="I59" s="269">
        <f>I50*IF(YEAR(I$45)=2026,'08_P5_Assumptions'!$I$9,'08_P5_Assumptions'!$J$9)</f>
        <v>1832.4344036087034</v>
      </c>
      <c r="J59" s="269">
        <f>J50*IF(YEAR(J$45)=2026,'08_P5_Assumptions'!$I$9,'08_P5_Assumptions'!$J$9)</f>
        <v>1857.691191334181</v>
      </c>
      <c r="K59" s="269">
        <f>K50*IF(YEAR(K$45)=2026,'08_P5_Assumptions'!$I$9,'08_P5_Assumptions'!$J$9)</f>
        <v>1916.8519404794006</v>
      </c>
      <c r="L59" s="269">
        <f>L50*IF(YEAR(L$45)=2026,'08_P5_Assumptions'!$I$9,'08_P5_Assumptions'!$J$9)</f>
        <v>1977.0594580536158</v>
      </c>
      <c r="M59" s="269">
        <f>M50*IF(YEAR(M$45)=2026,'08_P5_Assumptions'!$I$9,'08_P5_Assumptions'!$J$9)</f>
        <v>2084.2481556118355</v>
      </c>
      <c r="N59" s="269">
        <f>N50*IF(YEAR(N$45)=2026,'08_P5_Assumptions'!$I$9,'08_P5_Assumptions'!$J$9)</f>
        <v>1942.390434047958</v>
      </c>
      <c r="O59" s="269">
        <f>O50*IF(YEAR(O$45)=2026,'08_P5_Assumptions'!$I$9,'08_P5_Assumptions'!$J$9)</f>
        <v>2002.9166334136694</v>
      </c>
      <c r="P59" s="269">
        <f>P50*IF(YEAR(P$45)=2026,'08_P5_Assumptions'!$I$9,'08_P5_Assumptions'!$J$9)</f>
        <v>2203.6211167640349</v>
      </c>
      <c r="Q59" s="269">
        <f>Q50*IF(YEAR(Q$45)=2026,'08_P5_Assumptions'!$I$9,'08_P5_Assumptions'!$J$9)</f>
        <v>1814.7468020409704</v>
      </c>
      <c r="R59" s="269">
        <f>R50*IF(YEAR(R$45)=2026,'08_P5_Assumptions'!$I$9,'08_P5_Assumptions'!$J$9)</f>
        <v>1832.4738413371042</v>
      </c>
      <c r="S59" s="269">
        <f>S50*IF(YEAR(S$45)=2026,'08_P5_Assumptions'!$I$9,'08_P5_Assumptions'!$J$9)</f>
        <v>2091.7522848670478</v>
      </c>
      <c r="T59" s="269">
        <f>T50*IF(YEAR(T$45)=2026,'08_P5_Assumptions'!$I$9,'08_P5_Assumptions'!$J$9)</f>
        <v>2090.913008069273</v>
      </c>
      <c r="U59" s="269">
        <f>U50*IF(YEAR(U$45)=2026,'08_P5_Assumptions'!$I$9,'08_P5_Assumptions'!$J$9)</f>
        <v>2052.8033065761124</v>
      </c>
      <c r="V59" s="269">
        <f>V50*IF(YEAR(V$45)=2026,'08_P5_Assumptions'!$I$9,'08_P5_Assumptions'!$J$9)</f>
        <v>2081.0974803016475</v>
      </c>
      <c r="W59" s="269">
        <f>W50*IF(YEAR(W$45)=2026,'08_P5_Assumptions'!$I$9,'08_P5_Assumptions'!$J$9)</f>
        <v>2147.3729121673978</v>
      </c>
      <c r="X59" s="269">
        <f>X50*IF(YEAR(X$45)=2026,'08_P5_Assumptions'!$I$9,'08_P5_Assumptions'!$J$9)</f>
        <v>2214.820997028547</v>
      </c>
      <c r="Y59" s="269">
        <f>Y50*IF(YEAR(Y$45)=2026,'08_P5_Assumptions'!$I$9,'08_P5_Assumptions'!$J$9)</f>
        <v>2334.9002273364754</v>
      </c>
      <c r="Z59" s="269">
        <f>Z50*IF(YEAR(Z$45)=2026,'08_P5_Assumptions'!$I$9,'08_P5_Assumptions'!$J$9)</f>
        <v>2175.9826697332151</v>
      </c>
      <c r="AA59" s="269">
        <f>AA50*IF(YEAR(AA$45)=2026,'08_P5_Assumptions'!$I$9,'08_P5_Assumptions'!$J$9)</f>
        <v>2243.7877611175122</v>
      </c>
      <c r="AB59" s="269">
        <f>SUM($D$59:$O$59)-'12_Income_Statement'!$I$11</f>
        <v>0</v>
      </c>
      <c r="AC59" s="269">
        <f>SUM($P$59:$AA$59)-'12_Income_Statement'!$J$11</f>
        <v>0</v>
      </c>
      <c r="AD59" s="261" t="s">
        <v>452</v>
      </c>
    </row>
    <row r="60" spans="1:30">
      <c r="A60" s="261" t="s">
        <v>364</v>
      </c>
      <c r="B60" s="261" t="s">
        <v>33</v>
      </c>
      <c r="C60" s="264" t="s">
        <v>14</v>
      </c>
      <c r="D60" s="269">
        <f>D50*IF(YEAR(D$45)=2026,'08_P5_Assumptions'!$I$10,'08_P5_Assumptions'!$J$10)</f>
        <v>451.45682663679526</v>
      </c>
      <c r="E60" s="269">
        <f>E50*IF(YEAR(E$45)=2026,'08_P5_Assumptions'!$I$10,'08_P5_Assumptions'!$J$10)</f>
        <v>371.78797487736085</v>
      </c>
      <c r="F60" s="269">
        <f>F50*IF(YEAR(F$45)=2026,'08_P5_Assumptions'!$I$10,'08_P5_Assumptions'!$J$10)</f>
        <v>375.41972120862249</v>
      </c>
      <c r="G60" s="269">
        <f>G50*IF(YEAR(G$45)=2026,'08_P5_Assumptions'!$I$10,'08_P5_Assumptions'!$J$10)</f>
        <v>428.53820988204984</v>
      </c>
      <c r="H60" s="269">
        <f>H50*IF(YEAR(H$45)=2026,'08_P5_Assumptions'!$I$10,'08_P5_Assumptions'!$J$10)</f>
        <v>428.36626687564518</v>
      </c>
      <c r="I60" s="269">
        <f>I50*IF(YEAR(I$45)=2026,'08_P5_Assumptions'!$I$10,'08_P5_Assumptions'!$J$10)</f>
        <v>420.55871558232542</v>
      </c>
      <c r="J60" s="269">
        <f>J50*IF(YEAR(J$45)=2026,'08_P5_Assumptions'!$I$10,'08_P5_Assumptions'!$J$10)</f>
        <v>426.35535538817271</v>
      </c>
      <c r="K60" s="269">
        <f>K50*IF(YEAR(K$45)=2026,'08_P5_Assumptions'!$I$10,'08_P5_Assumptions'!$J$10)</f>
        <v>439.93323224117393</v>
      </c>
      <c r="L60" s="269">
        <f>L50*IF(YEAR(L$45)=2026,'08_P5_Assumptions'!$I$10,'08_P5_Assumptions'!$J$10)</f>
        <v>453.75135102869876</v>
      </c>
      <c r="M60" s="269">
        <f>M50*IF(YEAR(M$45)=2026,'08_P5_Assumptions'!$I$10,'08_P5_Assumptions'!$J$10)</f>
        <v>478.3520357141918</v>
      </c>
      <c r="N60" s="269">
        <f>N50*IF(YEAR(N$45)=2026,'08_P5_Assumptions'!$I$10,'08_P5_Assumptions'!$J$10)</f>
        <v>445.79452584707235</v>
      </c>
      <c r="O60" s="269">
        <f>O50*IF(YEAR(O$45)=2026,'08_P5_Assumptions'!$I$10,'08_P5_Assumptions'!$J$10)</f>
        <v>459.68578471789135</v>
      </c>
      <c r="P60" s="269">
        <f>P50*IF(YEAR(P$45)=2026,'08_P5_Assumptions'!$I$10,'08_P5_Assumptions'!$J$10)</f>
        <v>495.81475127190788</v>
      </c>
      <c r="Q60" s="269">
        <f>Q50*IF(YEAR(Q$45)=2026,'08_P5_Assumptions'!$I$10,'08_P5_Assumptions'!$J$10)</f>
        <v>408.31803045921833</v>
      </c>
      <c r="R60" s="269">
        <f>R50*IF(YEAR(R$45)=2026,'08_P5_Assumptions'!$I$10,'08_P5_Assumptions'!$J$10)</f>
        <v>412.30661430084848</v>
      </c>
      <c r="S60" s="269">
        <f>S50*IF(YEAR(S$45)=2026,'08_P5_Assumptions'!$I$10,'08_P5_Assumptions'!$J$10)</f>
        <v>470.6442640950857</v>
      </c>
      <c r="T60" s="269">
        <f>T50*IF(YEAR(T$45)=2026,'08_P5_Assumptions'!$I$10,'08_P5_Assumptions'!$J$10)</f>
        <v>470.45542681558646</v>
      </c>
      <c r="U60" s="269">
        <f>U50*IF(YEAR(U$45)=2026,'08_P5_Assumptions'!$I$10,'08_P5_Assumptions'!$J$10)</f>
        <v>461.88074397962532</v>
      </c>
      <c r="V60" s="269">
        <f>V50*IF(YEAR(V$45)=2026,'08_P5_Assumptions'!$I$10,'08_P5_Assumptions'!$J$10)</f>
        <v>468.24693306787071</v>
      </c>
      <c r="W60" s="269">
        <f>W50*IF(YEAR(W$45)=2026,'08_P5_Assumptions'!$I$10,'08_P5_Assumptions'!$J$10)</f>
        <v>483.15890523766456</v>
      </c>
      <c r="X60" s="269">
        <f>X50*IF(YEAR(X$45)=2026,'08_P5_Assumptions'!$I$10,'08_P5_Assumptions'!$J$10)</f>
        <v>498.33472433142316</v>
      </c>
      <c r="Y60" s="269">
        <f>Y50*IF(YEAR(Y$45)=2026,'08_P5_Assumptions'!$I$10,'08_P5_Assumptions'!$J$10)</f>
        <v>525.35255115070697</v>
      </c>
      <c r="Z60" s="269">
        <f>Z50*IF(YEAR(Z$45)=2026,'08_P5_Assumptions'!$I$10,'08_P5_Assumptions'!$J$10)</f>
        <v>489.59610068997341</v>
      </c>
      <c r="AA60" s="269">
        <f>AA50*IF(YEAR(AA$45)=2026,'08_P5_Assumptions'!$I$10,'08_P5_Assumptions'!$J$10)</f>
        <v>504.85224625144031</v>
      </c>
      <c r="AB60" s="269">
        <f>SUM($D$60:$O$60)-'12_Income_Statement'!$I$13</f>
        <v>0</v>
      </c>
      <c r="AC60" s="269">
        <f>SUM($P$60:$AA$60)-'12_Income_Statement'!$J$13</f>
        <v>0</v>
      </c>
      <c r="AD60" s="261" t="s">
        <v>1127</v>
      </c>
    </row>
    <row r="61" spans="1:30">
      <c r="A61" s="261" t="s">
        <v>1052</v>
      </c>
      <c r="B61" s="261" t="s">
        <v>132</v>
      </c>
      <c r="C61" s="264" t="s">
        <v>14</v>
      </c>
      <c r="D61" s="269">
        <f>IF(YEAR(D$45)=2026,'12_Income_Statement'!$I$28,'12_Income_Statement'!$J$28)*D$49</f>
        <v>1072.2099632623888</v>
      </c>
      <c r="E61" s="269">
        <f>IF(YEAR(E$45)=2026,'12_Income_Statement'!$I$28,'12_Income_Statement'!$J$28)*E$49</f>
        <v>882.99644033373204</v>
      </c>
      <c r="F61" s="269">
        <f>IF(YEAR(F$45)=2026,'12_Income_Statement'!$I$28,'12_Income_Statement'!$J$28)*F$49</f>
        <v>891.62183787047843</v>
      </c>
      <c r="G61" s="269">
        <f>IF(YEAR(G$45)=2026,'12_Income_Statement'!$I$28,'12_Income_Statement'!$J$28)*G$49</f>
        <v>1017.7782484698683</v>
      </c>
      <c r="H61" s="269">
        <f>IF(YEAR(H$45)=2026,'12_Income_Statement'!$I$28,'12_Income_Statement'!$J$28)*H$49</f>
        <v>1017.3698838296573</v>
      </c>
      <c r="I61" s="269">
        <f>IF(YEAR(I$45)=2026,'12_Income_Statement'!$I$28,'12_Income_Statement'!$J$28)*I$49</f>
        <v>998.82694950802284</v>
      </c>
      <c r="J61" s="269">
        <f>IF(YEAR(J$45)=2026,'12_Income_Statement'!$I$28,'12_Income_Statement'!$J$28)*J$49</f>
        <v>1012.5939690469102</v>
      </c>
      <c r="K61" s="269">
        <f>IF(YEAR(K$45)=2026,'12_Income_Statement'!$I$28,'12_Income_Statement'!$J$28)*K$49</f>
        <v>1044.8414265727879</v>
      </c>
      <c r="L61" s="269">
        <f>IF(YEAR(L$45)=2026,'12_Income_Statement'!$I$28,'12_Income_Statement'!$J$28)*L$49</f>
        <v>1077.6594586931594</v>
      </c>
      <c r="M61" s="269">
        <f>IF(YEAR(M$45)=2026,'12_Income_Statement'!$I$28,'12_Income_Statement'!$J$28)*M$49</f>
        <v>1136.0860848212055</v>
      </c>
      <c r="N61" s="269">
        <f>IF(YEAR(N$45)=2026,'12_Income_Statement'!$I$28,'12_Income_Statement'!$J$28)*N$49</f>
        <v>1058.7619988867968</v>
      </c>
      <c r="O61" s="269">
        <f>IF(YEAR(O$45)=2026,'12_Income_Statement'!$I$28,'12_Income_Statement'!$J$28)*O$49</f>
        <v>1091.753738704992</v>
      </c>
      <c r="P61" s="269">
        <f>IF(YEAR(P$45)=2026,'12_Income_Statement'!$I$28,'12_Income_Statement'!$J$28)*P$49</f>
        <v>1322.1726700584211</v>
      </c>
      <c r="Q61" s="269">
        <f>IF(YEAR(Q$45)=2026,'12_Income_Statement'!$I$28,'12_Income_Statement'!$J$28)*Q$49</f>
        <v>1088.8480812245821</v>
      </c>
      <c r="R61" s="269">
        <f>IF(YEAR(R$45)=2026,'12_Income_Statement'!$I$28,'12_Income_Statement'!$J$28)*R$49</f>
        <v>1099.4843048022626</v>
      </c>
      <c r="S61" s="269">
        <f>IF(YEAR(S$45)=2026,'12_Income_Statement'!$I$28,'12_Income_Statement'!$J$28)*S$49</f>
        <v>1255.0513709202285</v>
      </c>
      <c r="T61" s="269">
        <f>IF(YEAR(T$45)=2026,'12_Income_Statement'!$I$28,'12_Income_Statement'!$J$28)*T$49</f>
        <v>1254.5478048415639</v>
      </c>
      <c r="U61" s="269">
        <f>IF(YEAR(U$45)=2026,'12_Income_Statement'!$I$28,'12_Income_Statement'!$J$28)*U$49</f>
        <v>1231.6819839456675</v>
      </c>
      <c r="V61" s="269">
        <f>IF(YEAR(V$45)=2026,'12_Income_Statement'!$I$28,'12_Income_Statement'!$J$28)*V$49</f>
        <v>1248.6584881809883</v>
      </c>
      <c r="W61" s="269">
        <f>IF(YEAR(W$45)=2026,'12_Income_Statement'!$I$28,'12_Income_Statement'!$J$28)*W$49</f>
        <v>1288.4237473004387</v>
      </c>
      <c r="X61" s="269">
        <f>IF(YEAR(X$45)=2026,'12_Income_Statement'!$I$28,'12_Income_Statement'!$J$28)*X$49</f>
        <v>1328.8925982171281</v>
      </c>
      <c r="Y61" s="269">
        <f>IF(YEAR(Y$45)=2026,'12_Income_Statement'!$I$28,'12_Income_Statement'!$J$28)*Y$49</f>
        <v>1400.940136401885</v>
      </c>
      <c r="Z61" s="269">
        <f>IF(YEAR(Z$45)=2026,'12_Income_Statement'!$I$28,'12_Income_Statement'!$J$28)*Z$49</f>
        <v>1305.5896018399289</v>
      </c>
      <c r="AA61" s="269">
        <f>IF(YEAR(AA$45)=2026,'12_Income_Statement'!$I$28,'12_Income_Statement'!$J$28)*AA$49</f>
        <v>1346.2726566705071</v>
      </c>
      <c r="AB61" s="269">
        <f>SUM($D$61:$O$61)-'12_Income_Statement'!$I$28</f>
        <v>0</v>
      </c>
      <c r="AC61" s="269">
        <f>SUM($P$61:$AA$61)-'12_Income_Statement'!$J$28</f>
        <v>0</v>
      </c>
      <c r="AD61" s="261" t="s">
        <v>1128</v>
      </c>
    </row>
    <row r="62" spans="1:30">
      <c r="A62" s="404" t="s">
        <v>1052</v>
      </c>
      <c r="B62" s="404" t="s">
        <v>36</v>
      </c>
      <c r="C62" s="407" t="s">
        <v>14</v>
      </c>
      <c r="D62" s="414">
        <f t="shared" ref="D62:AA62" si="9">D57-D59-D60</f>
        <v>886.79019517941924</v>
      </c>
      <c r="E62" s="414">
        <f t="shared" si="9"/>
        <v>730.29780779481564</v>
      </c>
      <c r="F62" s="414">
        <f t="shared" si="9"/>
        <v>737.43159523122256</v>
      </c>
      <c r="G62" s="414">
        <f t="shared" si="9"/>
        <v>841.77148369688325</v>
      </c>
      <c r="H62" s="414">
        <f t="shared" si="9"/>
        <v>841.43373850573153</v>
      </c>
      <c r="I62" s="414">
        <f t="shared" si="9"/>
        <v>826.09747703671042</v>
      </c>
      <c r="J62" s="414">
        <f t="shared" si="9"/>
        <v>837.48373379819645</v>
      </c>
      <c r="K62" s="414">
        <f t="shared" si="9"/>
        <v>864.15456333087718</v>
      </c>
      <c r="L62" s="414">
        <f t="shared" si="9"/>
        <v>891.29729666351545</v>
      </c>
      <c r="M62" s="414">
        <f t="shared" si="9"/>
        <v>939.62007015287668</v>
      </c>
      <c r="N62" s="414">
        <f t="shared" si="9"/>
        <v>875.66781862817777</v>
      </c>
      <c r="O62" s="414">
        <f t="shared" si="9"/>
        <v>902.95421998157224</v>
      </c>
      <c r="P62" s="414">
        <f t="shared" si="9"/>
        <v>1120.1740676883846</v>
      </c>
      <c r="Q62" s="414">
        <f t="shared" si="9"/>
        <v>922.49629103749317</v>
      </c>
      <c r="R62" s="414">
        <f t="shared" si="9"/>
        <v>931.5075360130279</v>
      </c>
      <c r="S62" s="414">
        <f t="shared" si="9"/>
        <v>1063.3074114740823</v>
      </c>
      <c r="T62" s="414">
        <f t="shared" si="9"/>
        <v>1062.8807791018805</v>
      </c>
      <c r="U62" s="414">
        <f t="shared" si="9"/>
        <v>1043.5083475095241</v>
      </c>
      <c r="V62" s="414">
        <f t="shared" si="9"/>
        <v>1057.8912191533375</v>
      </c>
      <c r="W62" s="414">
        <f t="shared" si="9"/>
        <v>1091.5812303517607</v>
      </c>
      <c r="X62" s="414">
        <f t="shared" si="9"/>
        <v>1125.8673401561784</v>
      </c>
      <c r="Y62" s="414">
        <f t="shared" si="9"/>
        <v>1186.9076155627081</v>
      </c>
      <c r="Z62" s="414">
        <f t="shared" si="9"/>
        <v>1106.1245237810513</v>
      </c>
      <c r="AA62" s="414">
        <f t="shared" si="9"/>
        <v>1140.5921119014024</v>
      </c>
      <c r="AB62" s="414">
        <f>SUM($D$62:$O$62)-'12_Income_Statement'!$I$15</f>
        <v>0</v>
      </c>
      <c r="AC62" s="414">
        <f>SUM($P$62:$AA$62)-'12_Income_Statement'!$J$15</f>
        <v>0</v>
      </c>
      <c r="AD62" s="404" t="s">
        <v>1129</v>
      </c>
    </row>
    <row r="63" spans="1:30">
      <c r="A63" s="404" t="s">
        <v>1052</v>
      </c>
      <c r="B63" s="404" t="s">
        <v>48</v>
      </c>
      <c r="C63" s="407" t="s">
        <v>14</v>
      </c>
      <c r="D63" s="414">
        <f>IF(YEAR(D$45)=2026,'12_Income_Statement'!$I$23,'12_Income_Statement'!$J$23)*D$49</f>
        <v>810.73247802534195</v>
      </c>
      <c r="E63" s="414">
        <f>IF(YEAR(E$45)=2026,'12_Income_Statement'!$I$23,'12_Income_Statement'!$J$23)*E$49</f>
        <v>667.66204072675225</v>
      </c>
      <c r="F63" s="414">
        <f>IF(YEAR(F$45)=2026,'12_Income_Statement'!$I$23,'12_Income_Statement'!$J$23)*F$49</f>
        <v>674.18398153920555</v>
      </c>
      <c r="G63" s="414">
        <f>IF(YEAR(G$45)=2026,'12_Income_Statement'!$I$23,'12_Income_Statement'!$J$23)*G$49</f>
        <v>769.57490578768363</v>
      </c>
      <c r="H63" s="414">
        <f>IF(YEAR(H$45)=2026,'12_Income_Statement'!$I$23,'12_Income_Statement'!$J$23)*H$49</f>
        <v>769.26612813401505</v>
      </c>
      <c r="I63" s="414">
        <f>IF(YEAR(I$45)=2026,'12_Income_Statement'!$I$23,'12_Income_Statement'!$J$23)*I$49</f>
        <v>755.24521841713624</v>
      </c>
      <c r="J63" s="414">
        <f>IF(YEAR(J$45)=2026,'12_Income_Statement'!$I$23,'12_Income_Statement'!$J$23)*J$49</f>
        <v>765.65490518391937</v>
      </c>
      <c r="K63" s="414">
        <f>IF(YEAR(K$45)=2026,'12_Income_Statement'!$I$23,'12_Income_Statement'!$J$23)*K$49</f>
        <v>790.03824617659564</v>
      </c>
      <c r="L63" s="414">
        <f>IF(YEAR(L$45)=2026,'12_Income_Statement'!$I$23,'12_Income_Statement'!$J$23)*L$49</f>
        <v>814.85301699248009</v>
      </c>
      <c r="M63" s="414">
        <f>IF(YEAR(M$45)=2026,'12_Income_Statement'!$I$23,'12_Income_Statement'!$J$23)*M$49</f>
        <v>859.0312703257398</v>
      </c>
      <c r="N63" s="414">
        <f>IF(YEAR(N$45)=2026,'12_Income_Statement'!$I$23,'12_Income_Statement'!$J$23)*N$49</f>
        <v>800.56403914099621</v>
      </c>
      <c r="O63" s="414">
        <f>IF(YEAR(O$45)=2026,'12_Income_Statement'!$I$23,'12_Income_Statement'!$J$23)*O$49</f>
        <v>825.51015594053501</v>
      </c>
      <c r="P63" s="414">
        <f>IF(YEAR(P$45)=2026,'12_Income_Statement'!$I$23,'12_Income_Statement'!$J$23)*P$49</f>
        <v>998.71928804100196</v>
      </c>
      <c r="Q63" s="414">
        <f>IF(YEAR(Q$45)=2026,'12_Income_Statement'!$I$23,'12_Income_Statement'!$J$23)*Q$49</f>
        <v>822.47470779847231</v>
      </c>
      <c r="R63" s="414">
        <f>IF(YEAR(R$45)=2026,'12_Income_Statement'!$I$23,'12_Income_Statement'!$J$23)*R$49</f>
        <v>830.50890929083607</v>
      </c>
      <c r="S63" s="414">
        <f>IF(YEAR(S$45)=2026,'12_Income_Statement'!$I$23,'12_Income_Statement'!$J$23)*S$49</f>
        <v>948.01839427292794</v>
      </c>
      <c r="T63" s="414">
        <f>IF(YEAR(T$45)=2026,'12_Income_Statement'!$I$23,'12_Income_Statement'!$J$23)*T$49</f>
        <v>947.63801948001731</v>
      </c>
      <c r="U63" s="414">
        <f>IF(YEAR(U$45)=2026,'12_Income_Statement'!$I$23,'12_Income_Statement'!$J$23)*U$49</f>
        <v>930.36604216361013</v>
      </c>
      <c r="V63" s="414">
        <f>IF(YEAR(V$45)=2026,'12_Income_Statement'!$I$23,'12_Income_Statement'!$J$23)*V$49</f>
        <v>943.18945215178928</v>
      </c>
      <c r="W63" s="414">
        <f>IF(YEAR(W$45)=2026,'12_Income_Statement'!$I$23,'12_Income_Statement'!$J$23)*W$49</f>
        <v>973.22662670236343</v>
      </c>
      <c r="X63" s="414">
        <f>IF(YEAR(X$45)=2026,'12_Income_Statement'!$I$23,'12_Income_Statement'!$J$23)*X$49</f>
        <v>1003.7952679174081</v>
      </c>
      <c r="Y63" s="414">
        <f>IF(YEAR(Y$45)=2026,'12_Income_Statement'!$I$23,'12_Income_Statement'!$J$23)*Y$49</f>
        <v>1058.2172565656895</v>
      </c>
      <c r="Z63" s="414">
        <f>IF(YEAR(Z$45)=2026,'12_Income_Statement'!$I$23,'12_Income_Statement'!$J$23)*Z$49</f>
        <v>986.1930647573397</v>
      </c>
      <c r="AA63" s="414">
        <f>IF(YEAR(AA$45)=2026,'12_Income_Statement'!$I$23,'12_Income_Statement'!$J$23)*AA$49</f>
        <v>1016.9235075170836</v>
      </c>
      <c r="AB63" s="414">
        <f>SUM($D$63:$O$63)-'12_Income_Statement'!$I$23</f>
        <v>0</v>
      </c>
      <c r="AC63" s="414">
        <f>SUM($P$63:$AA$63)-'12_Income_Statement'!$J$23</f>
        <v>0</v>
      </c>
      <c r="AD63" s="404" t="s">
        <v>1130</v>
      </c>
    </row>
    <row r="64" spans="1:30" ht="25.5" customHeight="1">
      <c r="A64" s="261" t="s">
        <v>1131</v>
      </c>
      <c r="B64" s="261" t="s">
        <v>1132</v>
      </c>
      <c r="C64" s="264" t="s">
        <v>261</v>
      </c>
      <c r="D64" s="267">
        <f>IF(YEAR(D$45)=2026,'07_Revenue_Drivers'!$D$38+('07_Revenue_Drivers'!$G$38-'07_Revenue_Drivers'!$D$38)*MONTH(D$45)/12,'07_Revenue_Drivers'!$G$38+('07_Revenue_Drivers'!$H$38-'07_Revenue_Drivers'!$G$38)*MONTH(D$45)/12)</f>
        <v>6327.25</v>
      </c>
      <c r="E64" s="267">
        <f>IF(YEAR(E$45)=2026,'07_Revenue_Drivers'!$D$38+('07_Revenue_Drivers'!$G$38-'07_Revenue_Drivers'!$D$38)*MONTH(E$45)/12,'07_Revenue_Drivers'!$G$38+('07_Revenue_Drivers'!$H$38-'07_Revenue_Drivers'!$G$38)*MONTH(E$45)/12)</f>
        <v>6429.5</v>
      </c>
      <c r="F64" s="267">
        <f>IF(YEAR(F$45)=2026,'07_Revenue_Drivers'!$D$38+('07_Revenue_Drivers'!$G$38-'07_Revenue_Drivers'!$D$38)*MONTH(F$45)/12,'07_Revenue_Drivers'!$G$38+('07_Revenue_Drivers'!$H$38-'07_Revenue_Drivers'!$G$38)*MONTH(F$45)/12)</f>
        <v>6531.75</v>
      </c>
      <c r="G64" s="267">
        <f>IF(YEAR(G$45)=2026,'07_Revenue_Drivers'!$D$38+('07_Revenue_Drivers'!$G$38-'07_Revenue_Drivers'!$D$38)*MONTH(G$45)/12,'07_Revenue_Drivers'!$G$38+('07_Revenue_Drivers'!$H$38-'07_Revenue_Drivers'!$G$38)*MONTH(G$45)/12)</f>
        <v>6634</v>
      </c>
      <c r="H64" s="267">
        <f>IF(YEAR(H$45)=2026,'07_Revenue_Drivers'!$D$38+('07_Revenue_Drivers'!$G$38-'07_Revenue_Drivers'!$D$38)*MONTH(H$45)/12,'07_Revenue_Drivers'!$G$38+('07_Revenue_Drivers'!$H$38-'07_Revenue_Drivers'!$G$38)*MONTH(H$45)/12)</f>
        <v>6736.25</v>
      </c>
      <c r="I64" s="267">
        <f>IF(YEAR(I$45)=2026,'07_Revenue_Drivers'!$D$38+('07_Revenue_Drivers'!$G$38-'07_Revenue_Drivers'!$D$38)*MONTH(I$45)/12,'07_Revenue_Drivers'!$G$38+('07_Revenue_Drivers'!$H$38-'07_Revenue_Drivers'!$G$38)*MONTH(I$45)/12)</f>
        <v>6838.5</v>
      </c>
      <c r="J64" s="267">
        <f>IF(YEAR(J$45)=2026,'07_Revenue_Drivers'!$D$38+('07_Revenue_Drivers'!$G$38-'07_Revenue_Drivers'!$D$38)*MONTH(J$45)/12,'07_Revenue_Drivers'!$G$38+('07_Revenue_Drivers'!$H$38-'07_Revenue_Drivers'!$G$38)*MONTH(J$45)/12)</f>
        <v>6940.75</v>
      </c>
      <c r="K64" s="267">
        <f>IF(YEAR(K$45)=2026,'07_Revenue_Drivers'!$D$38+('07_Revenue_Drivers'!$G$38-'07_Revenue_Drivers'!$D$38)*MONTH(K$45)/12,'07_Revenue_Drivers'!$G$38+('07_Revenue_Drivers'!$H$38-'07_Revenue_Drivers'!$G$38)*MONTH(K$45)/12)</f>
        <v>7043</v>
      </c>
      <c r="L64" s="267">
        <f>IF(YEAR(L$45)=2026,'07_Revenue_Drivers'!$D$38+('07_Revenue_Drivers'!$G$38-'07_Revenue_Drivers'!$D$38)*MONTH(L$45)/12,'07_Revenue_Drivers'!$G$38+('07_Revenue_Drivers'!$H$38-'07_Revenue_Drivers'!$G$38)*MONTH(L$45)/12)</f>
        <v>7145.25</v>
      </c>
      <c r="M64" s="267">
        <f>IF(YEAR(M$45)=2026,'07_Revenue_Drivers'!$D$38+('07_Revenue_Drivers'!$G$38-'07_Revenue_Drivers'!$D$38)*MONTH(M$45)/12,'07_Revenue_Drivers'!$G$38+('07_Revenue_Drivers'!$H$38-'07_Revenue_Drivers'!$G$38)*MONTH(M$45)/12)</f>
        <v>7247.5</v>
      </c>
      <c r="N64" s="267">
        <f>IF(YEAR(N$45)=2026,'07_Revenue_Drivers'!$D$38+('07_Revenue_Drivers'!$G$38-'07_Revenue_Drivers'!$D$38)*MONTH(N$45)/12,'07_Revenue_Drivers'!$G$38+('07_Revenue_Drivers'!$H$38-'07_Revenue_Drivers'!$G$38)*MONTH(N$45)/12)</f>
        <v>7349.75</v>
      </c>
      <c r="O64" s="267">
        <f>IF(YEAR(O$45)=2026,'07_Revenue_Drivers'!$D$38+('07_Revenue_Drivers'!$G$38-'07_Revenue_Drivers'!$D$38)*MONTH(O$45)/12,'07_Revenue_Drivers'!$G$38+('07_Revenue_Drivers'!$H$38-'07_Revenue_Drivers'!$G$38)*MONTH(O$45)/12)</f>
        <v>7452</v>
      </c>
      <c r="P64" s="267">
        <f>IF(YEAR(P$45)=2026,'07_Revenue_Drivers'!$D$38+('07_Revenue_Drivers'!$G$38-'07_Revenue_Drivers'!$D$38)*MONTH(P$45)/12,'07_Revenue_Drivers'!$G$38+('07_Revenue_Drivers'!$H$38-'07_Revenue_Drivers'!$G$38)*MONTH(P$45)/12)</f>
        <v>7517.833333333333</v>
      </c>
      <c r="Q64" s="267">
        <f>IF(YEAR(Q$45)=2026,'07_Revenue_Drivers'!$D$38+('07_Revenue_Drivers'!$G$38-'07_Revenue_Drivers'!$D$38)*MONTH(Q$45)/12,'07_Revenue_Drivers'!$G$38+('07_Revenue_Drivers'!$H$38-'07_Revenue_Drivers'!$G$38)*MONTH(Q$45)/12)</f>
        <v>7583.666666666667</v>
      </c>
      <c r="R64" s="267">
        <f>IF(YEAR(R$45)=2026,'07_Revenue_Drivers'!$D$38+('07_Revenue_Drivers'!$G$38-'07_Revenue_Drivers'!$D$38)*MONTH(R$45)/12,'07_Revenue_Drivers'!$G$38+('07_Revenue_Drivers'!$H$38-'07_Revenue_Drivers'!$G$38)*MONTH(R$45)/12)</f>
        <v>7649.5</v>
      </c>
      <c r="S64" s="267">
        <f>IF(YEAR(S$45)=2026,'07_Revenue_Drivers'!$D$38+('07_Revenue_Drivers'!$G$38-'07_Revenue_Drivers'!$D$38)*MONTH(S$45)/12,'07_Revenue_Drivers'!$G$38+('07_Revenue_Drivers'!$H$38-'07_Revenue_Drivers'!$G$38)*MONTH(S$45)/12)</f>
        <v>7715.333333333333</v>
      </c>
      <c r="T64" s="267">
        <f>IF(YEAR(T$45)=2026,'07_Revenue_Drivers'!$D$38+('07_Revenue_Drivers'!$G$38-'07_Revenue_Drivers'!$D$38)*MONTH(T$45)/12,'07_Revenue_Drivers'!$G$38+('07_Revenue_Drivers'!$H$38-'07_Revenue_Drivers'!$G$38)*MONTH(T$45)/12)</f>
        <v>7781.166666666667</v>
      </c>
      <c r="U64" s="267">
        <f>IF(YEAR(U$45)=2026,'07_Revenue_Drivers'!$D$38+('07_Revenue_Drivers'!$G$38-'07_Revenue_Drivers'!$D$38)*MONTH(U$45)/12,'07_Revenue_Drivers'!$G$38+('07_Revenue_Drivers'!$H$38-'07_Revenue_Drivers'!$G$38)*MONTH(U$45)/12)</f>
        <v>7847</v>
      </c>
      <c r="V64" s="267">
        <f>IF(YEAR(V$45)=2026,'07_Revenue_Drivers'!$D$38+('07_Revenue_Drivers'!$G$38-'07_Revenue_Drivers'!$D$38)*MONTH(V$45)/12,'07_Revenue_Drivers'!$G$38+('07_Revenue_Drivers'!$H$38-'07_Revenue_Drivers'!$G$38)*MONTH(V$45)/12)</f>
        <v>7912.833333333333</v>
      </c>
      <c r="W64" s="267">
        <f>IF(YEAR(W$45)=2026,'07_Revenue_Drivers'!$D$38+('07_Revenue_Drivers'!$G$38-'07_Revenue_Drivers'!$D$38)*MONTH(W$45)/12,'07_Revenue_Drivers'!$G$38+('07_Revenue_Drivers'!$H$38-'07_Revenue_Drivers'!$G$38)*MONTH(W$45)/12)</f>
        <v>7978.666666666667</v>
      </c>
      <c r="X64" s="267">
        <f>IF(YEAR(X$45)=2026,'07_Revenue_Drivers'!$D$38+('07_Revenue_Drivers'!$G$38-'07_Revenue_Drivers'!$D$38)*MONTH(X$45)/12,'07_Revenue_Drivers'!$G$38+('07_Revenue_Drivers'!$H$38-'07_Revenue_Drivers'!$G$38)*MONTH(X$45)/12)</f>
        <v>8044.5</v>
      </c>
      <c r="Y64" s="267">
        <f>IF(YEAR(Y$45)=2026,'07_Revenue_Drivers'!$D$38+('07_Revenue_Drivers'!$G$38-'07_Revenue_Drivers'!$D$38)*MONTH(Y$45)/12,'07_Revenue_Drivers'!$G$38+('07_Revenue_Drivers'!$H$38-'07_Revenue_Drivers'!$G$38)*MONTH(Y$45)/12)</f>
        <v>8110.333333333333</v>
      </c>
      <c r="Z64" s="267">
        <f>IF(YEAR(Z$45)=2026,'07_Revenue_Drivers'!$D$38+('07_Revenue_Drivers'!$G$38-'07_Revenue_Drivers'!$D$38)*MONTH(Z$45)/12,'07_Revenue_Drivers'!$G$38+('07_Revenue_Drivers'!$H$38-'07_Revenue_Drivers'!$G$38)*MONTH(Z$45)/12)</f>
        <v>8176.166666666667</v>
      </c>
      <c r="AA64" s="267">
        <f>IF(YEAR(AA$45)=2026,'07_Revenue_Drivers'!$D$38+('07_Revenue_Drivers'!$G$38-'07_Revenue_Drivers'!$D$38)*MONTH(AA$45)/12,'07_Revenue_Drivers'!$G$38+('07_Revenue_Drivers'!$H$38-'07_Revenue_Drivers'!$G$38)*MONTH(AA$45)/12)</f>
        <v>8242</v>
      </c>
      <c r="AB64" s="269"/>
      <c r="AC64" s="269"/>
      <c r="AD64" s="261" t="s">
        <v>1133</v>
      </c>
    </row>
    <row r="65" spans="1:30" ht="25.5" customHeight="1">
      <c r="A65" s="261" t="s">
        <v>1131</v>
      </c>
      <c r="B65" s="261" t="s">
        <v>1134</v>
      </c>
      <c r="C65" s="264" t="s">
        <v>261</v>
      </c>
      <c r="D65" s="267">
        <f>IF(YEAR(D$45)=2026,'07_Revenue_Drivers'!$D$34+('07_Revenue_Drivers'!$G$34-'07_Revenue_Drivers'!$D$34)*MONTH(D$45)/12,'07_Revenue_Drivers'!$G$34+('07_Revenue_Drivers'!$H$34-'07_Revenue_Drivers'!$G$34)*MONTH(D$45)/12)</f>
        <v>2642.3333333333335</v>
      </c>
      <c r="E65" s="267">
        <f>IF(YEAR(E$45)=2026,'07_Revenue_Drivers'!$D$34+('07_Revenue_Drivers'!$G$34-'07_Revenue_Drivers'!$D$34)*MONTH(E$45)/12,'07_Revenue_Drivers'!$G$34+('07_Revenue_Drivers'!$H$34-'07_Revenue_Drivers'!$G$34)*MONTH(E$45)/12)</f>
        <v>2725.6666666666665</v>
      </c>
      <c r="F65" s="267">
        <f>IF(YEAR(F$45)=2026,'07_Revenue_Drivers'!$D$34+('07_Revenue_Drivers'!$G$34-'07_Revenue_Drivers'!$D$34)*MONTH(F$45)/12,'07_Revenue_Drivers'!$G$34+('07_Revenue_Drivers'!$H$34-'07_Revenue_Drivers'!$G$34)*MONTH(F$45)/12)</f>
        <v>2809</v>
      </c>
      <c r="G65" s="267">
        <f>IF(YEAR(G$45)=2026,'07_Revenue_Drivers'!$D$34+('07_Revenue_Drivers'!$G$34-'07_Revenue_Drivers'!$D$34)*MONTH(G$45)/12,'07_Revenue_Drivers'!$G$34+('07_Revenue_Drivers'!$H$34-'07_Revenue_Drivers'!$G$34)*MONTH(G$45)/12)</f>
        <v>2892.3333333333335</v>
      </c>
      <c r="H65" s="267">
        <f>IF(YEAR(H$45)=2026,'07_Revenue_Drivers'!$D$34+('07_Revenue_Drivers'!$G$34-'07_Revenue_Drivers'!$D$34)*MONTH(H$45)/12,'07_Revenue_Drivers'!$G$34+('07_Revenue_Drivers'!$H$34-'07_Revenue_Drivers'!$G$34)*MONTH(H$45)/12)</f>
        <v>2975.6666666666665</v>
      </c>
      <c r="I65" s="267">
        <f>IF(YEAR(I$45)=2026,'07_Revenue_Drivers'!$D$34+('07_Revenue_Drivers'!$G$34-'07_Revenue_Drivers'!$D$34)*MONTH(I$45)/12,'07_Revenue_Drivers'!$G$34+('07_Revenue_Drivers'!$H$34-'07_Revenue_Drivers'!$G$34)*MONTH(I$45)/12)</f>
        <v>3059</v>
      </c>
      <c r="J65" s="267">
        <f>IF(YEAR(J$45)=2026,'07_Revenue_Drivers'!$D$34+('07_Revenue_Drivers'!$G$34-'07_Revenue_Drivers'!$D$34)*MONTH(J$45)/12,'07_Revenue_Drivers'!$G$34+('07_Revenue_Drivers'!$H$34-'07_Revenue_Drivers'!$G$34)*MONTH(J$45)/12)</f>
        <v>3142.3333333333335</v>
      </c>
      <c r="K65" s="267">
        <f>IF(YEAR(K$45)=2026,'07_Revenue_Drivers'!$D$34+('07_Revenue_Drivers'!$G$34-'07_Revenue_Drivers'!$D$34)*MONTH(K$45)/12,'07_Revenue_Drivers'!$G$34+('07_Revenue_Drivers'!$H$34-'07_Revenue_Drivers'!$G$34)*MONTH(K$45)/12)</f>
        <v>3225.6666666666665</v>
      </c>
      <c r="L65" s="267">
        <f>IF(YEAR(L$45)=2026,'07_Revenue_Drivers'!$D$34+('07_Revenue_Drivers'!$G$34-'07_Revenue_Drivers'!$D$34)*MONTH(L$45)/12,'07_Revenue_Drivers'!$G$34+('07_Revenue_Drivers'!$H$34-'07_Revenue_Drivers'!$G$34)*MONTH(L$45)/12)</f>
        <v>3309</v>
      </c>
      <c r="M65" s="267">
        <f>IF(YEAR(M$45)=2026,'07_Revenue_Drivers'!$D$34+('07_Revenue_Drivers'!$G$34-'07_Revenue_Drivers'!$D$34)*MONTH(M$45)/12,'07_Revenue_Drivers'!$G$34+('07_Revenue_Drivers'!$H$34-'07_Revenue_Drivers'!$G$34)*MONTH(M$45)/12)</f>
        <v>3392.3333333333335</v>
      </c>
      <c r="N65" s="267">
        <f>IF(YEAR(N$45)=2026,'07_Revenue_Drivers'!$D$34+('07_Revenue_Drivers'!$G$34-'07_Revenue_Drivers'!$D$34)*MONTH(N$45)/12,'07_Revenue_Drivers'!$G$34+('07_Revenue_Drivers'!$H$34-'07_Revenue_Drivers'!$G$34)*MONTH(N$45)/12)</f>
        <v>3475.6666666666665</v>
      </c>
      <c r="O65" s="267">
        <f>IF(YEAR(O$45)=2026,'07_Revenue_Drivers'!$D$34+('07_Revenue_Drivers'!$G$34-'07_Revenue_Drivers'!$D$34)*MONTH(O$45)/12,'07_Revenue_Drivers'!$G$34+('07_Revenue_Drivers'!$H$34-'07_Revenue_Drivers'!$G$34)*MONTH(O$45)/12)</f>
        <v>3559</v>
      </c>
      <c r="P65" s="267">
        <f>IF(YEAR(P$45)=2026,'07_Revenue_Drivers'!$D$34+('07_Revenue_Drivers'!$G$34-'07_Revenue_Drivers'!$D$34)*MONTH(P$45)/12,'07_Revenue_Drivers'!$G$34+('07_Revenue_Drivers'!$H$34-'07_Revenue_Drivers'!$G$34)*MONTH(P$45)/12)</f>
        <v>3609</v>
      </c>
      <c r="Q65" s="267">
        <f>IF(YEAR(Q$45)=2026,'07_Revenue_Drivers'!$D$34+('07_Revenue_Drivers'!$G$34-'07_Revenue_Drivers'!$D$34)*MONTH(Q$45)/12,'07_Revenue_Drivers'!$G$34+('07_Revenue_Drivers'!$H$34-'07_Revenue_Drivers'!$G$34)*MONTH(Q$45)/12)</f>
        <v>3659</v>
      </c>
      <c r="R65" s="267">
        <f>IF(YEAR(R$45)=2026,'07_Revenue_Drivers'!$D$34+('07_Revenue_Drivers'!$G$34-'07_Revenue_Drivers'!$D$34)*MONTH(R$45)/12,'07_Revenue_Drivers'!$G$34+('07_Revenue_Drivers'!$H$34-'07_Revenue_Drivers'!$G$34)*MONTH(R$45)/12)</f>
        <v>3709</v>
      </c>
      <c r="S65" s="267">
        <f>IF(YEAR(S$45)=2026,'07_Revenue_Drivers'!$D$34+('07_Revenue_Drivers'!$G$34-'07_Revenue_Drivers'!$D$34)*MONTH(S$45)/12,'07_Revenue_Drivers'!$G$34+('07_Revenue_Drivers'!$H$34-'07_Revenue_Drivers'!$G$34)*MONTH(S$45)/12)</f>
        <v>3759</v>
      </c>
      <c r="T65" s="267">
        <f>IF(YEAR(T$45)=2026,'07_Revenue_Drivers'!$D$34+('07_Revenue_Drivers'!$G$34-'07_Revenue_Drivers'!$D$34)*MONTH(T$45)/12,'07_Revenue_Drivers'!$G$34+('07_Revenue_Drivers'!$H$34-'07_Revenue_Drivers'!$G$34)*MONTH(T$45)/12)</f>
        <v>3809</v>
      </c>
      <c r="U65" s="267">
        <f>IF(YEAR(U$45)=2026,'07_Revenue_Drivers'!$D$34+('07_Revenue_Drivers'!$G$34-'07_Revenue_Drivers'!$D$34)*MONTH(U$45)/12,'07_Revenue_Drivers'!$G$34+('07_Revenue_Drivers'!$H$34-'07_Revenue_Drivers'!$G$34)*MONTH(U$45)/12)</f>
        <v>3859</v>
      </c>
      <c r="V65" s="267">
        <f>IF(YEAR(V$45)=2026,'07_Revenue_Drivers'!$D$34+('07_Revenue_Drivers'!$G$34-'07_Revenue_Drivers'!$D$34)*MONTH(V$45)/12,'07_Revenue_Drivers'!$G$34+('07_Revenue_Drivers'!$H$34-'07_Revenue_Drivers'!$G$34)*MONTH(V$45)/12)</f>
        <v>3909</v>
      </c>
      <c r="W65" s="267">
        <f>IF(YEAR(W$45)=2026,'07_Revenue_Drivers'!$D$34+('07_Revenue_Drivers'!$G$34-'07_Revenue_Drivers'!$D$34)*MONTH(W$45)/12,'07_Revenue_Drivers'!$G$34+('07_Revenue_Drivers'!$H$34-'07_Revenue_Drivers'!$G$34)*MONTH(W$45)/12)</f>
        <v>3959</v>
      </c>
      <c r="X65" s="267">
        <f>IF(YEAR(X$45)=2026,'07_Revenue_Drivers'!$D$34+('07_Revenue_Drivers'!$G$34-'07_Revenue_Drivers'!$D$34)*MONTH(X$45)/12,'07_Revenue_Drivers'!$G$34+('07_Revenue_Drivers'!$H$34-'07_Revenue_Drivers'!$G$34)*MONTH(X$45)/12)</f>
        <v>4009</v>
      </c>
      <c r="Y65" s="267">
        <f>IF(YEAR(Y$45)=2026,'07_Revenue_Drivers'!$D$34+('07_Revenue_Drivers'!$G$34-'07_Revenue_Drivers'!$D$34)*MONTH(Y$45)/12,'07_Revenue_Drivers'!$G$34+('07_Revenue_Drivers'!$H$34-'07_Revenue_Drivers'!$G$34)*MONTH(Y$45)/12)</f>
        <v>4059</v>
      </c>
      <c r="Z65" s="267">
        <f>IF(YEAR(Z$45)=2026,'07_Revenue_Drivers'!$D$34+('07_Revenue_Drivers'!$G$34-'07_Revenue_Drivers'!$D$34)*MONTH(Z$45)/12,'07_Revenue_Drivers'!$G$34+('07_Revenue_Drivers'!$H$34-'07_Revenue_Drivers'!$G$34)*MONTH(Z$45)/12)</f>
        <v>4109</v>
      </c>
      <c r="AA65" s="267">
        <f>IF(YEAR(AA$45)=2026,'07_Revenue_Drivers'!$D$34+('07_Revenue_Drivers'!$G$34-'07_Revenue_Drivers'!$D$34)*MONTH(AA$45)/12,'07_Revenue_Drivers'!$G$34+('07_Revenue_Drivers'!$H$34-'07_Revenue_Drivers'!$G$34)*MONTH(AA$45)/12)</f>
        <v>4159</v>
      </c>
      <c r="AB65" s="269"/>
      <c r="AC65" s="269"/>
      <c r="AD65" s="261" t="s">
        <v>1135</v>
      </c>
    </row>
    <row r="66" spans="1:30" ht="25.5" customHeight="1">
      <c r="A66" s="261" t="s">
        <v>1131</v>
      </c>
      <c r="B66" s="261" t="s">
        <v>317</v>
      </c>
      <c r="C66" s="264" t="s">
        <v>261</v>
      </c>
      <c r="D66" s="267">
        <f>AVERAGE('07_Revenue_Drivers'!$D$34,D65)</f>
        <v>2600.666666666667</v>
      </c>
      <c r="E66" s="267">
        <f t="shared" ref="E66:AA66" si="10">AVERAGE(D65,E65)</f>
        <v>2684</v>
      </c>
      <c r="F66" s="267">
        <f t="shared" si="10"/>
        <v>2767.333333333333</v>
      </c>
      <c r="G66" s="267">
        <f t="shared" si="10"/>
        <v>2850.666666666667</v>
      </c>
      <c r="H66" s="267">
        <f t="shared" si="10"/>
        <v>2934</v>
      </c>
      <c r="I66" s="267">
        <f t="shared" si="10"/>
        <v>3017.333333333333</v>
      </c>
      <c r="J66" s="267">
        <f t="shared" si="10"/>
        <v>3100.666666666667</v>
      </c>
      <c r="K66" s="267">
        <f t="shared" si="10"/>
        <v>3184</v>
      </c>
      <c r="L66" s="267">
        <f t="shared" si="10"/>
        <v>3267.333333333333</v>
      </c>
      <c r="M66" s="267">
        <f t="shared" si="10"/>
        <v>3350.666666666667</v>
      </c>
      <c r="N66" s="267">
        <f t="shared" si="10"/>
        <v>3434</v>
      </c>
      <c r="O66" s="267">
        <f t="shared" si="10"/>
        <v>3517.333333333333</v>
      </c>
      <c r="P66" s="267">
        <f t="shared" si="10"/>
        <v>3584</v>
      </c>
      <c r="Q66" s="267">
        <f t="shared" si="10"/>
        <v>3634</v>
      </c>
      <c r="R66" s="267">
        <f t="shared" si="10"/>
        <v>3684</v>
      </c>
      <c r="S66" s="267">
        <f t="shared" si="10"/>
        <v>3734</v>
      </c>
      <c r="T66" s="267">
        <f t="shared" si="10"/>
        <v>3784</v>
      </c>
      <c r="U66" s="267">
        <f t="shared" si="10"/>
        <v>3834</v>
      </c>
      <c r="V66" s="267">
        <f t="shared" si="10"/>
        <v>3884</v>
      </c>
      <c r="W66" s="267">
        <f t="shared" si="10"/>
        <v>3934</v>
      </c>
      <c r="X66" s="267">
        <f t="shared" si="10"/>
        <v>3984</v>
      </c>
      <c r="Y66" s="267">
        <f t="shared" si="10"/>
        <v>4034</v>
      </c>
      <c r="Z66" s="267">
        <f t="shared" si="10"/>
        <v>4084</v>
      </c>
      <c r="AA66" s="267">
        <f t="shared" si="10"/>
        <v>4134</v>
      </c>
      <c r="AB66" s="269"/>
      <c r="AC66" s="269"/>
      <c r="AD66" s="261" t="s">
        <v>1136</v>
      </c>
    </row>
    <row r="67" spans="1:30" ht="38.25" customHeight="1">
      <c r="A67" s="261" t="s">
        <v>1131</v>
      </c>
      <c r="B67" s="261" t="s">
        <v>1137</v>
      </c>
      <c r="C67" s="264" t="s">
        <v>270</v>
      </c>
      <c r="D67" s="427">
        <f t="shared" ref="D67:AA67" si="11">D53/D66</f>
        <v>1.8599221077613601</v>
      </c>
      <c r="E67" s="427">
        <f t="shared" si="11"/>
        <v>1.484144034266663</v>
      </c>
      <c r="F67" s="427">
        <f t="shared" si="11"/>
        <v>1.4535127038569031</v>
      </c>
      <c r="G67" s="427">
        <f t="shared" si="11"/>
        <v>1.6106691371017841</v>
      </c>
      <c r="H67" s="427">
        <f t="shared" si="11"/>
        <v>1.5642939923884207</v>
      </c>
      <c r="I67" s="427">
        <f t="shared" si="11"/>
        <v>1.4933670697245003</v>
      </c>
      <c r="J67" s="427">
        <f t="shared" si="11"/>
        <v>1.4732615867914558</v>
      </c>
      <c r="K67" s="427">
        <f t="shared" si="11"/>
        <v>1.4803926964325216</v>
      </c>
      <c r="L67" s="427">
        <f t="shared" si="11"/>
        <v>1.4879478529375525</v>
      </c>
      <c r="M67" s="427">
        <f t="shared" si="11"/>
        <v>1.5296061627493198</v>
      </c>
      <c r="N67" s="427">
        <f t="shared" si="11"/>
        <v>1.3909056260308854</v>
      </c>
      <c r="O67" s="427">
        <f t="shared" si="11"/>
        <v>1.4002667275198415</v>
      </c>
      <c r="P67" s="427">
        <f t="shared" si="11"/>
        <v>1.7877057934471732</v>
      </c>
      <c r="Q67" s="427">
        <f t="shared" si="11"/>
        <v>1.4519719947555014</v>
      </c>
      <c r="R67" s="427">
        <f t="shared" si="11"/>
        <v>1.4462563718477643</v>
      </c>
      <c r="S67" s="427">
        <f t="shared" si="11"/>
        <v>1.6287823762790841</v>
      </c>
      <c r="T67" s="427">
        <f t="shared" si="11"/>
        <v>1.6066155269976352</v>
      </c>
      <c r="U67" s="427">
        <f t="shared" si="11"/>
        <v>1.5567624697768934</v>
      </c>
      <c r="V67" s="427">
        <f t="shared" si="11"/>
        <v>1.5579026830371794</v>
      </c>
      <c r="W67" s="427">
        <f t="shared" si="11"/>
        <v>1.5870851861542736</v>
      </c>
      <c r="X67" s="427">
        <f t="shared" si="11"/>
        <v>1.6163910066321323</v>
      </c>
      <c r="Y67" s="427">
        <f t="shared" si="11"/>
        <v>1.6829048292591584</v>
      </c>
      <c r="Z67" s="427">
        <f t="shared" si="11"/>
        <v>1.5491619514623549</v>
      </c>
      <c r="AA67" s="427">
        <f t="shared" si="11"/>
        <v>1.5781141925534126</v>
      </c>
      <c r="AB67" s="269"/>
      <c r="AC67" s="269"/>
      <c r="AD67" s="261" t="s">
        <v>1138</v>
      </c>
    </row>
    <row r="68" spans="1:30" ht="25.5" customHeight="1">
      <c r="A68" s="261" t="s">
        <v>379</v>
      </c>
      <c r="B68" s="261" t="s">
        <v>63</v>
      </c>
      <c r="C68" s="264" t="s">
        <v>14</v>
      </c>
      <c r="D68" s="269">
        <f>IF(YEAR(D$45)=2026,'13_Balance_Sheet'!$H$10+('13_Balance_Sheet'!$I$10-'13_Balance_Sheet'!$H$10)*SUM($D$49:D$49),'13_Balance_Sheet'!$I$10+('13_Balance_Sheet'!$J$10-'13_Balance_Sheet'!$I$10)*SUM($D$49:D$49))</f>
        <v>27454.071296579936</v>
      </c>
      <c r="E68" s="269">
        <f>IF(YEAR(E$45)=2026,'13_Balance_Sheet'!$H$10+('13_Balance_Sheet'!$I$10-'13_Balance_Sheet'!$H$10)*SUM($D$49:E$49),'13_Balance_Sheet'!$I$10+('13_Balance_Sheet'!$J$10-'13_Balance_Sheet'!$I$10)*SUM($D$49:E$49))</f>
        <v>27608.251915175173</v>
      </c>
      <c r="F68" s="269">
        <f>IF(YEAR(F$45)=2026,'13_Balance_Sheet'!$H$10+('13_Balance_Sheet'!$I$10-'13_Balance_Sheet'!$H$10)*SUM($D$49:F$49),'13_Balance_Sheet'!$I$10+('13_Balance_Sheet'!$J$10-'13_Balance_Sheet'!$I$10)*SUM($D$49:F$49))</f>
        <v>27763.938620394434</v>
      </c>
      <c r="G68" s="269">
        <f>IF(YEAR(G$45)=2026,'13_Balance_Sheet'!$H$10+('13_Balance_Sheet'!$I$10-'13_Balance_Sheet'!$H$10)*SUM($D$49:G$49),'13_Balance_Sheet'!$I$10+('13_Balance_Sheet'!$J$10-'13_Balance_Sheet'!$I$10)*SUM($D$49:G$49))</f>
        <v>27941.653583642252</v>
      </c>
      <c r="H68" s="269">
        <f>IF(YEAR(H$45)=2026,'13_Balance_Sheet'!$H$10+('13_Balance_Sheet'!$I$10-'13_Balance_Sheet'!$H$10)*SUM($D$49:H$49),'13_Balance_Sheet'!$I$10+('13_Balance_Sheet'!$J$10-'13_Balance_Sheet'!$I$10)*SUM($D$49:H$49))</f>
        <v>28119.297242058066</v>
      </c>
      <c r="I68" s="269">
        <f>IF(YEAR(I$45)=2026,'13_Balance_Sheet'!$H$10+('13_Balance_Sheet'!$I$10-'13_Balance_Sheet'!$H$10)*SUM($D$49:I$49),'13_Balance_Sheet'!$I$10+('13_Balance_Sheet'!$J$10-'13_Balance_Sheet'!$I$10)*SUM($D$49:I$49))</f>
        <v>28293.70310589885</v>
      </c>
      <c r="J68" s="269">
        <f>IF(YEAR(J$45)=2026,'13_Balance_Sheet'!$H$10+('13_Balance_Sheet'!$I$10-'13_Balance_Sheet'!$H$10)*SUM($D$49:J$49),'13_Balance_Sheet'!$I$10+('13_Balance_Sheet'!$J$10-'13_Balance_Sheet'!$I$10)*SUM($D$49:J$49))</f>
        <v>28470.512838534301</v>
      </c>
      <c r="K68" s="269">
        <f>IF(YEAR(K$45)=2026,'13_Balance_Sheet'!$H$10+('13_Balance_Sheet'!$I$10-'13_Balance_Sheet'!$H$10)*SUM($D$49:K$49),'13_Balance_Sheet'!$I$10+('13_Balance_Sheet'!$J$10-'13_Balance_Sheet'!$I$10)*SUM($D$49:K$49))</f>
        <v>28652.953322011264</v>
      </c>
      <c r="L68" s="269">
        <f>IF(YEAR(L$45)=2026,'13_Balance_Sheet'!$H$10+('13_Balance_Sheet'!$I$10-'13_Balance_Sheet'!$H$10)*SUM($D$49:L$49),'13_Balance_Sheet'!$I$10+('13_Balance_Sheet'!$J$10-'13_Balance_Sheet'!$I$10)*SUM($D$49:L$49))</f>
        <v>28841.124184753953</v>
      </c>
      <c r="M68" s="269">
        <f>IF(YEAR(M$45)=2026,'13_Balance_Sheet'!$H$10+('13_Balance_Sheet'!$I$10-'13_Balance_Sheet'!$H$10)*SUM($D$49:M$49),'13_Balance_Sheet'!$I$10+('13_Balance_Sheet'!$J$10-'13_Balance_Sheet'!$I$10)*SUM($D$49:M$49))</f>
        <v>29039.496961057532</v>
      </c>
      <c r="N68" s="269">
        <f>IF(YEAR(N$45)=2026,'13_Balance_Sheet'!$H$10+('13_Balance_Sheet'!$I$10-'13_Balance_Sheet'!$H$10)*SUM($D$49:N$49),'13_Balance_Sheet'!$I$10+('13_Balance_Sheet'!$J$10-'13_Balance_Sheet'!$I$10)*SUM($D$49:N$49))</f>
        <v>29224.368125285328</v>
      </c>
      <c r="O68" s="269">
        <f>IF(YEAR(O$45)=2026,'13_Balance_Sheet'!$H$10+('13_Balance_Sheet'!$I$10-'13_Balance_Sheet'!$H$10)*SUM($D$49:O$49),'13_Balance_Sheet'!$I$10+('13_Balance_Sheet'!$J$10-'13_Balance_Sheet'!$I$10)*SUM($D$49:O$49))</f>
        <v>29415</v>
      </c>
      <c r="P68" s="269">
        <f>IF(YEAR(P$45)=2026,'13_Balance_Sheet'!$H$10+('13_Balance_Sheet'!$I$10-'13_Balance_Sheet'!$H$10)*SUM($P$49:P$49),'13_Balance_Sheet'!$I$10+('13_Balance_Sheet'!$J$10-'13_Balance_Sheet'!$I$10)*SUM($P$49:P$49))</f>
        <v>29720.303737509701</v>
      </c>
      <c r="Q68" s="269">
        <f>IF(YEAR(Q$45)=2026,'13_Balance_Sheet'!$H$10+('13_Balance_Sheet'!$I$10-'13_Balance_Sheet'!$H$10)*SUM($P$49:Q$49),'13_Balance_Sheet'!$I$10+('13_Balance_Sheet'!$J$10-'13_Balance_Sheet'!$I$10)*SUM($P$49:Q$49))</f>
        <v>29971.73034487063</v>
      </c>
      <c r="R68" s="269">
        <f>IF(YEAR(R$45)=2026,'13_Balance_Sheet'!$H$10+('13_Balance_Sheet'!$I$10-'13_Balance_Sheet'!$H$10)*SUM($P$49:R$49),'13_Balance_Sheet'!$I$10+('13_Balance_Sheet'!$J$10-'13_Balance_Sheet'!$I$10)*SUM($P$49:R$49))</f>
        <v>30225.612969425674</v>
      </c>
      <c r="S68" s="269">
        <f>IF(YEAR(S$45)=2026,'13_Balance_Sheet'!$H$10+('13_Balance_Sheet'!$I$10-'13_Balance_Sheet'!$H$10)*SUM($P$49:S$49),'13_Balance_Sheet'!$I$10+('13_Balance_Sheet'!$J$10-'13_Balance_Sheet'!$I$10)*SUM($P$49:S$49))</f>
        <v>30515.417684789885</v>
      </c>
      <c r="T68" s="269">
        <f>IF(YEAR(T$45)=2026,'13_Balance_Sheet'!$H$10+('13_Balance_Sheet'!$I$10-'13_Balance_Sheet'!$H$10)*SUM($P$49:T$49),'13_Balance_Sheet'!$I$10+('13_Balance_Sheet'!$J$10-'13_Balance_Sheet'!$I$10)*SUM($P$49:T$49))</f>
        <v>30805.106121388559</v>
      </c>
      <c r="U68" s="269">
        <f>IF(YEAR(U$45)=2026,'13_Balance_Sheet'!$H$10+('13_Balance_Sheet'!$I$10-'13_Balance_Sheet'!$H$10)*SUM($P$49:U$49),'13_Balance_Sheet'!$I$10+('13_Balance_Sheet'!$J$10-'13_Balance_Sheet'!$I$10)*SUM($P$49:U$49))</f>
        <v>31089.514596648722</v>
      </c>
      <c r="V68" s="269">
        <f>IF(YEAR(V$45)=2026,'13_Balance_Sheet'!$H$10+('13_Balance_Sheet'!$I$10-'13_Balance_Sheet'!$H$10)*SUM($P$49:V$49),'13_Balance_Sheet'!$I$10+('13_Balance_Sheet'!$J$10-'13_Balance_Sheet'!$I$10)*SUM($P$49:V$49))</f>
        <v>31377.8431273678</v>
      </c>
      <c r="W68" s="269">
        <f>IF(YEAR(W$45)=2026,'13_Balance_Sheet'!$H$10+('13_Balance_Sheet'!$I$10-'13_Balance_Sheet'!$H$10)*SUM($P$49:W$49),'13_Balance_Sheet'!$I$10+('13_Balance_Sheet'!$J$10-'13_Balance_Sheet'!$I$10)*SUM($P$49:W$49))</f>
        <v>31675.353879522205</v>
      </c>
      <c r="X68" s="269">
        <f>IF(YEAR(X$45)=2026,'13_Balance_Sheet'!$H$10+('13_Balance_Sheet'!$I$10-'13_Balance_Sheet'!$H$10)*SUM($P$49:X$49),'13_Balance_Sheet'!$I$10+('13_Balance_Sheet'!$J$10-'13_Balance_Sheet'!$I$10)*SUM($P$49:X$49))</f>
        <v>31982.20931994417</v>
      </c>
      <c r="Y68" s="269">
        <f>IF(YEAR(Y$45)=2026,'13_Balance_Sheet'!$H$10+('13_Balance_Sheet'!$I$10-'13_Balance_Sheet'!$H$10)*SUM($P$49:Y$49),'13_Balance_Sheet'!$I$10+('13_Balance_Sheet'!$J$10-'13_Balance_Sheet'!$I$10)*SUM($P$49:Y$49))</f>
        <v>32305.701303522947</v>
      </c>
      <c r="Z68" s="269">
        <f>IF(YEAR(Z$45)=2026,'13_Balance_Sheet'!$H$10+('13_Balance_Sheet'!$I$10-'13_Balance_Sheet'!$H$10)*SUM($P$49:Z$49),'13_Balance_Sheet'!$I$10+('13_Balance_Sheet'!$J$10-'13_Balance_Sheet'!$I$10)*SUM($P$49:Z$49))</f>
        <v>32607.175834136196</v>
      </c>
      <c r="AA68" s="269">
        <f>IF(YEAR(AA$45)=2026,'13_Balance_Sheet'!$H$10+('13_Balance_Sheet'!$I$10-'13_Balance_Sheet'!$H$10)*SUM($P$49:AA$49),'13_Balance_Sheet'!$I$10+('13_Balance_Sheet'!$J$10-'13_Balance_Sheet'!$I$10)*SUM($P$49:AA$49))</f>
        <v>32918.044514979869</v>
      </c>
      <c r="AB68" s="269"/>
      <c r="AC68" s="269"/>
      <c r="AD68" s="261" t="s">
        <v>2884</v>
      </c>
    </row>
    <row r="69" spans="1:30" ht="25.5" customHeight="1">
      <c r="A69" s="261" t="s">
        <v>379</v>
      </c>
      <c r="B69" s="261" t="s">
        <v>77</v>
      </c>
      <c r="C69" s="264" t="s">
        <v>14</v>
      </c>
      <c r="D69" s="269">
        <f>IF(YEAR(D$45)=2026,'13_Balance_Sheet'!$H$17+('13_Balance_Sheet'!$I$17-'13_Balance_Sheet'!$H$17)*SUM($D$49:D$49),'13_Balance_Sheet'!$I$17+('13_Balance_Sheet'!$J$17-'13_Balance_Sheet'!$I$17)*SUM($D$49:D$49))</f>
        <v>13129.874280840986</v>
      </c>
      <c r="E69" s="269">
        <f>IF(YEAR(E$45)=2026,'13_Balance_Sheet'!$H$17+('13_Balance_Sheet'!$I$17-'13_Balance_Sheet'!$H$17)*SUM($D$49:E$49),'13_Balance_Sheet'!$I$17+('13_Balance_Sheet'!$J$17-'13_Balance_Sheet'!$I$17)*SUM($D$49:E$49))</f>
        <v>13143.029841062975</v>
      </c>
      <c r="F69" s="269">
        <f>IF(YEAR(F$45)=2026,'13_Balance_Sheet'!$H$17+('13_Balance_Sheet'!$I$17-'13_Balance_Sheet'!$H$17)*SUM($D$49:F$49),'13_Balance_Sheet'!$I$17+('13_Balance_Sheet'!$J$17-'13_Balance_Sheet'!$I$17)*SUM($D$49:F$49))</f>
        <v>13156.31390909264</v>
      </c>
      <c r="G69" s="269">
        <f>IF(YEAR(G$45)=2026,'13_Balance_Sheet'!$H$17+('13_Balance_Sheet'!$I$17-'13_Balance_Sheet'!$H$17)*SUM($D$49:G$49),'13_Balance_Sheet'!$I$17+('13_Balance_Sheet'!$J$17-'13_Balance_Sheet'!$I$17)*SUM($D$49:G$49))</f>
        <v>13171.477552374503</v>
      </c>
      <c r="H69" s="269">
        <f>IF(YEAR(H$45)=2026,'13_Balance_Sheet'!$H$17+('13_Balance_Sheet'!$I$17-'13_Balance_Sheet'!$H$17)*SUM($D$49:H$49),'13_Balance_Sheet'!$I$17+('13_Balance_Sheet'!$J$17-'13_Balance_Sheet'!$I$17)*SUM($D$49:H$49))</f>
        <v>13186.635111525819</v>
      </c>
      <c r="I69" s="269">
        <f>IF(YEAR(I$45)=2026,'13_Balance_Sheet'!$H$17+('13_Balance_Sheet'!$I$17-'13_Balance_Sheet'!$H$17)*SUM($D$49:I$49),'13_Balance_Sheet'!$I$17+('13_Balance_Sheet'!$J$17-'13_Balance_Sheet'!$I$17)*SUM($D$49:I$49))</f>
        <v>13201.51640377727</v>
      </c>
      <c r="J69" s="269">
        <f>IF(YEAR(J$45)=2026,'13_Balance_Sheet'!$H$17+('13_Balance_Sheet'!$I$17-'13_Balance_Sheet'!$H$17)*SUM($D$49:J$49),'13_Balance_Sheet'!$I$17+('13_Balance_Sheet'!$J$17-'13_Balance_Sheet'!$I$17)*SUM($D$49:J$49))</f>
        <v>13216.60280767623</v>
      </c>
      <c r="K69" s="269">
        <f>IF(YEAR(K$45)=2026,'13_Balance_Sheet'!$H$17+('13_Balance_Sheet'!$I$17-'13_Balance_Sheet'!$H$17)*SUM($D$49:K$49),'13_Balance_Sheet'!$I$17+('13_Balance_Sheet'!$J$17-'13_Balance_Sheet'!$I$17)*SUM($D$49:K$49))</f>
        <v>13232.169659004094</v>
      </c>
      <c r="L69" s="269">
        <f>IF(YEAR(L$45)=2026,'13_Balance_Sheet'!$H$17+('13_Balance_Sheet'!$I$17-'13_Balance_Sheet'!$H$17)*SUM($D$49:L$49),'13_Balance_Sheet'!$I$17+('13_Balance_Sheet'!$J$17-'13_Balance_Sheet'!$I$17)*SUM($D$49:L$49))</f>
        <v>13248.225458620087</v>
      </c>
      <c r="M69" s="269">
        <f>IF(YEAR(M$45)=2026,'13_Balance_Sheet'!$H$17+('13_Balance_Sheet'!$I$17-'13_Balance_Sheet'!$H$17)*SUM($D$49:M$49),'13_Balance_Sheet'!$I$17+('13_Balance_Sheet'!$J$17-'13_Balance_Sheet'!$I$17)*SUM($D$49:M$49))</f>
        <v>13265.151743057406</v>
      </c>
      <c r="N69" s="269">
        <f>IF(YEAR(N$45)=2026,'13_Balance_Sheet'!$H$17+('13_Balance_Sheet'!$I$17-'13_Balance_Sheet'!$H$17)*SUM($D$49:N$49),'13_Balance_Sheet'!$I$17+('13_Balance_Sheet'!$J$17-'13_Balance_Sheet'!$I$17)*SUM($D$49:N$49))</f>
        <v>13280.925993780142</v>
      </c>
      <c r="O69" s="269">
        <f>IF(YEAR(O$45)=2026,'13_Balance_Sheet'!$H$17+('13_Balance_Sheet'!$I$17-'13_Balance_Sheet'!$H$17)*SUM($D$49:O$49),'13_Balance_Sheet'!$I$17+('13_Balance_Sheet'!$J$17-'13_Balance_Sheet'!$I$17)*SUM($D$49:O$49))</f>
        <v>13297.191780821919</v>
      </c>
      <c r="P69" s="269">
        <f>IF(YEAR(P$45)=2026,'13_Balance_Sheet'!$H$17+('13_Balance_Sheet'!$I$17-'13_Balance_Sheet'!$H$17)*SUM($P$49:P$49),'13_Balance_Sheet'!$I$17+('13_Balance_Sheet'!$J$17-'13_Balance_Sheet'!$I$17)*SUM($P$49:P$49))</f>
        <v>13493.064809592512</v>
      </c>
      <c r="Q69" s="269">
        <f>IF(YEAR(Q$45)=2026,'13_Balance_Sheet'!$H$17+('13_Balance_Sheet'!$I$17-'13_Balance_Sheet'!$H$17)*SUM($P$49:Q$49),'13_Balance_Sheet'!$I$17+('13_Balance_Sheet'!$J$17-'13_Balance_Sheet'!$I$17)*SUM($P$49:Q$49))</f>
        <v>13654.372009756529</v>
      </c>
      <c r="R69" s="269">
        <f>IF(YEAR(R$45)=2026,'13_Balance_Sheet'!$H$17+('13_Balance_Sheet'!$I$17-'13_Balance_Sheet'!$H$17)*SUM($P$49:R$49),'13_Balance_Sheet'!$I$17+('13_Balance_Sheet'!$J$17-'13_Balance_Sheet'!$I$17)*SUM($P$49:R$49))</f>
        <v>13817.254911320237</v>
      </c>
      <c r="S69" s="269">
        <f>IF(YEAR(S$45)=2026,'13_Balance_Sheet'!$H$17+('13_Balance_Sheet'!$I$17-'13_Balance_Sheet'!$H$17)*SUM($P$49:S$49),'13_Balance_Sheet'!$I$17+('13_Balance_Sheet'!$J$17-'13_Balance_Sheet'!$I$17)*SUM($P$49:S$49))</f>
        <v>14003.18426748668</v>
      </c>
      <c r="T69" s="269">
        <f>IF(YEAR(T$45)=2026,'13_Balance_Sheet'!$H$17+('13_Balance_Sheet'!$I$17-'13_Balance_Sheet'!$H$17)*SUM($P$49:T$49),'13_Balance_Sheet'!$I$17+('13_Balance_Sheet'!$J$17-'13_Balance_Sheet'!$I$17)*SUM($P$49:T$49))</f>
        <v>14189.039022948353</v>
      </c>
      <c r="U69" s="269">
        <f>IF(YEAR(U$45)=2026,'13_Balance_Sheet'!$H$17+('13_Balance_Sheet'!$I$17-'13_Balance_Sheet'!$H$17)*SUM($P$49:U$49),'13_Balance_Sheet'!$I$17+('13_Balance_Sheet'!$J$17-'13_Balance_Sheet'!$I$17)*SUM($P$49:U$49))</f>
        <v>14371.506325548815</v>
      </c>
      <c r="V69" s="269">
        <f>IF(YEAR(V$45)=2026,'13_Balance_Sheet'!$H$17+('13_Balance_Sheet'!$I$17-'13_Balance_Sheet'!$H$17)*SUM($P$49:V$49),'13_Balance_Sheet'!$I$17+('13_Balance_Sheet'!$J$17-'13_Balance_Sheet'!$I$17)*SUM($P$49:V$49))</f>
        <v>14556.488609269225</v>
      </c>
      <c r="W69" s="269">
        <f>IF(YEAR(W$45)=2026,'13_Balance_Sheet'!$H$17+('13_Balance_Sheet'!$I$17-'13_Balance_Sheet'!$H$17)*SUM($P$49:W$49),'13_Balance_Sheet'!$I$17+('13_Balance_Sheet'!$J$17-'13_Balance_Sheet'!$I$17)*SUM($P$49:W$49))</f>
        <v>14747.361910040556</v>
      </c>
      <c r="X69" s="269">
        <f>IF(YEAR(X$45)=2026,'13_Balance_Sheet'!$H$17+('13_Balance_Sheet'!$I$17-'13_Balance_Sheet'!$H$17)*SUM($P$49:X$49),'13_Balance_Sheet'!$I$17+('13_Balance_Sheet'!$J$17-'13_Balance_Sheet'!$I$17)*SUM($P$49:X$49))</f>
        <v>14944.230461341129</v>
      </c>
      <c r="Y69" s="269">
        <f>IF(YEAR(Y$45)=2026,'13_Balance_Sheet'!$H$17+('13_Balance_Sheet'!$I$17-'13_Balance_Sheet'!$H$17)*SUM($P$49:Y$49),'13_Balance_Sheet'!$I$17+('13_Balance_Sheet'!$J$17-'13_Balance_Sheet'!$I$17)*SUM($P$49:Y$49))</f>
        <v>15151.77248202985</v>
      </c>
      <c r="Z69" s="269">
        <f>IF(YEAR(Z$45)=2026,'13_Balance_Sheet'!$H$17+('13_Balance_Sheet'!$I$17-'13_Balance_Sheet'!$H$17)*SUM($P$49:Z$49),'13_Balance_Sheet'!$I$17+('13_Balance_Sheet'!$J$17-'13_Balance_Sheet'!$I$17)*SUM($P$49:Z$49))</f>
        <v>15345.188815187363</v>
      </c>
      <c r="AA69" s="269">
        <f>IF(YEAR(AA$45)=2026,'13_Balance_Sheet'!$H$17+('13_Balance_Sheet'!$I$17-'13_Balance_Sheet'!$H$17)*SUM($P$49:AA$49),'13_Balance_Sheet'!$I$17+('13_Balance_Sheet'!$J$17-'13_Balance_Sheet'!$I$17)*SUM($P$49:AA$49))</f>
        <v>15544.632132073828</v>
      </c>
      <c r="AB69" s="269"/>
      <c r="AC69" s="269"/>
      <c r="AD69" s="261" t="s">
        <v>2885</v>
      </c>
    </row>
    <row r="70" spans="1:30">
      <c r="A70" s="261" t="s">
        <v>410</v>
      </c>
      <c r="B70" s="261" t="s">
        <v>1139</v>
      </c>
      <c r="C70" s="264" t="s">
        <v>14</v>
      </c>
      <c r="D70" s="269">
        <f>-IF(YEAR(D$45)=2026,'14_Cash_Flow'!$I$10,'14_Cash_Flow'!$J$10)*D$49</f>
        <v>193.48149713005512</v>
      </c>
      <c r="E70" s="269">
        <f>-IF(YEAR(E$45)=2026,'14_Cash_Flow'!$I$10,'14_Cash_Flow'!$J$10)*E$49</f>
        <v>159.33770351886895</v>
      </c>
      <c r="F70" s="269">
        <f>-IF(YEAR(F$45)=2026,'14_Cash_Flow'!$I$10,'14_Cash_Flow'!$J$10)*F$49</f>
        <v>160.89416623226677</v>
      </c>
      <c r="G70" s="269">
        <f>-IF(YEAR(G$45)=2026,'14_Cash_Flow'!$I$10,'14_Cash_Flow'!$J$10)*G$49</f>
        <v>183.65923280659277</v>
      </c>
      <c r="H70" s="269">
        <f>-IF(YEAR(H$45)=2026,'14_Cash_Flow'!$I$10,'14_Cash_Flow'!$J$10)*H$49</f>
        <v>183.58554294670509</v>
      </c>
      <c r="I70" s="269">
        <f>-IF(YEAR(I$45)=2026,'14_Cash_Flow'!$I$10,'14_Cash_Flow'!$J$10)*I$49</f>
        <v>180.23944953528232</v>
      </c>
      <c r="J70" s="269">
        <f>-IF(YEAR(J$45)=2026,'14_Cash_Flow'!$I$10,'14_Cash_Flow'!$J$10)*J$49</f>
        <v>182.7237237377883</v>
      </c>
      <c r="K70" s="269">
        <f>-IF(YEAR(K$45)=2026,'14_Cash_Flow'!$I$10,'14_Cash_Flow'!$J$10)*K$49</f>
        <v>188.54281381764594</v>
      </c>
      <c r="L70" s="269">
        <f>-IF(YEAR(L$45)=2026,'14_Cash_Flow'!$I$10,'14_Cash_Flow'!$J$10)*L$49</f>
        <v>194.46486472658518</v>
      </c>
      <c r="M70" s="269">
        <f>-IF(YEAR(M$45)=2026,'14_Cash_Flow'!$I$10,'14_Cash_Flow'!$J$10)*M$49</f>
        <v>205.00801530608217</v>
      </c>
      <c r="N70" s="269">
        <f>-IF(YEAR(N$45)=2026,'14_Cash_Flow'!$I$10,'14_Cash_Flow'!$J$10)*N$49</f>
        <v>191.05479679160243</v>
      </c>
      <c r="O70" s="269">
        <f>-IF(YEAR(O$45)=2026,'14_Cash_Flow'!$I$10,'14_Cash_Flow'!$J$10)*O$49</f>
        <v>197.00819345052489</v>
      </c>
      <c r="P70" s="269">
        <f>-IF(YEAR(P$45)=2026,'14_Cash_Flow'!$I$10,'14_Cash_Flow'!$J$10)*P$49</f>
        <v>220.36211167640354</v>
      </c>
      <c r="Q70" s="269">
        <f>-IF(YEAR(Q$45)=2026,'14_Cash_Flow'!$I$10,'14_Cash_Flow'!$J$10)*Q$49</f>
        <v>181.47468020409704</v>
      </c>
      <c r="R70" s="269">
        <f>-IF(YEAR(R$45)=2026,'14_Cash_Flow'!$I$10,'14_Cash_Flow'!$J$10)*R$49</f>
        <v>183.24738413371045</v>
      </c>
      <c r="S70" s="269">
        <f>-IF(YEAR(S$45)=2026,'14_Cash_Flow'!$I$10,'14_Cash_Flow'!$J$10)*S$49</f>
        <v>209.17522848670478</v>
      </c>
      <c r="T70" s="269">
        <f>-IF(YEAR(T$45)=2026,'14_Cash_Flow'!$I$10,'14_Cash_Flow'!$J$10)*T$49</f>
        <v>209.09130080692734</v>
      </c>
      <c r="U70" s="269">
        <f>-IF(YEAR(U$45)=2026,'14_Cash_Flow'!$I$10,'14_Cash_Flow'!$J$10)*U$49</f>
        <v>205.28033065761127</v>
      </c>
      <c r="V70" s="269">
        <f>-IF(YEAR(V$45)=2026,'14_Cash_Flow'!$I$10,'14_Cash_Flow'!$J$10)*V$49</f>
        <v>208.10974803016475</v>
      </c>
      <c r="W70" s="269">
        <f>-IF(YEAR(W$45)=2026,'14_Cash_Flow'!$I$10,'14_Cash_Flow'!$J$10)*W$49</f>
        <v>214.73729121673981</v>
      </c>
      <c r="X70" s="269">
        <f>-IF(YEAR(X$45)=2026,'14_Cash_Flow'!$I$10,'14_Cash_Flow'!$J$10)*X$49</f>
        <v>221.48209970285473</v>
      </c>
      <c r="Y70" s="269">
        <f>-IF(YEAR(Y$45)=2026,'14_Cash_Flow'!$I$10,'14_Cash_Flow'!$J$10)*Y$49</f>
        <v>233.49002273364752</v>
      </c>
      <c r="Z70" s="269">
        <f>-IF(YEAR(Z$45)=2026,'14_Cash_Flow'!$I$10,'14_Cash_Flow'!$J$10)*Z$49</f>
        <v>217.59826697332153</v>
      </c>
      <c r="AA70" s="269">
        <f>-IF(YEAR(AA$45)=2026,'14_Cash_Flow'!$I$10,'14_Cash_Flow'!$J$10)*AA$49</f>
        <v>224.37877611175122</v>
      </c>
      <c r="AB70" s="269">
        <f>SUM($D$70:$O$70)+'14_Cash_Flow'!$I$10</f>
        <v>0</v>
      </c>
      <c r="AC70" s="269">
        <f>SUM($P$70:$AA$70)+'14_Cash_Flow'!$J$10</f>
        <v>0</v>
      </c>
      <c r="AD70" s="261" t="s">
        <v>1140</v>
      </c>
    </row>
    <row r="71" spans="1:30">
      <c r="A71" s="261" t="s">
        <v>410</v>
      </c>
      <c r="B71" s="261" t="s">
        <v>1141</v>
      </c>
      <c r="C71" s="264" t="s">
        <v>14</v>
      </c>
      <c r="D71" s="269">
        <f>IF(YEAR(D$45)=2026,'14_Cash_Flow'!$I$9,'14_Cash_Flow'!$J$9)*D$49</f>
        <v>917.25122276347179</v>
      </c>
      <c r="E71" s="269">
        <f>IF(YEAR(E$45)=2026,'14_Cash_Flow'!$I$9,'14_Cash_Flow'!$J$9)*E$49</f>
        <v>755.3833599228592</v>
      </c>
      <c r="F71" s="269">
        <f>IF(YEAR(F$45)=2026,'14_Cash_Flow'!$I$9,'14_Cash_Flow'!$J$9)*F$49</f>
        <v>762.76219122314762</v>
      </c>
      <c r="G71" s="269">
        <f>IF(YEAR(G$45)=2026,'14_Cash_Flow'!$I$9,'14_Cash_Flow'!$J$9)*G$49</f>
        <v>870.68612948767486</v>
      </c>
      <c r="H71" s="269">
        <f>IF(YEAR(H$45)=2026,'14_Cash_Flow'!$I$9,'14_Cash_Flow'!$J$9)*H$49</f>
        <v>870.33678283132861</v>
      </c>
      <c r="I71" s="269">
        <f>IF(YEAR(I$45)=2026,'14_Cash_Flow'!$I$9,'14_Cash_Flow'!$J$9)*I$49</f>
        <v>854.47372450981243</v>
      </c>
      <c r="J71" s="269">
        <f>IF(YEAR(J$45)=2026,'14_Cash_Flow'!$I$9,'14_Cash_Flow'!$J$9)*J$49</f>
        <v>866.2510964225213</v>
      </c>
      <c r="K71" s="269">
        <f>IF(YEAR(K$45)=2026,'14_Cash_Flow'!$I$9,'14_Cash_Flow'!$J$9)*K$49</f>
        <v>893.83806246471795</v>
      </c>
      <c r="L71" s="269">
        <f>IF(YEAR(L$45)=2026,'14_Cash_Flow'!$I$9,'14_Cash_Flow'!$J$9)*L$49</f>
        <v>921.91314208765846</v>
      </c>
      <c r="M71" s="269">
        <f>IF(YEAR(M$45)=2026,'14_Cash_Flow'!$I$9,'14_Cash_Flow'!$J$9)*M$49</f>
        <v>971.8957910968428</v>
      </c>
      <c r="N71" s="269">
        <f>IF(YEAR(N$45)=2026,'14_Cash_Flow'!$I$9,'14_Cash_Flow'!$J$9)*N$49</f>
        <v>905.74679528206752</v>
      </c>
      <c r="O71" s="269">
        <f>IF(YEAR(O$45)=2026,'14_Cash_Flow'!$I$9,'14_Cash_Flow'!$J$9)*O$49</f>
        <v>933.97047788734506</v>
      </c>
      <c r="P71" s="269">
        <f>IF(YEAR(P$45)=2026,'14_Cash_Flow'!$I$9,'14_Cash_Flow'!$J$9)*P$49</f>
        <v>1031.1298871153408</v>
      </c>
      <c r="Q71" s="269">
        <f>IF(YEAR(Q$45)=2026,'14_Cash_Flow'!$I$9,'14_Cash_Flow'!$J$9)*Q$49</f>
        <v>849.16578938910436</v>
      </c>
      <c r="R71" s="269">
        <f>IF(YEAR(R$45)=2026,'14_Cash_Flow'!$I$9,'14_Cash_Flow'!$J$9)*R$49</f>
        <v>857.46071808136242</v>
      </c>
      <c r="S71" s="269">
        <f>IF(YEAR(S$45)=2026,'14_Cash_Flow'!$I$9,'14_Cash_Flow'!$J$9)*S$49</f>
        <v>978.78363978265213</v>
      </c>
      <c r="T71" s="269">
        <f>IF(YEAR(T$45)=2026,'14_Cash_Flow'!$I$9,'14_Cash_Flow'!$J$9)*T$49</f>
        <v>978.3909210057426</v>
      </c>
      <c r="U71" s="269">
        <f>IF(YEAR(U$45)=2026,'14_Cash_Flow'!$I$9,'14_Cash_Flow'!$J$9)*U$49</f>
        <v>960.55843070162564</v>
      </c>
      <c r="V71" s="269">
        <f>IF(YEAR(V$45)=2026,'14_Cash_Flow'!$I$9,'14_Cash_Flow'!$J$9)*V$49</f>
        <v>973.79798805460439</v>
      </c>
      <c r="W71" s="269">
        <f>IF(YEAR(W$45)=2026,'14_Cash_Flow'!$I$9,'14_Cash_Flow'!$J$9)*W$49</f>
        <v>1004.8099338280255</v>
      </c>
      <c r="X71" s="269">
        <f>IF(YEAR(X$45)=2026,'14_Cash_Flow'!$I$9,'14_Cash_Flow'!$J$9)*X$49</f>
        <v>1036.3705935076493</v>
      </c>
      <c r="Y71" s="269">
        <f>IF(YEAR(Y$45)=2026,'14_Cash_Flow'!$I$9,'14_Cash_Flow'!$J$9)*Y$49</f>
        <v>1092.5586932904894</v>
      </c>
      <c r="Z71" s="269">
        <f>IF(YEAR(Z$45)=2026,'14_Cash_Flow'!$I$9,'14_Cash_Flow'!$J$9)*Z$49</f>
        <v>1018.1971608176448</v>
      </c>
      <c r="AA71" s="269">
        <f>IF(YEAR(AA$45)=2026,'14_Cash_Flow'!$I$9,'14_Cash_Flow'!$J$9)*AA$49</f>
        <v>1049.9248728517375</v>
      </c>
      <c r="AB71" s="269">
        <f>SUM($D$71:$O$71)-'14_Cash_Flow'!$I$9</f>
        <v>0</v>
      </c>
      <c r="AC71" s="269">
        <f>SUM($P$71:$AA$71)-'14_Cash_Flow'!$J$9</f>
        <v>0</v>
      </c>
      <c r="AD71" s="261" t="s">
        <v>1142</v>
      </c>
    </row>
    <row r="72" spans="1:30">
      <c r="A72" s="261" t="s">
        <v>410</v>
      </c>
      <c r="B72" s="261" t="s">
        <v>133</v>
      </c>
      <c r="C72" s="264" t="s">
        <v>14</v>
      </c>
      <c r="D72" s="269">
        <f>IF(YEAR(D$45)=2026,'14_Cash_Flow'!$I$20,'14_Cash_Flow'!$J$20)*D$49</f>
        <v>622.46940375161023</v>
      </c>
      <c r="E72" s="269">
        <f>IF(YEAR(E$45)=2026,'14_Cash_Flow'!$I$20,'14_Cash_Flow'!$J$20)*E$49</f>
        <v>512.62186191309081</v>
      </c>
      <c r="F72" s="269">
        <f>IF(YEAR(F$45)=2026,'14_Cash_Flow'!$I$20,'14_Cash_Flow'!$J$20)*F$49</f>
        <v>517.62931963665346</v>
      </c>
      <c r="G72" s="269">
        <f>IF(YEAR(G$45)=2026,'14_Cash_Flow'!$I$20,'14_Cash_Flow'!$J$20)*G$49</f>
        <v>590.86917785090543</v>
      </c>
      <c r="H72" s="269">
        <f>IF(YEAR(H$45)=2026,'14_Cash_Flow'!$I$20,'14_Cash_Flow'!$J$20)*H$49</f>
        <v>590.6321025551938</v>
      </c>
      <c r="I72" s="269">
        <f>IF(YEAR(I$45)=2026,'14_Cash_Flow'!$I$20,'14_Cash_Flow'!$J$20)*I$49</f>
        <v>579.86703818676233</v>
      </c>
      <c r="J72" s="269">
        <f>IF(YEAR(J$45)=2026,'14_Cash_Flow'!$I$20,'14_Cash_Flow'!$J$20)*J$49</f>
        <v>587.85945453937074</v>
      </c>
      <c r="K72" s="269">
        <f>IF(YEAR(K$45)=2026,'14_Cash_Flow'!$I$20,'14_Cash_Flow'!$J$20)*K$49</f>
        <v>606.58065313517818</v>
      </c>
      <c r="L72" s="269">
        <f>IF(YEAR(L$45)=2026,'14_Cash_Flow'!$I$20,'14_Cash_Flow'!$J$20)*L$49</f>
        <v>625.63309769940543</v>
      </c>
      <c r="M72" s="269">
        <f>IF(YEAR(M$45)=2026,'14_Cash_Flow'!$I$20,'14_Cash_Flow'!$J$20)*M$49</f>
        <v>659.55256158732209</v>
      </c>
      <c r="N72" s="269">
        <f>IF(YEAR(N$45)=2026,'14_Cash_Flow'!$I$20,'14_Cash_Flow'!$J$20)*N$49</f>
        <v>614.66221425201115</v>
      </c>
      <c r="O72" s="269">
        <f>IF(YEAR(O$45)=2026,'14_Cash_Flow'!$I$20,'14_Cash_Flow'!$J$20)*O$49</f>
        <v>633.81550448154303</v>
      </c>
      <c r="P72" s="269">
        <f>IF(YEAR(P$45)=2026,'14_Cash_Flow'!$I$20,'14_Cash_Flow'!$J$20)*P$49</f>
        <v>708.18774154864298</v>
      </c>
      <c r="Q72" s="269">
        <f>IF(YEAR(Q$45)=2026,'14_Cash_Flow'!$I$20,'14_Cash_Flow'!$J$20)*Q$49</f>
        <v>583.21343421652955</v>
      </c>
      <c r="R72" s="269">
        <f>IF(YEAR(R$45)=2026,'14_Cash_Flow'!$I$20,'14_Cash_Flow'!$J$20)*R$49</f>
        <v>588.91045346723831</v>
      </c>
      <c r="S72" s="269">
        <f>IF(YEAR(S$45)=2026,'14_Cash_Flow'!$I$20,'14_Cash_Flow'!$J$20)*S$49</f>
        <v>672.23594620228539</v>
      </c>
      <c r="T72" s="269">
        <f>IF(YEAR(T$45)=2026,'14_Cash_Flow'!$I$20,'14_Cash_Flow'!$J$20)*T$49</f>
        <v>671.9662240003023</v>
      </c>
      <c r="U72" s="269">
        <f>IF(YEAR(U$45)=2026,'14_Cash_Flow'!$I$20,'14_Cash_Flow'!$J$20)*U$49</f>
        <v>659.71873588802339</v>
      </c>
      <c r="V72" s="269">
        <f>IF(YEAR(V$45)=2026,'14_Cash_Flow'!$I$20,'14_Cash_Flow'!$J$20)*V$49</f>
        <v>668.81176319532028</v>
      </c>
      <c r="W72" s="269">
        <f>IF(YEAR(W$45)=2026,'14_Cash_Flow'!$I$20,'14_Cash_Flow'!$J$20)*W$49</f>
        <v>690.11100019033074</v>
      </c>
      <c r="X72" s="269">
        <f>IF(YEAR(X$45)=2026,'14_Cash_Flow'!$I$20,'14_Cash_Flow'!$J$20)*X$49</f>
        <v>711.78709801232912</v>
      </c>
      <c r="Y72" s="269">
        <f>IF(YEAR(Y$45)=2026,'14_Cash_Flow'!$I$20,'14_Cash_Flow'!$J$20)*Y$49</f>
        <v>750.37750644131893</v>
      </c>
      <c r="Z72" s="269">
        <f>IF(YEAR(Z$45)=2026,'14_Cash_Flow'!$I$20,'14_Cash_Flow'!$J$20)*Z$49</f>
        <v>699.30544811182426</v>
      </c>
      <c r="AA72" s="269">
        <f>IF(YEAR(AA$45)=2026,'14_Cash_Flow'!$I$20,'14_Cash_Flow'!$J$20)*AA$49</f>
        <v>721.09627874402429</v>
      </c>
      <c r="AB72" s="269">
        <f>SUM($D$72:$O$72)-'14_Cash_Flow'!$I$20</f>
        <v>0</v>
      </c>
      <c r="AC72" s="269">
        <f>SUM($P$72:$AA$72)-'14_Cash_Flow'!$J$20</f>
        <v>0</v>
      </c>
      <c r="AD72" s="261" t="s">
        <v>1143</v>
      </c>
    </row>
    <row r="73" spans="1:30" ht="25.5" customHeight="1">
      <c r="A73" s="404" t="s">
        <v>427</v>
      </c>
      <c r="B73" s="404" t="s">
        <v>1144</v>
      </c>
      <c r="C73" s="407" t="s">
        <v>14</v>
      </c>
      <c r="D73" s="407"/>
      <c r="E73" s="407"/>
      <c r="F73" s="407"/>
      <c r="G73" s="407"/>
      <c r="H73" s="407"/>
      <c r="I73" s="407"/>
      <c r="J73" s="407"/>
      <c r="K73" s="407"/>
      <c r="L73" s="407"/>
      <c r="M73" s="407"/>
      <c r="N73" s="407"/>
      <c r="O73" s="407"/>
      <c r="P73" s="407"/>
      <c r="Q73" s="407"/>
      <c r="R73" s="407"/>
      <c r="S73" s="407"/>
      <c r="T73" s="407"/>
      <c r="U73" s="407"/>
      <c r="V73" s="407"/>
      <c r="W73" s="407"/>
      <c r="X73" s="407"/>
      <c r="Y73" s="407"/>
      <c r="Z73" s="407"/>
      <c r="AA73" s="407"/>
      <c r="AB73" s="414">
        <f>SUM($D$50:$O$50)-'12_Income_Statement'!$I$6</f>
        <v>0</v>
      </c>
      <c r="AC73" s="414">
        <f>SUM($P$50:$AA$50)-'12_Income_Statement'!$J$6</f>
        <v>0</v>
      </c>
      <c r="AD73" s="404" t="s">
        <v>1145</v>
      </c>
    </row>
    <row r="74" spans="1:30" ht="25.5" customHeight="1">
      <c r="A74" s="404" t="s">
        <v>427</v>
      </c>
      <c r="B74" s="404" t="s">
        <v>1146</v>
      </c>
      <c r="C74" s="407" t="s">
        <v>14</v>
      </c>
      <c r="D74" s="407"/>
      <c r="E74" s="407"/>
      <c r="F74" s="407"/>
      <c r="G74" s="407"/>
      <c r="H74" s="407"/>
      <c r="I74" s="407"/>
      <c r="J74" s="407"/>
      <c r="K74" s="407"/>
      <c r="L74" s="407"/>
      <c r="M74" s="407"/>
      <c r="N74" s="407"/>
      <c r="O74" s="407"/>
      <c r="P74" s="407"/>
      <c r="Q74" s="407"/>
      <c r="R74" s="407"/>
      <c r="S74" s="407"/>
      <c r="T74" s="407"/>
      <c r="U74" s="407"/>
      <c r="V74" s="407"/>
      <c r="W74" s="407"/>
      <c r="X74" s="407"/>
      <c r="Y74" s="407"/>
      <c r="Z74" s="407"/>
      <c r="AA74" s="407"/>
      <c r="AB74" s="414">
        <f>SUM($D$63:$O$63)-'12_Income_Statement'!$I$23</f>
        <v>0</v>
      </c>
      <c r="AC74" s="414">
        <f>SUM($P$63:$AA$63)-'12_Income_Statement'!$J$23</f>
        <v>0</v>
      </c>
      <c r="AD74" s="404" t="s">
        <v>1147</v>
      </c>
    </row>
    <row r="75" spans="1:30">
      <c r="A75" s="315"/>
      <c r="B75" s="315"/>
      <c r="C75" s="271"/>
      <c r="D75" s="271"/>
      <c r="E75" s="271"/>
      <c r="F75" s="271"/>
      <c r="G75" s="315"/>
      <c r="H75" s="315"/>
      <c r="I75" s="315"/>
      <c r="J75" s="315"/>
      <c r="K75" s="315"/>
      <c r="L75" s="315"/>
      <c r="M75" s="315"/>
      <c r="N75" s="315"/>
      <c r="O75" s="315"/>
      <c r="P75" s="315"/>
      <c r="Q75" s="315"/>
      <c r="R75" s="315"/>
      <c r="S75" s="315"/>
      <c r="T75" s="315"/>
      <c r="U75" s="315"/>
      <c r="V75" s="315"/>
      <c r="W75" s="315"/>
      <c r="X75" s="315"/>
      <c r="Y75" s="315"/>
      <c r="Z75" s="315"/>
      <c r="AA75" s="315"/>
      <c r="AB75" s="315"/>
      <c r="AC75" s="315"/>
      <c r="AD75" s="315"/>
    </row>
    <row r="76" spans="1:30">
      <c r="A76" s="315"/>
      <c r="B76" s="315"/>
      <c r="C76" s="271"/>
      <c r="D76" s="271"/>
      <c r="E76" s="271"/>
      <c r="F76" s="271"/>
      <c r="G76" s="315"/>
      <c r="H76" s="315"/>
      <c r="I76" s="315"/>
      <c r="J76" s="315"/>
      <c r="K76" s="315"/>
      <c r="L76" s="315"/>
      <c r="M76" s="315"/>
      <c r="N76" s="315"/>
      <c r="O76" s="315"/>
      <c r="P76" s="315"/>
      <c r="Q76" s="315"/>
      <c r="R76" s="315"/>
      <c r="S76" s="315"/>
      <c r="T76" s="315"/>
      <c r="U76" s="315"/>
      <c r="V76" s="315"/>
      <c r="W76" s="315"/>
      <c r="X76" s="315"/>
      <c r="Y76" s="315"/>
      <c r="Z76" s="315"/>
      <c r="AA76" s="315"/>
      <c r="AB76" s="315"/>
      <c r="AC76" s="315"/>
      <c r="AD76" s="315"/>
    </row>
    <row r="77" spans="1:30">
      <c r="A77" s="497" t="s">
        <v>1148</v>
      </c>
      <c r="B77" s="485"/>
      <c r="C77" s="485"/>
      <c r="D77" s="485"/>
      <c r="E77" s="485"/>
      <c r="F77" s="485"/>
      <c r="G77" s="485"/>
      <c r="H77" s="485"/>
      <c r="I77" s="486"/>
      <c r="J77" s="315"/>
      <c r="K77" s="315"/>
      <c r="L77" s="315"/>
      <c r="M77" s="315"/>
      <c r="N77" s="315"/>
      <c r="O77" s="315"/>
      <c r="P77" s="315"/>
      <c r="Q77" s="315"/>
      <c r="R77" s="315"/>
      <c r="S77" s="315"/>
      <c r="T77" s="315"/>
      <c r="U77" s="315"/>
      <c r="V77" s="315"/>
      <c r="W77" s="315"/>
      <c r="X77" s="315"/>
      <c r="Y77" s="315"/>
      <c r="Z77" s="315"/>
      <c r="AA77" s="315"/>
      <c r="AB77" s="315"/>
      <c r="AC77" s="315"/>
      <c r="AD77" s="315"/>
    </row>
    <row r="78" spans="1:30" ht="25.5" customHeight="1">
      <c r="A78" s="403" t="s">
        <v>206</v>
      </c>
      <c r="B78" s="403" t="s">
        <v>1149</v>
      </c>
      <c r="C78" s="408" t="s">
        <v>803</v>
      </c>
      <c r="D78" s="408" t="s">
        <v>1029</v>
      </c>
      <c r="E78" s="408" t="s">
        <v>1030</v>
      </c>
      <c r="F78" s="408" t="s">
        <v>1031</v>
      </c>
      <c r="G78" s="403" t="s">
        <v>336</v>
      </c>
      <c r="H78" s="403" t="s">
        <v>150</v>
      </c>
      <c r="I78" s="315"/>
      <c r="J78" s="315"/>
      <c r="K78" s="315"/>
      <c r="L78" s="315"/>
      <c r="M78" s="315"/>
      <c r="N78" s="315"/>
      <c r="O78" s="315"/>
      <c r="P78" s="315"/>
      <c r="Q78" s="315"/>
      <c r="R78" s="315"/>
      <c r="S78" s="315"/>
      <c r="T78" s="315"/>
      <c r="U78" s="315"/>
      <c r="V78" s="315"/>
      <c r="W78" s="315"/>
      <c r="X78" s="315"/>
      <c r="Y78" s="315"/>
      <c r="Z78" s="315"/>
      <c r="AA78" s="315"/>
      <c r="AB78" s="315"/>
      <c r="AC78" s="315"/>
      <c r="AD78" s="315"/>
    </row>
    <row r="79" spans="1:30" ht="25.5" customHeight="1">
      <c r="A79" s="261" t="s">
        <v>1150</v>
      </c>
      <c r="B79" s="261" t="s">
        <v>233</v>
      </c>
      <c r="C79" s="265">
        <f>'07_Revenue_Drivers'!$F$8</f>
        <v>79159</v>
      </c>
      <c r="D79" s="265">
        <f>SUM($D$50:$H$50)</f>
        <v>73413.178552874058</v>
      </c>
      <c r="E79" s="415">
        <f t="shared" ref="E79:E91" si="12">C79-D79</f>
        <v>5745.8214471259416</v>
      </c>
      <c r="F79" s="416">
        <f t="shared" ref="F79:F86" si="13">IFERROR(E79/D79,0)</f>
        <v>7.8266893770137652E-2</v>
      </c>
      <c r="G79" s="417" t="str">
        <f t="shared" ref="G79:G84" si="14">IF(E79&gt;=0,"Favorable","Unfavorable")</f>
        <v>Favorable</v>
      </c>
      <c r="H79" s="261" t="s">
        <v>1033</v>
      </c>
      <c r="I79" s="315"/>
      <c r="J79" s="315"/>
      <c r="K79" s="315"/>
      <c r="L79" s="315"/>
      <c r="M79" s="315"/>
      <c r="N79" s="315"/>
      <c r="O79" s="315"/>
      <c r="P79" s="315"/>
      <c r="Q79" s="315"/>
      <c r="R79" s="315"/>
      <c r="S79" s="315"/>
      <c r="T79" s="315"/>
      <c r="U79" s="315"/>
      <c r="V79" s="315"/>
      <c r="W79" s="315"/>
      <c r="X79" s="315"/>
      <c r="Y79" s="315"/>
      <c r="Z79" s="315"/>
      <c r="AA79" s="315"/>
      <c r="AB79" s="315"/>
      <c r="AC79" s="315"/>
      <c r="AD79" s="315"/>
    </row>
    <row r="80" spans="1:30" ht="25.5" customHeight="1">
      <c r="A80" s="261" t="s">
        <v>1150</v>
      </c>
      <c r="B80" s="261" t="s">
        <v>1034</v>
      </c>
      <c r="C80" s="265">
        <f>'04_Q1_Historical_FS'!$E$7</f>
        <v>46461.952026772997</v>
      </c>
      <c r="D80" s="265">
        <f>SUM($D$50:$F$50)</f>
        <v>42809.447240099238</v>
      </c>
      <c r="E80" s="415">
        <f t="shared" si="12"/>
        <v>3652.5047866737586</v>
      </c>
      <c r="F80" s="416">
        <f t="shared" si="13"/>
        <v>8.5320064194907175E-2</v>
      </c>
      <c r="G80" s="417" t="str">
        <f t="shared" si="14"/>
        <v>Favorable</v>
      </c>
      <c r="H80" s="261" t="s">
        <v>1035</v>
      </c>
      <c r="I80" s="315"/>
      <c r="J80" s="315"/>
      <c r="K80" s="315"/>
      <c r="L80" s="315"/>
      <c r="M80" s="315"/>
      <c r="N80" s="315"/>
      <c r="O80" s="315"/>
      <c r="P80" s="315"/>
      <c r="Q80" s="315"/>
      <c r="R80" s="315"/>
      <c r="S80" s="315"/>
      <c r="T80" s="315"/>
      <c r="U80" s="315"/>
      <c r="V80" s="315"/>
      <c r="W80" s="315"/>
      <c r="X80" s="315"/>
      <c r="Y80" s="315"/>
      <c r="Z80" s="315"/>
      <c r="AA80" s="315"/>
      <c r="AB80" s="315"/>
      <c r="AC80" s="315"/>
      <c r="AD80" s="315"/>
    </row>
    <row r="81" spans="1:30" ht="38.25" customHeight="1">
      <c r="A81" s="261" t="s">
        <v>1150</v>
      </c>
      <c r="B81" s="261" t="s">
        <v>1151</v>
      </c>
      <c r="C81" s="265">
        <f>'07_Revenue_Drivers'!$F$8-'04_Q1_Historical_FS'!$E$7</f>
        <v>32697.047973227003</v>
      </c>
      <c r="D81" s="265">
        <f>SUM($G$50:$H$50)</f>
        <v>30603.73131277482</v>
      </c>
      <c r="E81" s="415">
        <f t="shared" si="12"/>
        <v>2093.316660452183</v>
      </c>
      <c r="F81" s="416">
        <f t="shared" si="13"/>
        <v>6.8400700524330393E-2</v>
      </c>
      <c r="G81" s="417" t="str">
        <f t="shared" si="14"/>
        <v>Favorable</v>
      </c>
      <c r="H81" s="261" t="s">
        <v>1038</v>
      </c>
      <c r="I81" s="315"/>
      <c r="J81" s="315"/>
      <c r="K81" s="315"/>
      <c r="L81" s="315"/>
      <c r="M81" s="315"/>
      <c r="N81" s="315"/>
      <c r="O81" s="315"/>
      <c r="P81" s="315"/>
      <c r="Q81" s="315"/>
      <c r="R81" s="315"/>
      <c r="S81" s="315"/>
      <c r="T81" s="315"/>
      <c r="U81" s="315"/>
      <c r="V81" s="315"/>
      <c r="W81" s="315"/>
      <c r="X81" s="315"/>
      <c r="Y81" s="315"/>
      <c r="Z81" s="315"/>
      <c r="AA81" s="315"/>
      <c r="AB81" s="315"/>
      <c r="AC81" s="315"/>
      <c r="AD81" s="315"/>
    </row>
    <row r="82" spans="1:30" ht="25.5" customHeight="1">
      <c r="A82" s="261" t="s">
        <v>246</v>
      </c>
      <c r="B82" s="261" t="s">
        <v>233</v>
      </c>
      <c r="C82" s="265">
        <f>'07_Revenue_Drivers'!$F$17</f>
        <v>23114.428</v>
      </c>
      <c r="D82" s="265">
        <f>SUM($D$53:$H$53)</f>
        <v>22023.953565862215</v>
      </c>
      <c r="E82" s="415">
        <f t="shared" si="12"/>
        <v>1090.4744341377846</v>
      </c>
      <c r="F82" s="416">
        <f t="shared" si="13"/>
        <v>4.951310993626741E-2</v>
      </c>
      <c r="G82" s="417" t="str">
        <f t="shared" si="14"/>
        <v>Favorable</v>
      </c>
      <c r="H82" s="261" t="s">
        <v>1033</v>
      </c>
      <c r="I82" s="315"/>
      <c r="J82" s="315"/>
      <c r="K82" s="315"/>
      <c r="L82" s="315"/>
      <c r="M82" s="315"/>
      <c r="N82" s="315"/>
      <c r="O82" s="315"/>
      <c r="P82" s="315"/>
      <c r="Q82" s="315"/>
      <c r="R82" s="315"/>
      <c r="S82" s="315"/>
      <c r="T82" s="315"/>
      <c r="U82" s="315"/>
      <c r="V82" s="315"/>
      <c r="W82" s="315"/>
      <c r="X82" s="315"/>
      <c r="Y82" s="315"/>
      <c r="Z82" s="315"/>
      <c r="AA82" s="315"/>
      <c r="AB82" s="315"/>
      <c r="AC82" s="315"/>
      <c r="AD82" s="315"/>
    </row>
    <row r="83" spans="1:30" ht="25.5" customHeight="1">
      <c r="A83" s="261" t="s">
        <v>1152</v>
      </c>
      <c r="B83" s="261" t="s">
        <v>233</v>
      </c>
      <c r="C83" s="265">
        <f>'06_Revenue_Drivers_Hist'!$J$49</f>
        <v>54500</v>
      </c>
      <c r="D83" s="265">
        <f>SUM('07_Revenue_Drivers'!$G$15:$G$16)*SUM($D$49:$H$49)</f>
        <v>47718.566059368146</v>
      </c>
      <c r="E83" s="415">
        <f t="shared" si="12"/>
        <v>6781.4339406318541</v>
      </c>
      <c r="F83" s="416">
        <f t="shared" si="13"/>
        <v>0.14211311237212917</v>
      </c>
      <c r="G83" s="417" t="str">
        <f t="shared" si="14"/>
        <v>Favorable</v>
      </c>
      <c r="H83" s="261" t="s">
        <v>1041</v>
      </c>
      <c r="I83" s="315"/>
      <c r="J83" s="315"/>
      <c r="K83" s="315"/>
      <c r="L83" s="315"/>
      <c r="M83" s="315"/>
      <c r="N83" s="315"/>
      <c r="O83" s="315"/>
      <c r="P83" s="315"/>
      <c r="Q83" s="315"/>
      <c r="R83" s="315"/>
      <c r="S83" s="315"/>
      <c r="T83" s="315"/>
      <c r="U83" s="315"/>
      <c r="V83" s="315"/>
      <c r="W83" s="315"/>
      <c r="X83" s="315"/>
      <c r="Y83" s="315"/>
      <c r="Z83" s="315"/>
      <c r="AA83" s="315"/>
      <c r="AB83" s="315"/>
      <c r="AC83" s="315"/>
      <c r="AD83" s="315"/>
    </row>
    <row r="84" spans="1:30" ht="25.5" customHeight="1">
      <c r="A84" s="261" t="s">
        <v>300</v>
      </c>
      <c r="B84" s="261" t="s">
        <v>233</v>
      </c>
      <c r="C84" s="265">
        <f>'07_Revenue_Drivers'!$F$11</f>
        <v>6000</v>
      </c>
      <c r="D84" s="265">
        <f>'07_Revenue_Drivers'!$G$11*SUM($D$49:$H$49)</f>
        <v>5138.9224987011858</v>
      </c>
      <c r="E84" s="415">
        <f t="shared" si="12"/>
        <v>861.07750129881424</v>
      </c>
      <c r="F84" s="416">
        <f t="shared" si="13"/>
        <v>0.16755993138959449</v>
      </c>
      <c r="G84" s="417" t="str">
        <f t="shared" si="14"/>
        <v>Favorable</v>
      </c>
      <c r="H84" s="261" t="s">
        <v>1033</v>
      </c>
      <c r="I84" s="315"/>
      <c r="J84" s="315"/>
      <c r="K84" s="315"/>
      <c r="L84" s="315"/>
      <c r="M84" s="315"/>
      <c r="N84" s="315"/>
      <c r="O84" s="315"/>
      <c r="P84" s="315"/>
      <c r="Q84" s="315"/>
      <c r="R84" s="315"/>
      <c r="S84" s="315"/>
      <c r="T84" s="315"/>
      <c r="U84" s="315"/>
      <c r="V84" s="315"/>
      <c r="W84" s="315"/>
      <c r="X84" s="315"/>
      <c r="Y84" s="315"/>
      <c r="Z84" s="315"/>
      <c r="AA84" s="315"/>
      <c r="AB84" s="315"/>
      <c r="AC84" s="315"/>
      <c r="AD84" s="315"/>
    </row>
    <row r="85" spans="1:30" ht="25.5" customHeight="1">
      <c r="A85" s="261" t="s">
        <v>1153</v>
      </c>
      <c r="B85" s="261" t="s">
        <v>233</v>
      </c>
      <c r="C85" s="265">
        <f>'06_Revenue_Drivers_Hist'!$J$51</f>
        <v>532</v>
      </c>
      <c r="D85" s="265">
        <f>('07_Revenue_Drivers'!$G$34-'07_Revenue_Drivers'!$D$34)*5/12</f>
        <v>416.66666666666669</v>
      </c>
      <c r="E85" s="415">
        <f t="shared" si="12"/>
        <v>115.33333333333331</v>
      </c>
      <c r="F85" s="416">
        <f t="shared" si="13"/>
        <v>0.27679999999999993</v>
      </c>
      <c r="G85" s="417" t="str">
        <f>IF(E85&gt;=0,"Ahead of plan","Behind plan")</f>
        <v>Ahead of plan</v>
      </c>
      <c r="H85" s="261" t="s">
        <v>1041</v>
      </c>
      <c r="I85" s="315"/>
      <c r="J85" s="315"/>
      <c r="K85" s="315"/>
      <c r="L85" s="315"/>
      <c r="M85" s="315"/>
      <c r="N85" s="315"/>
      <c r="O85" s="315"/>
      <c r="P85" s="315"/>
      <c r="Q85" s="315"/>
      <c r="R85" s="315"/>
      <c r="S85" s="315"/>
      <c r="T85" s="315"/>
      <c r="U85" s="315"/>
      <c r="V85" s="315"/>
      <c r="W85" s="315"/>
      <c r="X85" s="315"/>
      <c r="Y85" s="315"/>
      <c r="Z85" s="315"/>
      <c r="AA85" s="315"/>
      <c r="AB85" s="315"/>
      <c r="AC85" s="315"/>
      <c r="AD85" s="315"/>
    </row>
    <row r="86" spans="1:30" ht="25.5" customHeight="1">
      <c r="A86" s="261" t="s">
        <v>48</v>
      </c>
      <c r="B86" s="261" t="s">
        <v>1034</v>
      </c>
      <c r="C86" s="265">
        <f>'04_Q1_Historical_FS'!$E$24</f>
        <v>2757.5570205270001</v>
      </c>
      <c r="D86" s="265">
        <f>SUM($D$63:$F$63)</f>
        <v>2152.5785002912999</v>
      </c>
      <c r="E86" s="415">
        <f t="shared" si="12"/>
        <v>604.97852023570022</v>
      </c>
      <c r="F86" s="416">
        <f t="shared" si="13"/>
        <v>0.28104829633568806</v>
      </c>
      <c r="G86" s="417" t="str">
        <f>IF(E86&gt;=0,"Favorable","Unfavorable")</f>
        <v>Favorable</v>
      </c>
      <c r="H86" s="261" t="s">
        <v>1035</v>
      </c>
      <c r="I86" s="315"/>
      <c r="J86" s="315"/>
      <c r="K86" s="315"/>
      <c r="L86" s="315"/>
      <c r="M86" s="315"/>
      <c r="N86" s="315"/>
      <c r="O86" s="315"/>
      <c r="P86" s="315"/>
      <c r="Q86" s="315"/>
      <c r="R86" s="315"/>
      <c r="S86" s="315"/>
      <c r="T86" s="315"/>
      <c r="U86" s="315"/>
      <c r="V86" s="315"/>
      <c r="W86" s="315"/>
      <c r="X86" s="315"/>
      <c r="Y86" s="315"/>
      <c r="Z86" s="315"/>
      <c r="AA86" s="315"/>
      <c r="AB86" s="315"/>
      <c r="AC86" s="315"/>
      <c r="AD86" s="315"/>
    </row>
    <row r="87" spans="1:30" ht="25.5" customHeight="1">
      <c r="A87" s="261" t="s">
        <v>22</v>
      </c>
      <c r="B87" s="261" t="s">
        <v>1034</v>
      </c>
      <c r="C87" s="263">
        <f>'04_Q1_Historical_FS'!$E$10</f>
        <v>0.20899038924840482</v>
      </c>
      <c r="D87" s="263">
        <f>SUM($D$57:$F$57)/SUM($D$50:$F$50)</f>
        <v>0.20499999999999996</v>
      </c>
      <c r="E87" s="416">
        <f t="shared" si="12"/>
        <v>3.9903892484048631E-3</v>
      </c>
      <c r="F87" s="418">
        <f>E87*100</f>
        <v>0.39903892484048631</v>
      </c>
      <c r="G87" s="417" t="str">
        <f>IF(E87&gt;=0,"Favorable","Unfavorable")</f>
        <v>Favorable</v>
      </c>
      <c r="H87" s="261" t="s">
        <v>1035</v>
      </c>
      <c r="I87" s="315"/>
      <c r="J87" s="315"/>
      <c r="K87" s="315"/>
      <c r="L87" s="315"/>
      <c r="M87" s="315"/>
      <c r="N87" s="315"/>
      <c r="O87" s="315"/>
      <c r="P87" s="315"/>
      <c r="Q87" s="315"/>
      <c r="R87" s="315"/>
      <c r="S87" s="315"/>
      <c r="T87" s="315"/>
      <c r="U87" s="315"/>
      <c r="V87" s="315"/>
      <c r="W87" s="315"/>
      <c r="X87" s="315"/>
      <c r="Y87" s="315"/>
      <c r="Z87" s="315"/>
      <c r="AA87" s="315"/>
      <c r="AB87" s="315"/>
      <c r="AC87" s="315"/>
      <c r="AD87" s="315"/>
    </row>
    <row r="88" spans="1:30" ht="25.5" customHeight="1">
      <c r="A88" s="261" t="s">
        <v>1154</v>
      </c>
      <c r="B88" s="261" t="s">
        <v>1034</v>
      </c>
      <c r="C88" s="265">
        <f>'04_Q1_Historical_FS'!$E$16</f>
        <v>6808.0889926180007</v>
      </c>
      <c r="D88" s="265">
        <f>SUM($D$59:$F$59)+SUM($D$60:$F$60)</f>
        <v>6421.4170860148843</v>
      </c>
      <c r="E88" s="415">
        <f t="shared" si="12"/>
        <v>386.67190660311644</v>
      </c>
      <c r="F88" s="416">
        <f>IFERROR(E88/D88,0)</f>
        <v>6.0215977474075595E-2</v>
      </c>
      <c r="G88" s="417" t="str">
        <f>IF(E88&lt;=0,"Favorable","Unfavorable")</f>
        <v>Unfavorable</v>
      </c>
      <c r="H88" s="261" t="s">
        <v>1035</v>
      </c>
      <c r="I88" s="315"/>
      <c r="J88" s="315"/>
      <c r="K88" s="315"/>
      <c r="L88" s="315"/>
      <c r="M88" s="315"/>
      <c r="N88" s="315"/>
      <c r="O88" s="315"/>
      <c r="P88" s="315"/>
      <c r="Q88" s="315"/>
      <c r="R88" s="315"/>
      <c r="S88" s="315"/>
      <c r="T88" s="315"/>
      <c r="U88" s="315"/>
      <c r="V88" s="315"/>
      <c r="W88" s="315"/>
      <c r="X88" s="315"/>
      <c r="Y88" s="315"/>
      <c r="Z88" s="315"/>
      <c r="AA88" s="315"/>
      <c r="AB88" s="315"/>
      <c r="AC88" s="315"/>
      <c r="AD88" s="315"/>
    </row>
    <row r="89" spans="1:30" ht="25.5" customHeight="1">
      <c r="A89" s="261" t="s">
        <v>36</v>
      </c>
      <c r="B89" s="261" t="s">
        <v>1034</v>
      </c>
      <c r="C89" s="265">
        <f>'04_Q1_Historical_FS'!$E$17</f>
        <v>3347.1234178670002</v>
      </c>
      <c r="D89" s="265">
        <f>SUM($D$62:$F$62)</f>
        <v>2354.5195982054574</v>
      </c>
      <c r="E89" s="415">
        <f t="shared" si="12"/>
        <v>992.60381966154273</v>
      </c>
      <c r="F89" s="416">
        <f>IFERROR(E89/D89,0)</f>
        <v>0.42157381931247245</v>
      </c>
      <c r="G89" s="417" t="str">
        <f>IF(E89&gt;=0,"Favorable","Unfavorable")</f>
        <v>Favorable</v>
      </c>
      <c r="H89" s="261" t="s">
        <v>1035</v>
      </c>
      <c r="I89" s="315"/>
      <c r="J89" s="315"/>
      <c r="K89" s="315"/>
      <c r="L89" s="315"/>
      <c r="M89" s="315"/>
      <c r="N89" s="315"/>
      <c r="O89" s="315"/>
      <c r="P89" s="315"/>
      <c r="Q89" s="315"/>
      <c r="R89" s="315"/>
      <c r="S89" s="315"/>
      <c r="T89" s="315"/>
      <c r="U89" s="315"/>
      <c r="V89" s="315"/>
      <c r="W89" s="315"/>
      <c r="X89" s="315"/>
      <c r="Y89" s="315"/>
      <c r="Z89" s="315"/>
      <c r="AA89" s="315"/>
      <c r="AB89" s="315"/>
      <c r="AC89" s="315"/>
      <c r="AD89" s="315"/>
    </row>
    <row r="90" spans="1:30" ht="25.5" customHeight="1">
      <c r="A90" s="261" t="s">
        <v>63</v>
      </c>
      <c r="B90" s="261" t="s">
        <v>1034</v>
      </c>
      <c r="C90" s="265">
        <f>'04_Q1_Historical_FS'!$E$32</f>
        <v>27600.707843304001</v>
      </c>
      <c r="D90" s="265">
        <f>$F$68</f>
        <v>27763.938620394434</v>
      </c>
      <c r="E90" s="415">
        <f t="shared" si="12"/>
        <v>-163.23077709043355</v>
      </c>
      <c r="F90" s="416">
        <f>IFERROR(E90/D90,0)</f>
        <v>-5.8792370679904126E-3</v>
      </c>
      <c r="G90" s="417" t="str">
        <f>IF(E90&lt;=0,"Favorable","Watch WC")</f>
        <v>Favorable</v>
      </c>
      <c r="H90" s="261" t="s">
        <v>1035</v>
      </c>
      <c r="I90" s="315"/>
      <c r="J90" s="315"/>
      <c r="K90" s="315"/>
      <c r="L90" s="315"/>
      <c r="M90" s="315"/>
      <c r="N90" s="315"/>
      <c r="O90" s="315"/>
      <c r="P90" s="315"/>
      <c r="Q90" s="315"/>
      <c r="R90" s="315"/>
      <c r="S90" s="315"/>
      <c r="T90" s="315"/>
      <c r="U90" s="315"/>
      <c r="V90" s="315"/>
      <c r="W90" s="315"/>
      <c r="X90" s="315"/>
      <c r="Y90" s="315"/>
      <c r="Z90" s="315"/>
      <c r="AA90" s="315"/>
      <c r="AB90" s="315"/>
      <c r="AC90" s="315"/>
      <c r="AD90" s="315"/>
    </row>
    <row r="91" spans="1:30" ht="25.5" customHeight="1">
      <c r="A91" s="261" t="s">
        <v>1139</v>
      </c>
      <c r="B91" s="261" t="s">
        <v>1034</v>
      </c>
      <c r="C91" s="265">
        <f>-'04_Q1_Historical_FS'!$E$59</f>
        <v>350.14257225199998</v>
      </c>
      <c r="D91" s="265">
        <f>SUM($D$70:$F$70)</f>
        <v>513.71336688119084</v>
      </c>
      <c r="E91" s="415">
        <f t="shared" si="12"/>
        <v>-163.57079462919086</v>
      </c>
      <c r="F91" s="416">
        <f>IFERROR(E91/D91,0)</f>
        <v>-0.31840867918669657</v>
      </c>
      <c r="G91" s="417" t="str">
        <f>IF(E91&lt;=0,"Favorable","Watch capex")</f>
        <v>Favorable</v>
      </c>
      <c r="H91" s="261" t="s">
        <v>1035</v>
      </c>
      <c r="I91" s="315"/>
      <c r="J91" s="315"/>
      <c r="K91" s="315"/>
      <c r="L91" s="315"/>
      <c r="M91" s="315"/>
      <c r="N91" s="315"/>
      <c r="O91" s="315"/>
      <c r="P91" s="315"/>
      <c r="Q91" s="315"/>
      <c r="R91" s="315"/>
      <c r="S91" s="315"/>
      <c r="T91" s="315"/>
      <c r="U91" s="315"/>
      <c r="V91" s="315"/>
      <c r="W91" s="315"/>
      <c r="X91" s="315"/>
      <c r="Y91" s="315"/>
      <c r="Z91" s="315"/>
      <c r="AA91" s="315"/>
      <c r="AB91" s="315"/>
      <c r="AC91" s="315"/>
      <c r="AD91" s="315"/>
    </row>
    <row r="92" spans="1:30">
      <c r="A92" s="315"/>
      <c r="B92" s="315"/>
      <c r="C92" s="271"/>
      <c r="D92" s="271"/>
      <c r="E92" s="271"/>
      <c r="F92" s="271"/>
      <c r="G92" s="315"/>
      <c r="H92" s="315"/>
      <c r="I92" s="315"/>
      <c r="J92" s="315"/>
      <c r="K92" s="315"/>
      <c r="L92" s="315"/>
      <c r="M92" s="315"/>
      <c r="N92" s="315"/>
      <c r="O92" s="315"/>
      <c r="P92" s="315"/>
      <c r="Q92" s="315"/>
      <c r="R92" s="315"/>
      <c r="S92" s="315"/>
      <c r="T92" s="315"/>
      <c r="U92" s="315"/>
      <c r="V92" s="315"/>
      <c r="W92" s="315"/>
      <c r="X92" s="315"/>
      <c r="Y92" s="315"/>
      <c r="Z92" s="315"/>
      <c r="AA92" s="315"/>
      <c r="AB92" s="315"/>
      <c r="AC92" s="315"/>
      <c r="AD92" s="315"/>
    </row>
    <row r="93" spans="1:30">
      <c r="A93" s="315"/>
      <c r="B93" s="315"/>
      <c r="C93" s="271"/>
      <c r="D93" s="271"/>
      <c r="E93" s="271"/>
      <c r="F93" s="271"/>
      <c r="G93" s="315"/>
      <c r="H93" s="315"/>
      <c r="I93" s="315"/>
      <c r="J93" s="315"/>
      <c r="K93" s="315"/>
      <c r="L93" s="315"/>
      <c r="M93" s="315"/>
      <c r="N93" s="315"/>
      <c r="O93" s="315"/>
      <c r="P93" s="315"/>
      <c r="Q93" s="315"/>
      <c r="R93" s="315"/>
      <c r="S93" s="315"/>
      <c r="T93" s="315"/>
      <c r="U93" s="315"/>
      <c r="V93" s="315"/>
      <c r="W93" s="315"/>
      <c r="X93" s="315"/>
      <c r="Y93" s="315"/>
      <c r="Z93" s="315"/>
      <c r="AA93" s="315"/>
      <c r="AB93" s="315"/>
      <c r="AC93" s="315"/>
      <c r="AD93" s="315"/>
    </row>
    <row r="94" spans="1:30">
      <c r="A94" s="497" t="s">
        <v>1155</v>
      </c>
      <c r="B94" s="485"/>
      <c r="C94" s="485"/>
      <c r="D94" s="485"/>
      <c r="E94" s="485"/>
      <c r="F94" s="485"/>
      <c r="G94" s="485"/>
      <c r="H94" s="485"/>
      <c r="I94" s="486"/>
      <c r="J94" s="315"/>
      <c r="K94" s="315"/>
      <c r="L94" s="315"/>
      <c r="M94" s="315"/>
      <c r="N94" s="315"/>
      <c r="O94" s="315"/>
      <c r="P94" s="315"/>
      <c r="Q94" s="315"/>
      <c r="R94" s="315"/>
      <c r="S94" s="315"/>
      <c r="T94" s="315"/>
      <c r="U94" s="315"/>
      <c r="V94" s="315"/>
      <c r="W94" s="315"/>
      <c r="X94" s="315"/>
      <c r="Y94" s="315"/>
      <c r="Z94" s="315"/>
      <c r="AA94" s="315"/>
      <c r="AB94" s="315"/>
      <c r="AC94" s="315"/>
      <c r="AD94" s="315"/>
    </row>
    <row r="95" spans="1:30">
      <c r="A95" s="403" t="s">
        <v>1156</v>
      </c>
      <c r="B95" s="403" t="s">
        <v>1157</v>
      </c>
      <c r="C95" s="408" t="s">
        <v>14</v>
      </c>
      <c r="D95" s="408" t="s">
        <v>150</v>
      </c>
      <c r="E95" s="408" t="s">
        <v>640</v>
      </c>
      <c r="F95" s="408"/>
      <c r="G95" s="403"/>
      <c r="H95" s="403"/>
      <c r="I95" s="403"/>
      <c r="J95" s="315"/>
      <c r="K95" s="315"/>
      <c r="L95" s="315"/>
      <c r="M95" s="315"/>
      <c r="N95" s="315"/>
      <c r="O95" s="315"/>
      <c r="P95" s="315"/>
      <c r="Q95" s="315"/>
      <c r="R95" s="315"/>
      <c r="S95" s="315"/>
      <c r="T95" s="315"/>
      <c r="U95" s="315"/>
      <c r="V95" s="315"/>
      <c r="W95" s="315"/>
      <c r="X95" s="315"/>
      <c r="Y95" s="315"/>
      <c r="Z95" s="315"/>
      <c r="AA95" s="315"/>
      <c r="AB95" s="315"/>
      <c r="AC95" s="315"/>
      <c r="AD95" s="315"/>
    </row>
    <row r="96" spans="1:30" ht="38.25" customHeight="1">
      <c r="A96" s="404" t="s">
        <v>1158</v>
      </c>
      <c r="B96" s="404" t="s">
        <v>1159</v>
      </c>
      <c r="C96" s="414">
        <f>SUM($D$62:$F$62)</f>
        <v>2354.5195982054574</v>
      </c>
      <c r="D96" s="407" t="s">
        <v>1160</v>
      </c>
      <c r="E96" s="407" t="s">
        <v>2886</v>
      </c>
      <c r="F96" s="407"/>
      <c r="G96" s="404"/>
      <c r="H96" s="404"/>
      <c r="I96" s="404"/>
      <c r="J96" s="315"/>
      <c r="K96" s="315"/>
      <c r="L96" s="315"/>
      <c r="M96" s="315"/>
      <c r="N96" s="315"/>
      <c r="O96" s="315"/>
      <c r="P96" s="315"/>
      <c r="Q96" s="315"/>
      <c r="R96" s="315"/>
      <c r="S96" s="315"/>
      <c r="T96" s="315"/>
      <c r="U96" s="315"/>
      <c r="V96" s="315"/>
      <c r="W96" s="315"/>
      <c r="X96" s="315"/>
      <c r="Y96" s="315"/>
      <c r="Z96" s="315"/>
      <c r="AA96" s="315"/>
      <c r="AB96" s="315"/>
      <c r="AC96" s="315"/>
      <c r="AD96" s="315"/>
    </row>
    <row r="97" spans="1:30" ht="76.5" customHeight="1">
      <c r="A97" s="261" t="s">
        <v>1161</v>
      </c>
      <c r="B97" s="261" t="s">
        <v>1162</v>
      </c>
      <c r="C97" s="415">
        <f>('04_Q1_Historical_FS'!$E$7-SUM($D$50:$F$50))*(SUM($D$57:$F$57)/SUM($D$50:$F$50))</f>
        <v>748.76348126812036</v>
      </c>
      <c r="D97" s="264" t="s">
        <v>1163</v>
      </c>
      <c r="E97" s="264" t="s">
        <v>2887</v>
      </c>
      <c r="F97" s="264"/>
      <c r="G97" s="261"/>
      <c r="H97" s="261"/>
      <c r="I97" s="261"/>
      <c r="J97" s="315"/>
      <c r="K97" s="315"/>
      <c r="L97" s="315"/>
      <c r="M97" s="315"/>
      <c r="N97" s="315"/>
      <c r="O97" s="315"/>
      <c r="P97" s="315"/>
      <c r="Q97" s="315"/>
      <c r="R97" s="315"/>
      <c r="S97" s="315"/>
      <c r="T97" s="315"/>
      <c r="U97" s="315"/>
      <c r="V97" s="315"/>
      <c r="W97" s="315"/>
      <c r="X97" s="315"/>
      <c r="Y97" s="315"/>
      <c r="Z97" s="315"/>
      <c r="AA97" s="315"/>
      <c r="AB97" s="315"/>
      <c r="AC97" s="315"/>
      <c r="AD97" s="315"/>
    </row>
    <row r="98" spans="1:30" ht="63.75" customHeight="1">
      <c r="A98" s="261" t="s">
        <v>1164</v>
      </c>
      <c r="B98" s="261" t="s">
        <v>1165</v>
      </c>
      <c r="C98" s="415">
        <f>'04_Q1_Historical_FS'!$E$7*('04_Q1_Historical_FS'!$E$10-SUM($D$57:$F$57)/SUM($D$50:$F$50))</f>
        <v>185.40127382753749</v>
      </c>
      <c r="D98" s="264" t="s">
        <v>1163</v>
      </c>
      <c r="E98" s="264" t="s">
        <v>2888</v>
      </c>
      <c r="F98" s="264"/>
      <c r="G98" s="261"/>
      <c r="H98" s="261"/>
      <c r="I98" s="261"/>
      <c r="J98" s="315"/>
      <c r="K98" s="315"/>
      <c r="L98" s="315"/>
      <c r="M98" s="315"/>
      <c r="N98" s="315"/>
      <c r="O98" s="315"/>
      <c r="P98" s="315"/>
      <c r="Q98" s="315"/>
      <c r="R98" s="315"/>
      <c r="S98" s="315"/>
      <c r="T98" s="315"/>
      <c r="U98" s="315"/>
      <c r="V98" s="315"/>
      <c r="W98" s="315"/>
      <c r="X98" s="315"/>
      <c r="Y98" s="315"/>
      <c r="Z98" s="315"/>
      <c r="AA98" s="315"/>
      <c r="AB98" s="315"/>
      <c r="AC98" s="315"/>
      <c r="AD98" s="315"/>
    </row>
    <row r="99" spans="1:30" ht="76.5" customHeight="1">
      <c r="A99" s="261" t="s">
        <v>1166</v>
      </c>
      <c r="B99" s="261" t="s">
        <v>1167</v>
      </c>
      <c r="C99" s="415">
        <f>-('04_Q1_Historical_FS'!$E$16-(SUM($D$59:$F$59)+SUM($D$60:$F$60)))</f>
        <v>-386.67190660311644</v>
      </c>
      <c r="D99" s="264" t="s">
        <v>1163</v>
      </c>
      <c r="E99" s="264" t="s">
        <v>2889</v>
      </c>
      <c r="F99" s="264"/>
      <c r="G99" s="261"/>
      <c r="H99" s="261"/>
      <c r="I99" s="261"/>
      <c r="J99" s="315"/>
      <c r="K99" s="315"/>
      <c r="L99" s="315"/>
      <c r="M99" s="315"/>
      <c r="N99" s="315"/>
      <c r="O99" s="315"/>
      <c r="P99" s="315"/>
      <c r="Q99" s="315"/>
      <c r="R99" s="315"/>
      <c r="S99" s="315"/>
      <c r="T99" s="315"/>
      <c r="U99" s="315"/>
      <c r="V99" s="315"/>
      <c r="W99" s="315"/>
      <c r="X99" s="315"/>
      <c r="Y99" s="315"/>
      <c r="Z99" s="315"/>
      <c r="AA99" s="315"/>
      <c r="AB99" s="315"/>
      <c r="AC99" s="315"/>
      <c r="AD99" s="315"/>
    </row>
    <row r="100" spans="1:30" ht="89.25" customHeight="1">
      <c r="A100" s="261" t="s">
        <v>1168</v>
      </c>
      <c r="B100" s="261" t="s">
        <v>1169</v>
      </c>
      <c r="C100" s="415">
        <f>'04_Q1_Historical_FS'!$E$17-SUM(C96:C99)</f>
        <v>445.11097116900146</v>
      </c>
      <c r="D100" s="264" t="s">
        <v>24</v>
      </c>
      <c r="E100" s="264" t="s">
        <v>2890</v>
      </c>
      <c r="F100" s="264"/>
      <c r="G100" s="261"/>
      <c r="H100" s="261"/>
      <c r="I100" s="261"/>
      <c r="J100" s="315"/>
      <c r="K100" s="315"/>
      <c r="L100" s="315"/>
      <c r="M100" s="315"/>
      <c r="N100" s="315"/>
      <c r="O100" s="315"/>
      <c r="P100" s="315"/>
      <c r="Q100" s="315"/>
      <c r="R100" s="315"/>
      <c r="S100" s="315"/>
      <c r="T100" s="315"/>
      <c r="U100" s="315"/>
      <c r="V100" s="315"/>
      <c r="W100" s="315"/>
      <c r="X100" s="315"/>
      <c r="Y100" s="315"/>
      <c r="Z100" s="315"/>
      <c r="AA100" s="315"/>
      <c r="AB100" s="315"/>
      <c r="AC100" s="315"/>
      <c r="AD100" s="315"/>
    </row>
    <row r="101" spans="1:30" ht="38.25" customHeight="1">
      <c r="A101" s="404" t="s">
        <v>1170</v>
      </c>
      <c r="B101" s="404" t="s">
        <v>1171</v>
      </c>
      <c r="C101" s="414">
        <f>'04_Q1_Historical_FS'!$E$17</f>
        <v>3347.1234178670002</v>
      </c>
      <c r="D101" s="407" t="s">
        <v>1035</v>
      </c>
      <c r="E101" s="407" t="s">
        <v>2891</v>
      </c>
      <c r="F101" s="407"/>
      <c r="G101" s="404"/>
      <c r="H101" s="404"/>
      <c r="I101" s="404"/>
      <c r="J101" s="315"/>
      <c r="K101" s="315"/>
      <c r="L101" s="315"/>
      <c r="M101" s="315"/>
      <c r="N101" s="315"/>
      <c r="O101" s="315"/>
      <c r="P101" s="315"/>
      <c r="Q101" s="315"/>
      <c r="R101" s="315"/>
      <c r="S101" s="315"/>
      <c r="T101" s="315"/>
      <c r="U101" s="315"/>
      <c r="V101" s="315"/>
      <c r="W101" s="315"/>
      <c r="X101" s="315"/>
      <c r="Y101" s="315"/>
      <c r="Z101" s="315"/>
      <c r="AA101" s="315"/>
      <c r="AB101" s="315"/>
      <c r="AC101" s="315"/>
      <c r="AD101" s="315"/>
    </row>
    <row r="102" spans="1:30" ht="25.5" customHeight="1">
      <c r="A102" s="404" t="s">
        <v>1172</v>
      </c>
      <c r="B102" s="404" t="s">
        <v>1173</v>
      </c>
      <c r="C102" s="414">
        <f>SUM(C96:C100)-C101</f>
        <v>0</v>
      </c>
      <c r="D102" s="407" t="s">
        <v>24</v>
      </c>
      <c r="E102" s="407" t="s">
        <v>2892</v>
      </c>
      <c r="F102" s="407"/>
      <c r="G102" s="404"/>
      <c r="H102" s="404"/>
      <c r="I102" s="404"/>
      <c r="J102" s="315"/>
      <c r="K102" s="315"/>
      <c r="L102" s="315"/>
      <c r="M102" s="315"/>
      <c r="N102" s="315"/>
      <c r="O102" s="315"/>
      <c r="P102" s="315"/>
      <c r="Q102" s="315"/>
      <c r="R102" s="315"/>
      <c r="S102" s="315"/>
      <c r="T102" s="315"/>
      <c r="U102" s="315"/>
      <c r="V102" s="315"/>
      <c r="W102" s="315"/>
      <c r="X102" s="315"/>
      <c r="Y102" s="315"/>
      <c r="Z102" s="315"/>
      <c r="AA102" s="315"/>
      <c r="AB102" s="315"/>
      <c r="AC102" s="315"/>
      <c r="AD102" s="315"/>
    </row>
    <row r="103" spans="1:30">
      <c r="A103" s="315"/>
      <c r="B103" s="315"/>
      <c r="C103" s="271"/>
      <c r="D103" s="271"/>
      <c r="E103" s="271"/>
      <c r="F103" s="271"/>
      <c r="G103" s="315"/>
      <c r="H103" s="315"/>
      <c r="I103" s="315"/>
      <c r="J103" s="315"/>
      <c r="K103" s="315"/>
      <c r="L103" s="315"/>
      <c r="M103" s="315"/>
      <c r="N103" s="315"/>
      <c r="O103" s="315"/>
      <c r="P103" s="315"/>
      <c r="Q103" s="315"/>
      <c r="R103" s="315"/>
      <c r="S103" s="315"/>
      <c r="T103" s="315"/>
      <c r="U103" s="315"/>
      <c r="V103" s="315"/>
      <c r="W103" s="315"/>
      <c r="X103" s="315"/>
      <c r="Y103" s="315"/>
      <c r="Z103" s="315"/>
      <c r="AA103" s="315"/>
      <c r="AB103" s="315"/>
      <c r="AC103" s="315"/>
      <c r="AD103" s="315"/>
    </row>
    <row r="104" spans="1:30">
      <c r="A104" s="315"/>
      <c r="B104" s="315"/>
      <c r="C104" s="271"/>
      <c r="D104" s="271"/>
      <c r="E104" s="271"/>
      <c r="F104" s="271"/>
      <c r="G104" s="315"/>
      <c r="H104" s="315"/>
      <c r="I104" s="315"/>
      <c r="J104" s="315"/>
      <c r="K104" s="315"/>
      <c r="L104" s="315"/>
      <c r="M104" s="315"/>
      <c r="N104" s="315"/>
      <c r="O104" s="315"/>
      <c r="P104" s="315"/>
      <c r="Q104" s="315"/>
      <c r="R104" s="315"/>
      <c r="S104" s="315"/>
      <c r="T104" s="315"/>
      <c r="U104" s="315"/>
      <c r="V104" s="315"/>
      <c r="W104" s="315"/>
      <c r="X104" s="315"/>
      <c r="Y104" s="315"/>
      <c r="Z104" s="315"/>
      <c r="AA104" s="315"/>
      <c r="AB104" s="315"/>
      <c r="AC104" s="315"/>
      <c r="AD104" s="315"/>
    </row>
    <row r="105" spans="1:30">
      <c r="A105" s="497" t="s">
        <v>134</v>
      </c>
      <c r="B105" s="485"/>
      <c r="C105" s="485"/>
      <c r="D105" s="485"/>
      <c r="E105" s="485"/>
      <c r="F105" s="485"/>
      <c r="G105" s="485"/>
      <c r="H105" s="485"/>
      <c r="I105" s="486"/>
      <c r="J105" s="315"/>
      <c r="K105" s="315"/>
      <c r="L105" s="315"/>
      <c r="M105" s="315"/>
      <c r="N105" s="315"/>
      <c r="O105" s="315"/>
      <c r="P105" s="315"/>
      <c r="Q105" s="315"/>
      <c r="R105" s="315"/>
      <c r="S105" s="315"/>
      <c r="T105" s="315"/>
      <c r="U105" s="315"/>
      <c r="V105" s="315"/>
      <c r="W105" s="315"/>
      <c r="X105" s="315"/>
      <c r="Y105" s="315"/>
      <c r="Z105" s="315"/>
      <c r="AA105" s="315"/>
      <c r="AB105" s="315"/>
      <c r="AC105" s="315"/>
      <c r="AD105" s="315"/>
    </row>
    <row r="106" spans="1:30" ht="25.5" customHeight="1">
      <c r="A106" s="403" t="s">
        <v>427</v>
      </c>
      <c r="B106" s="403" t="s">
        <v>1174</v>
      </c>
      <c r="C106" s="408" t="s">
        <v>335</v>
      </c>
      <c r="D106" s="408" t="s">
        <v>336</v>
      </c>
      <c r="E106" s="408" t="s">
        <v>1175</v>
      </c>
      <c r="F106" s="408" t="s">
        <v>871</v>
      </c>
      <c r="G106" s="403"/>
      <c r="H106" s="403"/>
      <c r="I106" s="403"/>
      <c r="J106" s="315"/>
      <c r="K106" s="315"/>
      <c r="L106" s="315"/>
      <c r="M106" s="315"/>
      <c r="N106" s="315"/>
      <c r="O106" s="315"/>
      <c r="P106" s="315"/>
      <c r="Q106" s="315"/>
      <c r="R106" s="315"/>
      <c r="S106" s="315"/>
      <c r="T106" s="315"/>
      <c r="U106" s="315"/>
      <c r="V106" s="315"/>
      <c r="W106" s="315"/>
      <c r="X106" s="315"/>
      <c r="Y106" s="315"/>
      <c r="Z106" s="315"/>
      <c r="AA106" s="315"/>
      <c r="AB106" s="315"/>
      <c r="AC106" s="315"/>
      <c r="AD106" s="315"/>
    </row>
    <row r="107" spans="1:30" ht="89.25" customHeight="1">
      <c r="A107" s="261" t="s">
        <v>1176</v>
      </c>
      <c r="B107" s="428">
        <f>SUM($D$40:$O$40)-1</f>
        <v>0</v>
      </c>
      <c r="C107" s="429">
        <v>1E-4</v>
      </c>
      <c r="D107" s="270" t="str">
        <f t="shared" ref="D107:D112" si="15">IF(ABS(B107)&lt;=C107,"OK","CHECK")</f>
        <v>OK</v>
      </c>
      <c r="E107" s="264" t="s">
        <v>1177</v>
      </c>
      <c r="F107" s="264" t="s">
        <v>2893</v>
      </c>
      <c r="G107" s="261"/>
      <c r="H107" s="261"/>
      <c r="I107" s="261"/>
      <c r="J107" s="315"/>
      <c r="K107" s="315"/>
      <c r="L107" s="315"/>
      <c r="M107" s="315"/>
      <c r="N107" s="315"/>
      <c r="O107" s="315"/>
      <c r="P107" s="315"/>
      <c r="Q107" s="315"/>
      <c r="R107" s="315"/>
      <c r="S107" s="315"/>
      <c r="T107" s="315"/>
      <c r="U107" s="315"/>
      <c r="V107" s="315"/>
      <c r="W107" s="315"/>
      <c r="X107" s="315"/>
      <c r="Y107" s="315"/>
      <c r="Z107" s="315"/>
      <c r="AA107" s="315"/>
      <c r="AB107" s="315"/>
      <c r="AC107" s="315"/>
      <c r="AD107" s="315"/>
    </row>
    <row r="108" spans="1:30" ht="63.75" customHeight="1">
      <c r="A108" s="261" t="s">
        <v>1178</v>
      </c>
      <c r="B108" s="428">
        <f>$AB$50</f>
        <v>0</v>
      </c>
      <c r="C108" s="429">
        <v>1</v>
      </c>
      <c r="D108" s="270" t="str">
        <f t="shared" si="15"/>
        <v>OK</v>
      </c>
      <c r="E108" s="264" t="s">
        <v>1179</v>
      </c>
      <c r="F108" s="264" t="s">
        <v>2894</v>
      </c>
      <c r="G108" s="261"/>
      <c r="H108" s="261"/>
      <c r="I108" s="261"/>
      <c r="J108" s="315"/>
      <c r="K108" s="315"/>
      <c r="L108" s="315"/>
      <c r="M108" s="315"/>
      <c r="N108" s="315"/>
      <c r="O108" s="315"/>
      <c r="P108" s="315"/>
      <c r="Q108" s="315"/>
      <c r="R108" s="315"/>
      <c r="S108" s="315"/>
      <c r="T108" s="315"/>
      <c r="U108" s="315"/>
      <c r="V108" s="315"/>
      <c r="W108" s="315"/>
      <c r="X108" s="315"/>
      <c r="Y108" s="315"/>
      <c r="Z108" s="315"/>
      <c r="AA108" s="315"/>
      <c r="AB108" s="315"/>
      <c r="AC108" s="315"/>
      <c r="AD108" s="315"/>
    </row>
    <row r="109" spans="1:30" ht="63.75" customHeight="1">
      <c r="A109" s="261" t="s">
        <v>1180</v>
      </c>
      <c r="B109" s="428">
        <f>$AC$50</f>
        <v>0</v>
      </c>
      <c r="C109" s="429">
        <v>1</v>
      </c>
      <c r="D109" s="270" t="str">
        <f t="shared" si="15"/>
        <v>OK</v>
      </c>
      <c r="E109" s="264" t="s">
        <v>1179</v>
      </c>
      <c r="F109" s="264" t="s">
        <v>2895</v>
      </c>
      <c r="G109" s="261"/>
      <c r="H109" s="261"/>
      <c r="I109" s="261"/>
      <c r="J109" s="315"/>
      <c r="K109" s="315"/>
      <c r="L109" s="315"/>
      <c r="M109" s="315"/>
      <c r="N109" s="315"/>
      <c r="O109" s="315"/>
      <c r="P109" s="315"/>
      <c r="Q109" s="315"/>
      <c r="R109" s="315"/>
      <c r="S109" s="315"/>
      <c r="T109" s="315"/>
      <c r="U109" s="315"/>
      <c r="V109" s="315"/>
      <c r="W109" s="315"/>
      <c r="X109" s="315"/>
      <c r="Y109" s="315"/>
      <c r="Z109" s="315"/>
      <c r="AA109" s="315"/>
      <c r="AB109" s="315"/>
      <c r="AC109" s="315"/>
      <c r="AD109" s="315"/>
    </row>
    <row r="110" spans="1:30" ht="63.75" customHeight="1">
      <c r="A110" s="261" t="s">
        <v>1181</v>
      </c>
      <c r="B110" s="428">
        <f>$AB$63</f>
        <v>0</v>
      </c>
      <c r="C110" s="429">
        <v>1</v>
      </c>
      <c r="D110" s="270" t="str">
        <f t="shared" si="15"/>
        <v>OK</v>
      </c>
      <c r="E110" s="264" t="s">
        <v>1182</v>
      </c>
      <c r="F110" s="264" t="s">
        <v>2896</v>
      </c>
      <c r="G110" s="261"/>
      <c r="H110" s="261"/>
      <c r="I110" s="261"/>
      <c r="J110" s="315"/>
      <c r="K110" s="315"/>
      <c r="L110" s="315"/>
      <c r="M110" s="315"/>
      <c r="N110" s="315"/>
      <c r="O110" s="315"/>
      <c r="P110" s="315"/>
      <c r="Q110" s="315"/>
      <c r="R110" s="315"/>
      <c r="S110" s="315"/>
      <c r="T110" s="315"/>
      <c r="U110" s="315"/>
      <c r="V110" s="315"/>
      <c r="W110" s="315"/>
      <c r="X110" s="315"/>
      <c r="Y110" s="315"/>
      <c r="Z110" s="315"/>
      <c r="AA110" s="315"/>
      <c r="AB110" s="315"/>
      <c r="AC110" s="315"/>
      <c r="AD110" s="315"/>
    </row>
    <row r="111" spans="1:30" ht="63.75" customHeight="1">
      <c r="A111" s="261" t="s">
        <v>1183</v>
      </c>
      <c r="B111" s="428">
        <f>$AC$63</f>
        <v>0</v>
      </c>
      <c r="C111" s="429">
        <v>1</v>
      </c>
      <c r="D111" s="270" t="str">
        <f t="shared" si="15"/>
        <v>OK</v>
      </c>
      <c r="E111" s="264" t="s">
        <v>1182</v>
      </c>
      <c r="F111" s="264" t="s">
        <v>2897</v>
      </c>
      <c r="G111" s="261"/>
      <c r="H111" s="261"/>
      <c r="I111" s="261"/>
      <c r="J111" s="315"/>
      <c r="K111" s="315"/>
      <c r="L111" s="315"/>
      <c r="M111" s="315"/>
      <c r="N111" s="315"/>
      <c r="O111" s="315"/>
      <c r="P111" s="315"/>
      <c r="Q111" s="315"/>
      <c r="R111" s="315"/>
      <c r="S111" s="315"/>
      <c r="T111" s="315"/>
      <c r="U111" s="315"/>
      <c r="V111" s="315"/>
      <c r="W111" s="315"/>
      <c r="X111" s="315"/>
      <c r="Y111" s="315"/>
      <c r="Z111" s="315"/>
      <c r="AA111" s="315"/>
      <c r="AB111" s="315"/>
      <c r="AC111" s="315"/>
      <c r="AD111" s="315"/>
    </row>
    <row r="112" spans="1:30" ht="51" customHeight="1">
      <c r="A112" s="261" t="s">
        <v>1184</v>
      </c>
      <c r="B112" s="428">
        <f>$C$102</f>
        <v>0</v>
      </c>
      <c r="C112" s="429">
        <v>1</v>
      </c>
      <c r="D112" s="270" t="str">
        <f t="shared" si="15"/>
        <v>OK</v>
      </c>
      <c r="E112" s="264" t="s">
        <v>1185</v>
      </c>
      <c r="F112" s="264" t="s">
        <v>2898</v>
      </c>
      <c r="G112" s="261"/>
      <c r="H112" s="261"/>
      <c r="I112" s="261"/>
      <c r="J112" s="315"/>
      <c r="K112" s="315"/>
      <c r="L112" s="315"/>
      <c r="M112" s="315"/>
      <c r="N112" s="315"/>
      <c r="O112" s="315"/>
      <c r="P112" s="315"/>
      <c r="Q112" s="315"/>
      <c r="R112" s="315"/>
      <c r="S112" s="315"/>
      <c r="T112" s="315"/>
      <c r="U112" s="315"/>
      <c r="V112" s="315"/>
      <c r="W112" s="315"/>
      <c r="X112" s="315"/>
      <c r="Y112" s="315"/>
      <c r="Z112" s="315"/>
      <c r="AA112" s="315"/>
      <c r="AB112" s="315"/>
      <c r="AC112" s="315"/>
      <c r="AD112" s="315"/>
    </row>
    <row r="113" spans="1:30" ht="89.25" customHeight="1">
      <c r="A113" s="261" t="s">
        <v>1186</v>
      </c>
      <c r="B113" s="261">
        <v>0</v>
      </c>
      <c r="C113" s="264">
        <v>0</v>
      </c>
      <c r="D113" s="270" t="s">
        <v>817</v>
      </c>
      <c r="E113" s="264" t="s">
        <v>1187</v>
      </c>
      <c r="F113" s="264" t="s">
        <v>2899</v>
      </c>
      <c r="G113" s="261"/>
      <c r="H113" s="261"/>
      <c r="I113" s="261"/>
      <c r="J113" s="315"/>
      <c r="K113" s="315"/>
      <c r="L113" s="315"/>
      <c r="M113" s="315"/>
      <c r="N113" s="315"/>
      <c r="O113" s="315"/>
      <c r="P113" s="315"/>
      <c r="Q113" s="315"/>
      <c r="R113" s="315"/>
      <c r="S113" s="315"/>
      <c r="T113" s="315"/>
      <c r="U113" s="315"/>
      <c r="V113" s="315"/>
      <c r="W113" s="315"/>
      <c r="X113" s="315"/>
      <c r="Y113" s="315"/>
      <c r="Z113" s="315"/>
      <c r="AA113" s="315"/>
      <c r="AB113" s="315"/>
      <c r="AC113" s="315"/>
      <c r="AD113" s="315"/>
    </row>
    <row r="114" spans="1:30" ht="102" customHeight="1">
      <c r="A114" s="404" t="s">
        <v>1188</v>
      </c>
      <c r="B114" s="404">
        <f>COUNTIF(D107:D113,"CHECK")</f>
        <v>0</v>
      </c>
      <c r="C114" s="407"/>
      <c r="D114" s="407" t="str">
        <f>IF(B114=0,"PASS","FAIL")</f>
        <v>PASS</v>
      </c>
      <c r="E114" s="407" t="s">
        <v>1189</v>
      </c>
      <c r="F114" s="407" t="s">
        <v>2900</v>
      </c>
      <c r="G114" s="404"/>
      <c r="H114" s="404"/>
      <c r="I114" s="404"/>
      <c r="J114" s="315"/>
      <c r="K114" s="315"/>
      <c r="L114" s="315"/>
      <c r="M114" s="315"/>
      <c r="N114" s="315"/>
      <c r="O114" s="315"/>
      <c r="P114" s="315"/>
      <c r="Q114" s="315"/>
      <c r="R114" s="315"/>
      <c r="S114" s="315"/>
      <c r="T114" s="315"/>
      <c r="U114" s="315"/>
      <c r="V114" s="315"/>
      <c r="W114" s="315"/>
      <c r="X114" s="315"/>
      <c r="Y114" s="315"/>
      <c r="Z114" s="315"/>
      <c r="AA114" s="315"/>
      <c r="AB114" s="315"/>
      <c r="AC114" s="315"/>
      <c r="AD114" s="315"/>
    </row>
    <row r="119" spans="1:30" ht="14.25" customHeight="1">
      <c r="A119" s="503" t="s">
        <v>1190</v>
      </c>
      <c r="B119" s="452"/>
      <c r="C119" s="452"/>
      <c r="D119" s="452"/>
      <c r="E119" s="452"/>
      <c r="F119" s="452"/>
      <c r="G119" s="452"/>
      <c r="H119" s="452"/>
      <c r="I119" s="452"/>
      <c r="J119" s="452"/>
      <c r="K119" s="452"/>
      <c r="L119" s="452"/>
      <c r="M119" s="452"/>
      <c r="N119" s="452"/>
      <c r="O119" s="452"/>
      <c r="P119" s="452"/>
      <c r="Q119" s="452"/>
    </row>
    <row r="120" spans="1:30" ht="14.25" customHeight="1">
      <c r="A120" s="504" t="s">
        <v>2901</v>
      </c>
      <c r="B120" s="452"/>
      <c r="C120" s="452"/>
      <c r="D120" s="452"/>
      <c r="E120" s="452"/>
      <c r="F120" s="452"/>
      <c r="G120" s="452"/>
      <c r="H120" s="452"/>
      <c r="I120" s="452"/>
      <c r="J120" s="452"/>
      <c r="K120" s="452"/>
      <c r="L120" s="452"/>
      <c r="M120" s="452"/>
      <c r="N120" s="452"/>
      <c r="O120" s="452"/>
      <c r="P120" s="452"/>
      <c r="Q120" s="452"/>
    </row>
    <row r="121" spans="1:30" ht="14.25" customHeight="1">
      <c r="A121" s="430" t="s">
        <v>3</v>
      </c>
      <c r="B121" s="430" t="s">
        <v>4</v>
      </c>
      <c r="C121" s="430" t="s">
        <v>394</v>
      </c>
      <c r="D121" s="430" t="s">
        <v>1090</v>
      </c>
      <c r="E121" s="430" t="s">
        <v>1091</v>
      </c>
      <c r="F121" s="430" t="s">
        <v>1092</v>
      </c>
      <c r="G121" s="430" t="s">
        <v>1093</v>
      </c>
      <c r="H121" s="430" t="s">
        <v>1094</v>
      </c>
      <c r="I121" s="430" t="s">
        <v>1095</v>
      </c>
      <c r="J121" s="430" t="s">
        <v>1096</v>
      </c>
      <c r="K121" s="430" t="s">
        <v>1097</v>
      </c>
      <c r="L121" s="430" t="s">
        <v>1098</v>
      </c>
      <c r="M121" s="430" t="s">
        <v>1099</v>
      </c>
      <c r="N121" s="430" t="s">
        <v>1100</v>
      </c>
      <c r="O121" s="430" t="s">
        <v>1101</v>
      </c>
      <c r="P121" s="430" t="s">
        <v>427</v>
      </c>
    </row>
    <row r="122" spans="1:30" ht="14.25" customHeight="1">
      <c r="A122" s="431" t="s">
        <v>1191</v>
      </c>
      <c r="B122" s="431" t="s">
        <v>14</v>
      </c>
      <c r="C122" s="431" t="s">
        <v>1192</v>
      </c>
      <c r="D122" s="432"/>
      <c r="E122" s="432">
        <v>19010</v>
      </c>
      <c r="F122" s="432">
        <v>26990</v>
      </c>
      <c r="G122" s="432">
        <v>36847</v>
      </c>
      <c r="H122" s="432">
        <v>47114</v>
      </c>
      <c r="I122" s="432">
        <v>56570</v>
      </c>
      <c r="J122" s="432">
        <v>66490</v>
      </c>
      <c r="K122" s="432">
        <v>76455</v>
      </c>
      <c r="L122" s="432">
        <v>86858</v>
      </c>
      <c r="M122" s="432">
        <v>98046</v>
      </c>
      <c r="N122" s="432">
        <v>107954</v>
      </c>
      <c r="O122" s="432">
        <v>118280</v>
      </c>
      <c r="P122" s="432">
        <f>O122</f>
        <v>118280</v>
      </c>
    </row>
    <row r="123" spans="1:30" ht="14.25" customHeight="1">
      <c r="A123" s="431" t="s">
        <v>1193</v>
      </c>
      <c r="B123" s="431" t="s">
        <v>14</v>
      </c>
      <c r="C123" s="431" t="s">
        <v>1194</v>
      </c>
      <c r="D123" s="432"/>
      <c r="E123" s="432">
        <v>21613</v>
      </c>
      <c r="F123" s="432">
        <v>31441</v>
      </c>
      <c r="G123" s="432">
        <v>43039</v>
      </c>
      <c r="H123" s="432">
        <v>54240</v>
      </c>
      <c r="I123" s="432">
        <v>65621</v>
      </c>
      <c r="J123" s="432">
        <v>76541</v>
      </c>
      <c r="K123" s="432">
        <v>87967</v>
      </c>
      <c r="L123" s="432">
        <v>99767</v>
      </c>
      <c r="M123" s="432">
        <v>111353</v>
      </c>
      <c r="N123" s="432">
        <v>122298</v>
      </c>
      <c r="O123" s="432">
        <v>134341</v>
      </c>
      <c r="P123" s="432">
        <f>O123</f>
        <v>134341</v>
      </c>
    </row>
    <row r="124" spans="1:30" ht="14.25" customHeight="1">
      <c r="A124" s="431" t="s">
        <v>1195</v>
      </c>
      <c r="B124" s="431" t="s">
        <v>14</v>
      </c>
      <c r="C124" s="431" t="s">
        <v>1196</v>
      </c>
      <c r="D124" s="432"/>
      <c r="E124" s="432">
        <v>24524</v>
      </c>
      <c r="F124" s="432">
        <v>36091</v>
      </c>
      <c r="G124" s="432">
        <v>48635</v>
      </c>
      <c r="H124" s="432">
        <v>61229</v>
      </c>
      <c r="I124" s="432">
        <v>73655</v>
      </c>
      <c r="J124" s="432">
        <v>86507</v>
      </c>
      <c r="K124" s="432">
        <v>99801</v>
      </c>
      <c r="L124" s="432">
        <v>113436</v>
      </c>
      <c r="M124" s="432">
        <v>128289</v>
      </c>
      <c r="N124" s="432">
        <v>142302</v>
      </c>
      <c r="O124" s="432">
        <v>156166</v>
      </c>
      <c r="P124" s="432">
        <f>O124</f>
        <v>156166</v>
      </c>
    </row>
    <row r="125" spans="1:30" ht="14.25" customHeight="1">
      <c r="A125" s="433" t="s">
        <v>1197</v>
      </c>
      <c r="B125" s="433" t="s">
        <v>23</v>
      </c>
      <c r="C125" s="433" t="s">
        <v>1198</v>
      </c>
      <c r="D125" s="434">
        <v>0.54838709677419351</v>
      </c>
      <c r="E125" s="434">
        <v>0.45161290322580649</v>
      </c>
      <c r="F125" s="434"/>
      <c r="G125" s="434"/>
      <c r="H125" s="434"/>
      <c r="I125" s="434"/>
      <c r="J125" s="434"/>
      <c r="K125" s="434"/>
      <c r="L125" s="434"/>
      <c r="M125" s="434"/>
      <c r="N125" s="434"/>
      <c r="O125" s="434"/>
      <c r="P125" s="434">
        <f>D125+E125</f>
        <v>1</v>
      </c>
    </row>
    <row r="126" spans="1:30" ht="14.25" customHeight="1">
      <c r="A126" s="435" t="s">
        <v>1199</v>
      </c>
      <c r="B126" s="435" t="s">
        <v>14</v>
      </c>
      <c r="C126" s="435" t="s">
        <v>1200</v>
      </c>
      <c r="D126" s="436">
        <f>E122*$D$125</f>
        <v>10424.838709677419</v>
      </c>
      <c r="E126" s="436">
        <f>E122*$E$125</f>
        <v>8585.1612903225814</v>
      </c>
      <c r="F126" s="436">
        <f t="shared" ref="F126:O128" si="16">F122-E122</f>
        <v>7980</v>
      </c>
      <c r="G126" s="436">
        <f t="shared" si="16"/>
        <v>9857</v>
      </c>
      <c r="H126" s="436">
        <f t="shared" si="16"/>
        <v>10267</v>
      </c>
      <c r="I126" s="436">
        <f t="shared" si="16"/>
        <v>9456</v>
      </c>
      <c r="J126" s="436">
        <f t="shared" si="16"/>
        <v>9920</v>
      </c>
      <c r="K126" s="436">
        <f t="shared" si="16"/>
        <v>9965</v>
      </c>
      <c r="L126" s="436">
        <f t="shared" si="16"/>
        <v>10403</v>
      </c>
      <c r="M126" s="436">
        <f t="shared" si="16"/>
        <v>11188</v>
      </c>
      <c r="N126" s="436">
        <f t="shared" si="16"/>
        <v>9908</v>
      </c>
      <c r="O126" s="436">
        <f t="shared" si="16"/>
        <v>10326</v>
      </c>
      <c r="P126" s="436">
        <f>SUM(D126:O126)-O122</f>
        <v>0</v>
      </c>
    </row>
    <row r="127" spans="1:30" ht="14.25" customHeight="1">
      <c r="A127" s="435" t="s">
        <v>1201</v>
      </c>
      <c r="B127" s="435" t="s">
        <v>14</v>
      </c>
      <c r="C127" s="435" t="s">
        <v>1200</v>
      </c>
      <c r="D127" s="436">
        <f>E123*$D$125</f>
        <v>11852.290322580644</v>
      </c>
      <c r="E127" s="436">
        <f>E123*$E$125</f>
        <v>9760.709677419356</v>
      </c>
      <c r="F127" s="436">
        <f t="shared" si="16"/>
        <v>9828</v>
      </c>
      <c r="G127" s="436">
        <f t="shared" si="16"/>
        <v>11598</v>
      </c>
      <c r="H127" s="436">
        <f t="shared" si="16"/>
        <v>11201</v>
      </c>
      <c r="I127" s="436">
        <f t="shared" si="16"/>
        <v>11381</v>
      </c>
      <c r="J127" s="436">
        <f t="shared" si="16"/>
        <v>10920</v>
      </c>
      <c r="K127" s="436">
        <f t="shared" si="16"/>
        <v>11426</v>
      </c>
      <c r="L127" s="436">
        <f t="shared" si="16"/>
        <v>11800</v>
      </c>
      <c r="M127" s="436">
        <f t="shared" si="16"/>
        <v>11586</v>
      </c>
      <c r="N127" s="436">
        <f t="shared" si="16"/>
        <v>10945</v>
      </c>
      <c r="O127" s="436">
        <f t="shared" si="16"/>
        <v>12043</v>
      </c>
      <c r="P127" s="436">
        <f>SUM(D127:O127)-O123</f>
        <v>0</v>
      </c>
    </row>
    <row r="128" spans="1:30" ht="14.25" customHeight="1">
      <c r="A128" s="435" t="s">
        <v>1202</v>
      </c>
      <c r="B128" s="435" t="s">
        <v>14</v>
      </c>
      <c r="C128" s="435" t="s">
        <v>1200</v>
      </c>
      <c r="D128" s="436">
        <f>E124*$D$125</f>
        <v>13448.645161290322</v>
      </c>
      <c r="E128" s="436">
        <f>E124*$E$125</f>
        <v>11075.354838709678</v>
      </c>
      <c r="F128" s="436">
        <f t="shared" si="16"/>
        <v>11567</v>
      </c>
      <c r="G128" s="436">
        <f t="shared" si="16"/>
        <v>12544</v>
      </c>
      <c r="H128" s="436">
        <f t="shared" si="16"/>
        <v>12594</v>
      </c>
      <c r="I128" s="436">
        <f t="shared" si="16"/>
        <v>12426</v>
      </c>
      <c r="J128" s="436">
        <f t="shared" si="16"/>
        <v>12852</v>
      </c>
      <c r="K128" s="436">
        <f t="shared" si="16"/>
        <v>13294</v>
      </c>
      <c r="L128" s="436">
        <f t="shared" si="16"/>
        <v>13635</v>
      </c>
      <c r="M128" s="436">
        <f t="shared" si="16"/>
        <v>14853</v>
      </c>
      <c r="N128" s="436">
        <f t="shared" si="16"/>
        <v>14013</v>
      </c>
      <c r="O128" s="436">
        <f t="shared" si="16"/>
        <v>13864</v>
      </c>
      <c r="P128" s="436">
        <f>SUM(D128:O128)-O124</f>
        <v>0</v>
      </c>
    </row>
    <row r="129" spans="1:17" ht="14.25" customHeight="1">
      <c r="A129" s="435" t="s">
        <v>1203</v>
      </c>
      <c r="B129" s="435" t="s">
        <v>23</v>
      </c>
      <c r="C129" s="435" t="s">
        <v>1204</v>
      </c>
      <c r="D129" s="437">
        <f t="shared" ref="D129:O129" si="17">D126/$O$122</f>
        <v>8.8136952229264612E-2</v>
      </c>
      <c r="E129" s="437">
        <f t="shared" si="17"/>
        <v>7.2583372424100276E-2</v>
      </c>
      <c r="F129" s="437">
        <f t="shared" si="17"/>
        <v>6.7467027392627665E-2</v>
      </c>
      <c r="G129" s="437">
        <f t="shared" si="17"/>
        <v>8.3336151504903616E-2</v>
      </c>
      <c r="H129" s="437">
        <f t="shared" si="17"/>
        <v>8.6802502536354409E-2</v>
      </c>
      <c r="I129" s="437">
        <f t="shared" si="17"/>
        <v>7.9945891105850528E-2</v>
      </c>
      <c r="J129" s="437">
        <f t="shared" si="17"/>
        <v>8.386878593168752E-2</v>
      </c>
      <c r="K129" s="437">
        <f t="shared" si="17"/>
        <v>8.4249239093676029E-2</v>
      </c>
      <c r="L129" s="437">
        <f t="shared" si="17"/>
        <v>8.795231653703077E-2</v>
      </c>
      <c r="M129" s="437">
        <f t="shared" si="17"/>
        <v>9.4589110585052413E-2</v>
      </c>
      <c r="N129" s="437">
        <f t="shared" si="17"/>
        <v>8.3767331755157257E-2</v>
      </c>
      <c r="O129" s="437">
        <f t="shared" si="17"/>
        <v>8.7301318904294892E-2</v>
      </c>
      <c r="P129" s="437">
        <f>SUM(D129:O129)</f>
        <v>1</v>
      </c>
    </row>
    <row r="130" spans="1:17" ht="14.25" customHeight="1">
      <c r="A130" s="435" t="s">
        <v>1205</v>
      </c>
      <c r="B130" s="435" t="s">
        <v>23</v>
      </c>
      <c r="C130" s="435" t="s">
        <v>1204</v>
      </c>
      <c r="D130" s="437">
        <f t="shared" ref="D130:O130" si="18">D127/$O$123</f>
        <v>8.8225413854152071E-2</v>
      </c>
      <c r="E130" s="437">
        <f t="shared" si="18"/>
        <v>7.2656223174007606E-2</v>
      </c>
      <c r="F130" s="437">
        <f t="shared" si="18"/>
        <v>7.3157115102612011E-2</v>
      </c>
      <c r="G130" s="437">
        <f t="shared" si="18"/>
        <v>8.6332541815231395E-2</v>
      </c>
      <c r="H130" s="437">
        <f t="shared" si="18"/>
        <v>8.3377375484773822E-2</v>
      </c>
      <c r="I130" s="437">
        <f t="shared" si="18"/>
        <v>8.4717249387752061E-2</v>
      </c>
      <c r="J130" s="437">
        <f t="shared" si="18"/>
        <v>8.1285683447346671E-2</v>
      </c>
      <c r="K130" s="437">
        <f t="shared" si="18"/>
        <v>8.5052217863496621E-2</v>
      </c>
      <c r="L130" s="437">
        <f t="shared" si="18"/>
        <v>8.7836178084129191E-2</v>
      </c>
      <c r="M130" s="437">
        <f t="shared" si="18"/>
        <v>8.624321688836617E-2</v>
      </c>
      <c r="N130" s="437">
        <f t="shared" si="18"/>
        <v>8.1471777044982541E-2</v>
      </c>
      <c r="O130" s="437">
        <f t="shared" si="18"/>
        <v>8.9645007853149813E-2</v>
      </c>
      <c r="P130" s="437">
        <f>SUM(D130:O130)</f>
        <v>1</v>
      </c>
    </row>
    <row r="131" spans="1:17" ht="14.25" customHeight="1">
      <c r="A131" s="435" t="s">
        <v>1206</v>
      </c>
      <c r="B131" s="435" t="s">
        <v>23</v>
      </c>
      <c r="C131" s="435" t="s">
        <v>1204</v>
      </c>
      <c r="D131" s="437">
        <f t="shared" ref="D131:O131" si="19">D128/$O$124</f>
        <v>8.6117625867924652E-2</v>
      </c>
      <c r="E131" s="437">
        <f t="shared" si="19"/>
        <v>7.0920397773585012E-2</v>
      </c>
      <c r="F131" s="437">
        <f t="shared" si="19"/>
        <v>7.4068619289730159E-2</v>
      </c>
      <c r="G131" s="437">
        <f t="shared" si="19"/>
        <v>8.0324782603127448E-2</v>
      </c>
      <c r="H131" s="437">
        <f t="shared" si="19"/>
        <v>8.0644954727661589E-2</v>
      </c>
      <c r="I131" s="437">
        <f t="shared" si="19"/>
        <v>7.9569176389226851E-2</v>
      </c>
      <c r="J131" s="437">
        <f t="shared" si="19"/>
        <v>8.2297042890257799E-2</v>
      </c>
      <c r="K131" s="437">
        <f t="shared" si="19"/>
        <v>8.512736447113968E-2</v>
      </c>
      <c r="L131" s="437">
        <f t="shared" si="19"/>
        <v>8.7310938360462581E-2</v>
      </c>
      <c r="M131" s="437">
        <f t="shared" si="19"/>
        <v>9.5110331314114463E-2</v>
      </c>
      <c r="N131" s="437">
        <f t="shared" si="19"/>
        <v>8.9731439621940759E-2</v>
      </c>
      <c r="O131" s="437">
        <f t="shared" si="19"/>
        <v>8.8777326690828995E-2</v>
      </c>
      <c r="P131" s="437">
        <f>SUM(D131:O131)</f>
        <v>1</v>
      </c>
    </row>
    <row r="132" spans="1:17" ht="14.25" customHeight="1">
      <c r="A132" s="433" t="s">
        <v>1207</v>
      </c>
      <c r="B132" s="433" t="s">
        <v>23</v>
      </c>
      <c r="C132" s="433" t="s">
        <v>1208</v>
      </c>
      <c r="D132" s="434">
        <v>0.2</v>
      </c>
      <c r="E132" s="434">
        <v>0.2</v>
      </c>
      <c r="F132" s="434">
        <v>0.2</v>
      </c>
      <c r="G132" s="434">
        <v>0.2</v>
      </c>
      <c r="H132" s="434">
        <v>0.2</v>
      </c>
      <c r="I132" s="434">
        <v>0.2</v>
      </c>
      <c r="J132" s="434">
        <v>0.2</v>
      </c>
      <c r="K132" s="434">
        <v>0.2</v>
      </c>
      <c r="L132" s="434">
        <v>0.2</v>
      </c>
      <c r="M132" s="434">
        <v>0.2</v>
      </c>
      <c r="N132" s="434">
        <v>0.2</v>
      </c>
      <c r="O132" s="434">
        <v>0.2</v>
      </c>
      <c r="P132" s="434">
        <f>D132</f>
        <v>0.2</v>
      </c>
    </row>
    <row r="133" spans="1:17" ht="14.25" customHeight="1">
      <c r="A133" s="433" t="s">
        <v>1209</v>
      </c>
      <c r="B133" s="433" t="s">
        <v>23</v>
      </c>
      <c r="C133" s="433" t="s">
        <v>1208</v>
      </c>
      <c r="D133" s="434">
        <v>0.3</v>
      </c>
      <c r="E133" s="434">
        <v>0.3</v>
      </c>
      <c r="F133" s="434">
        <v>0.3</v>
      </c>
      <c r="G133" s="434">
        <v>0.3</v>
      </c>
      <c r="H133" s="434">
        <v>0.3</v>
      </c>
      <c r="I133" s="434">
        <v>0.3</v>
      </c>
      <c r="J133" s="434">
        <v>0.3</v>
      </c>
      <c r="K133" s="434">
        <v>0.3</v>
      </c>
      <c r="L133" s="434">
        <v>0.3</v>
      </c>
      <c r="M133" s="434">
        <v>0.3</v>
      </c>
      <c r="N133" s="434">
        <v>0.3</v>
      </c>
      <c r="O133" s="434">
        <v>0.3</v>
      </c>
      <c r="P133" s="434">
        <f>D133</f>
        <v>0.3</v>
      </c>
    </row>
    <row r="134" spans="1:17" ht="14.25" customHeight="1">
      <c r="A134" s="433" t="s">
        <v>1210</v>
      </c>
      <c r="B134" s="433" t="s">
        <v>23</v>
      </c>
      <c r="C134" s="433" t="s">
        <v>2902</v>
      </c>
      <c r="D134" s="434">
        <v>0.5</v>
      </c>
      <c r="E134" s="434">
        <v>0.5</v>
      </c>
      <c r="F134" s="434">
        <v>0.5</v>
      </c>
      <c r="G134" s="434">
        <v>0.5</v>
      </c>
      <c r="H134" s="434">
        <v>0.5</v>
      </c>
      <c r="I134" s="434">
        <v>0.5</v>
      </c>
      <c r="J134" s="434">
        <v>0.5</v>
      </c>
      <c r="K134" s="434">
        <v>0.5</v>
      </c>
      <c r="L134" s="434">
        <v>0.5</v>
      </c>
      <c r="M134" s="434">
        <v>0.5</v>
      </c>
      <c r="N134" s="434">
        <v>0.5</v>
      </c>
      <c r="O134" s="434">
        <v>0.5</v>
      </c>
      <c r="P134" s="434">
        <f>D132+D133+D134</f>
        <v>1</v>
      </c>
    </row>
    <row r="135" spans="1:17" ht="14.25" customHeight="1">
      <c r="A135" s="435" t="s">
        <v>1211</v>
      </c>
      <c r="B135" s="435" t="s">
        <v>23</v>
      </c>
      <c r="C135" s="435" t="s">
        <v>1212</v>
      </c>
      <c r="D135" s="437">
        <f t="shared" ref="D135:O135" si="20">D129*D132+D130*D133+D131*D134</f>
        <v>8.7153827536060866E-2</v>
      </c>
      <c r="E135" s="437">
        <f t="shared" si="20"/>
        <v>7.1773740323814839E-2</v>
      </c>
      <c r="F135" s="437">
        <f t="shared" si="20"/>
        <v>7.2474849654174223E-2</v>
      </c>
      <c r="G135" s="437">
        <f t="shared" si="20"/>
        <v>8.2729384147113866E-2</v>
      </c>
      <c r="H135" s="437">
        <f t="shared" si="20"/>
        <v>8.2696190516533818E-2</v>
      </c>
      <c r="I135" s="437">
        <f t="shared" si="20"/>
        <v>8.1188941232109152E-2</v>
      </c>
      <c r="J135" s="437">
        <f t="shared" si="20"/>
        <v>8.2307983665670409E-2</v>
      </c>
      <c r="K135" s="437">
        <f t="shared" si="20"/>
        <v>8.4929195413354031E-2</v>
      </c>
      <c r="L135" s="437">
        <f t="shared" si="20"/>
        <v>8.7596785912876202E-2</v>
      </c>
      <c r="M135" s="437">
        <f t="shared" si="20"/>
        <v>9.2345952840577561E-2</v>
      </c>
      <c r="N135" s="437">
        <f t="shared" si="20"/>
        <v>8.6060719275496592E-2</v>
      </c>
      <c r="O135" s="437">
        <f t="shared" si="20"/>
        <v>8.8742429482218416E-2</v>
      </c>
      <c r="P135" s="437">
        <f>SUM(D135:O135)</f>
        <v>1</v>
      </c>
    </row>
    <row r="136" spans="1:17" ht="14.25" customHeight="1">
      <c r="A136" s="438" t="s">
        <v>1213</v>
      </c>
      <c r="B136" s="438" t="s">
        <v>23</v>
      </c>
      <c r="C136" s="438" t="s">
        <v>1214</v>
      </c>
      <c r="D136" s="439">
        <f t="shared" ref="D136:O136" si="21">D135/$P$135</f>
        <v>8.7153827536060866E-2</v>
      </c>
      <c r="E136" s="439">
        <f t="shared" si="21"/>
        <v>7.1773740323814839E-2</v>
      </c>
      <c r="F136" s="439">
        <f t="shared" si="21"/>
        <v>7.2474849654174223E-2</v>
      </c>
      <c r="G136" s="439">
        <f t="shared" si="21"/>
        <v>8.2729384147113866E-2</v>
      </c>
      <c r="H136" s="439">
        <f t="shared" si="21"/>
        <v>8.2696190516533818E-2</v>
      </c>
      <c r="I136" s="439">
        <f t="shared" si="21"/>
        <v>8.1188941232109152E-2</v>
      </c>
      <c r="J136" s="439">
        <f t="shared" si="21"/>
        <v>8.2307983665670409E-2</v>
      </c>
      <c r="K136" s="439">
        <f t="shared" si="21"/>
        <v>8.4929195413354031E-2</v>
      </c>
      <c r="L136" s="439">
        <f t="shared" si="21"/>
        <v>8.7596785912876202E-2</v>
      </c>
      <c r="M136" s="439">
        <f t="shared" si="21"/>
        <v>9.2345952840577561E-2</v>
      </c>
      <c r="N136" s="439">
        <f t="shared" si="21"/>
        <v>8.6060719275496592E-2</v>
      </c>
      <c r="O136" s="439">
        <f t="shared" si="21"/>
        <v>8.8742429482218416E-2</v>
      </c>
      <c r="P136" s="439">
        <f>SUM(D136:O136)</f>
        <v>1</v>
      </c>
    </row>
    <row r="138" spans="1:17" ht="14.25" customHeight="1">
      <c r="A138" s="502" t="s">
        <v>2903</v>
      </c>
      <c r="B138" s="452"/>
      <c r="C138" s="452"/>
      <c r="D138" s="452"/>
      <c r="E138" s="452"/>
      <c r="F138" s="452"/>
      <c r="G138" s="452"/>
      <c r="H138" s="452"/>
      <c r="I138" s="452"/>
      <c r="J138" s="452"/>
      <c r="K138" s="452"/>
      <c r="L138" s="452"/>
      <c r="M138" s="452"/>
      <c r="N138" s="452"/>
      <c r="O138" s="452"/>
      <c r="P138" s="452"/>
      <c r="Q138" s="452"/>
    </row>
    <row r="139" spans="1:17" ht="14.25" customHeight="1">
      <c r="A139" s="500" t="s">
        <v>2904</v>
      </c>
      <c r="B139" s="452"/>
      <c r="C139" s="452"/>
      <c r="D139" s="452"/>
      <c r="E139" s="452"/>
      <c r="F139" s="452"/>
      <c r="G139" s="452"/>
      <c r="H139" s="452"/>
      <c r="I139" s="452"/>
      <c r="J139" s="452"/>
      <c r="K139" s="452"/>
      <c r="L139" s="452"/>
      <c r="M139" s="452"/>
      <c r="N139" s="452"/>
      <c r="O139" s="452"/>
      <c r="P139" s="452"/>
      <c r="Q139" s="452"/>
    </row>
    <row r="140" spans="1:17" ht="14.25" customHeight="1">
      <c r="A140" s="1"/>
      <c r="B140" s="1"/>
      <c r="C140" s="1"/>
      <c r="D140" s="1"/>
      <c r="E140" s="1"/>
      <c r="F140" s="1"/>
      <c r="G140" s="1"/>
      <c r="H140" s="1"/>
      <c r="I140" s="1"/>
      <c r="J140" s="1"/>
      <c r="K140" s="1"/>
      <c r="L140" s="1"/>
      <c r="M140" s="1"/>
      <c r="N140" s="1"/>
      <c r="O140" s="1"/>
      <c r="P140" s="1"/>
      <c r="Q140" s="1"/>
    </row>
    <row r="141" spans="1:17" ht="14.25" customHeight="1">
      <c r="A141" s="440" t="s">
        <v>3</v>
      </c>
      <c r="B141" s="440" t="s">
        <v>4</v>
      </c>
      <c r="C141" s="440" t="s">
        <v>394</v>
      </c>
      <c r="D141" s="440" t="s">
        <v>1090</v>
      </c>
      <c r="E141" s="440" t="s">
        <v>1091</v>
      </c>
      <c r="F141" s="440" t="s">
        <v>1092</v>
      </c>
      <c r="G141" s="440" t="s">
        <v>1093</v>
      </c>
      <c r="H141" s="440" t="s">
        <v>1094</v>
      </c>
      <c r="I141" s="440" t="s">
        <v>1095</v>
      </c>
      <c r="J141" s="440" t="s">
        <v>1096</v>
      </c>
      <c r="K141" s="440" t="s">
        <v>1097</v>
      </c>
      <c r="L141" s="440" t="s">
        <v>1098</v>
      </c>
      <c r="M141" s="440" t="s">
        <v>1099</v>
      </c>
      <c r="N141" s="440" t="s">
        <v>1100</v>
      </c>
      <c r="O141" s="440" t="s">
        <v>1101</v>
      </c>
      <c r="P141" s="440" t="s">
        <v>1215</v>
      </c>
      <c r="Q141" s="440" t="s">
        <v>1216</v>
      </c>
    </row>
    <row r="142" spans="1:17" ht="27" customHeight="1">
      <c r="A142" s="273" t="s">
        <v>1217</v>
      </c>
      <c r="B142" s="273" t="s">
        <v>261</v>
      </c>
      <c r="C142" s="273" t="s">
        <v>1218</v>
      </c>
      <c r="D142" s="274"/>
      <c r="E142" s="274">
        <v>199</v>
      </c>
      <c r="F142" s="274">
        <v>280</v>
      </c>
      <c r="G142" s="274">
        <v>403</v>
      </c>
      <c r="H142" s="274">
        <f>'06_Revenue_Drivers_Hist'!$J$51</f>
        <v>532</v>
      </c>
      <c r="I142" s="274"/>
      <c r="J142" s="274"/>
      <c r="K142" s="274"/>
      <c r="L142" s="274"/>
      <c r="M142" s="274"/>
      <c r="N142" s="274"/>
      <c r="O142" s="274"/>
      <c r="P142" s="274">
        <f>MAX($D$142:$O$142)</f>
        <v>532</v>
      </c>
      <c r="Q142" s="273" t="s">
        <v>2905</v>
      </c>
    </row>
    <row r="143" spans="1:17" ht="27" customHeight="1">
      <c r="A143" s="273" t="s">
        <v>1219</v>
      </c>
      <c r="B143" s="273" t="s">
        <v>261</v>
      </c>
      <c r="C143" s="273" t="s">
        <v>1220</v>
      </c>
      <c r="D143" s="274"/>
      <c r="E143" s="274"/>
      <c r="F143" s="274"/>
      <c r="G143" s="274"/>
      <c r="H143" s="274">
        <v>410</v>
      </c>
      <c r="I143" s="274">
        <v>414</v>
      </c>
      <c r="J143" s="274">
        <v>434</v>
      </c>
      <c r="K143" s="274">
        <v>463</v>
      </c>
      <c r="L143" s="274">
        <v>520</v>
      </c>
      <c r="M143" s="274">
        <v>600</v>
      </c>
      <c r="N143" s="274">
        <v>721</v>
      </c>
      <c r="O143" s="274">
        <f>'06_Revenue_Drivers_Hist'!$H$51</f>
        <v>789</v>
      </c>
      <c r="P143" s="274">
        <f>$O$143</f>
        <v>789</v>
      </c>
      <c r="Q143" s="273" t="s">
        <v>2906</v>
      </c>
    </row>
    <row r="144" spans="1:17" ht="27" customHeight="1">
      <c r="A144" s="273" t="s">
        <v>1221</v>
      </c>
      <c r="B144" s="273" t="s">
        <v>23</v>
      </c>
      <c r="C144" s="273" t="s">
        <v>1222</v>
      </c>
      <c r="D144" s="275"/>
      <c r="E144" s="275"/>
      <c r="F144" s="275"/>
      <c r="G144" s="275"/>
      <c r="H144" s="275"/>
      <c r="I144" s="275">
        <f t="shared" ref="I144:O144" si="22">IFERROR((I143-H143)/($O$143-$H$143),0)</f>
        <v>1.0554089709762533E-2</v>
      </c>
      <c r="J144" s="275">
        <f t="shared" si="22"/>
        <v>5.2770448548812667E-2</v>
      </c>
      <c r="K144" s="275">
        <f t="shared" si="22"/>
        <v>7.6517150395778361E-2</v>
      </c>
      <c r="L144" s="275">
        <f t="shared" si="22"/>
        <v>0.15039577836411611</v>
      </c>
      <c r="M144" s="275">
        <f t="shared" si="22"/>
        <v>0.21108179419525067</v>
      </c>
      <c r="N144" s="275">
        <f t="shared" si="22"/>
        <v>0.31926121372031663</v>
      </c>
      <c r="O144" s="275">
        <f t="shared" si="22"/>
        <v>0.17941952506596306</v>
      </c>
      <c r="P144" s="276">
        <f>SUM(I144:O144)</f>
        <v>0.99999999999999989</v>
      </c>
      <c r="Q144" s="273" t="s">
        <v>2907</v>
      </c>
    </row>
    <row r="145" spans="1:17" ht="27" customHeight="1">
      <c r="A145" s="273" t="s">
        <v>1223</v>
      </c>
      <c r="B145" s="273" t="s">
        <v>23</v>
      </c>
      <c r="C145" s="273" t="s">
        <v>1224</v>
      </c>
      <c r="D145" s="310">
        <v>0.5</v>
      </c>
      <c r="E145" s="310">
        <v>0.5</v>
      </c>
      <c r="F145" s="275"/>
      <c r="G145" s="275"/>
      <c r="H145" s="275"/>
      <c r="I145" s="275"/>
      <c r="J145" s="275"/>
      <c r="K145" s="275"/>
      <c r="L145" s="275"/>
      <c r="M145" s="275"/>
      <c r="N145" s="275"/>
      <c r="O145" s="275"/>
      <c r="P145" s="276">
        <f>SUM(D145:E145)</f>
        <v>1</v>
      </c>
      <c r="Q145" s="273" t="s">
        <v>2908</v>
      </c>
    </row>
    <row r="146" spans="1:17" ht="27" customHeight="1">
      <c r="A146" s="273" t="s">
        <v>1225</v>
      </c>
      <c r="B146" s="273" t="s">
        <v>261</v>
      </c>
      <c r="C146" s="273" t="s">
        <v>1226</v>
      </c>
      <c r="D146" s="277"/>
      <c r="E146" s="277"/>
      <c r="F146" s="277"/>
      <c r="G146" s="277"/>
      <c r="H146" s="277"/>
      <c r="I146" s="277"/>
      <c r="J146" s="277"/>
      <c r="K146" s="277"/>
      <c r="L146" s="277"/>
      <c r="M146" s="277"/>
      <c r="N146" s="277"/>
      <c r="O146" s="277"/>
      <c r="P146" s="278">
        <f>('07_Revenue_Drivers'!$G$34-'07_Revenue_Drivers'!$D$34)</f>
        <v>1000</v>
      </c>
      <c r="Q146" s="273" t="s">
        <v>2909</v>
      </c>
    </row>
    <row r="147" spans="1:17" ht="27" customHeight="1">
      <c r="A147" s="273" t="s">
        <v>1227</v>
      </c>
      <c r="B147" s="273" t="s">
        <v>261</v>
      </c>
      <c r="C147" s="273" t="s">
        <v>1228</v>
      </c>
      <c r="D147" s="277"/>
      <c r="E147" s="277"/>
      <c r="F147" s="277"/>
      <c r="G147" s="277"/>
      <c r="H147" s="277"/>
      <c r="I147" s="277"/>
      <c r="J147" s="277"/>
      <c r="K147" s="277"/>
      <c r="L147" s="277"/>
      <c r="M147" s="277"/>
      <c r="N147" s="277"/>
      <c r="O147" s="277"/>
      <c r="P147" s="278">
        <f>$P$146-$H$142</f>
        <v>468</v>
      </c>
      <c r="Q147" s="273" t="s">
        <v>2910</v>
      </c>
    </row>
    <row r="148" spans="1:17" ht="27" customHeight="1">
      <c r="A148" s="273" t="s">
        <v>1229</v>
      </c>
      <c r="B148" s="273" t="s">
        <v>261</v>
      </c>
      <c r="C148" s="273" t="s">
        <v>1230</v>
      </c>
      <c r="D148" s="279">
        <f>$E$142*D145</f>
        <v>99.5</v>
      </c>
      <c r="E148" s="279">
        <f>$E$142*E145</f>
        <v>99.5</v>
      </c>
      <c r="F148" s="279">
        <f>F142-E142</f>
        <v>81</v>
      </c>
      <c r="G148" s="279">
        <f>G142-F142</f>
        <v>123</v>
      </c>
      <c r="H148" s="279">
        <f>H142-G142</f>
        <v>129</v>
      </c>
      <c r="I148" s="279">
        <f t="shared" ref="I148:O148" si="23">$P$147*I144</f>
        <v>4.9393139841688649</v>
      </c>
      <c r="J148" s="279">
        <f t="shared" si="23"/>
        <v>24.696569920844329</v>
      </c>
      <c r="K148" s="279">
        <f t="shared" si="23"/>
        <v>35.810026385224276</v>
      </c>
      <c r="L148" s="279">
        <f t="shared" si="23"/>
        <v>70.38522427440634</v>
      </c>
      <c r="M148" s="279">
        <f t="shared" si="23"/>
        <v>98.786279683377316</v>
      </c>
      <c r="N148" s="279">
        <f t="shared" si="23"/>
        <v>149.41424802110819</v>
      </c>
      <c r="O148" s="279">
        <f t="shared" si="23"/>
        <v>83.968337730870715</v>
      </c>
      <c r="P148" s="279">
        <f>SUM(D148:O148)</f>
        <v>1000.0000000000001</v>
      </c>
      <c r="Q148" s="273" t="s">
        <v>2911</v>
      </c>
    </row>
    <row r="149" spans="1:17" ht="27" customHeight="1">
      <c r="A149" s="273" t="s">
        <v>1231</v>
      </c>
      <c r="B149" s="273" t="s">
        <v>261</v>
      </c>
      <c r="C149" s="273" t="s">
        <v>1232</v>
      </c>
      <c r="D149" s="279"/>
      <c r="E149" s="279"/>
      <c r="F149" s="279"/>
      <c r="G149" s="279"/>
      <c r="H149" s="279"/>
      <c r="I149" s="279"/>
      <c r="J149" s="279"/>
      <c r="K149" s="279"/>
      <c r="L149" s="279"/>
      <c r="M149" s="279"/>
      <c r="N149" s="279"/>
      <c r="O149" s="279"/>
      <c r="P149" s="311">
        <f>$P$148-$P$146</f>
        <v>0</v>
      </c>
      <c r="Q149" s="273" t="s">
        <v>2912</v>
      </c>
    </row>
    <row r="150" spans="1:17" ht="27" customHeight="1">
      <c r="A150" s="273"/>
      <c r="B150" s="273"/>
      <c r="C150" s="273"/>
      <c r="D150" s="277"/>
      <c r="E150" s="277"/>
      <c r="F150" s="277"/>
      <c r="G150" s="277"/>
      <c r="H150" s="277"/>
      <c r="I150" s="277"/>
      <c r="J150" s="277"/>
      <c r="K150" s="277"/>
      <c r="L150" s="277"/>
      <c r="M150" s="277"/>
      <c r="N150" s="277"/>
      <c r="O150" s="277"/>
      <c r="P150" s="277"/>
      <c r="Q150" s="273"/>
    </row>
    <row r="151" spans="1:17" ht="27" customHeight="1">
      <c r="A151" s="441" t="s">
        <v>1233</v>
      </c>
      <c r="B151" s="441" t="s">
        <v>23</v>
      </c>
      <c r="C151" s="441" t="s">
        <v>1234</v>
      </c>
      <c r="D151" s="442">
        <f t="shared" ref="D151:O151" si="24">IFERROR(D$148/$P$146,0)</f>
        <v>9.9500000000000005E-2</v>
      </c>
      <c r="E151" s="442">
        <f t="shared" si="24"/>
        <v>9.9500000000000005E-2</v>
      </c>
      <c r="F151" s="442">
        <f t="shared" si="24"/>
        <v>8.1000000000000003E-2</v>
      </c>
      <c r="G151" s="442">
        <f t="shared" si="24"/>
        <v>0.123</v>
      </c>
      <c r="H151" s="442">
        <f t="shared" si="24"/>
        <v>0.129</v>
      </c>
      <c r="I151" s="442">
        <f t="shared" si="24"/>
        <v>4.9393139841688652E-3</v>
      </c>
      <c r="J151" s="442">
        <f t="shared" si="24"/>
        <v>2.4696569920844329E-2</v>
      </c>
      <c r="K151" s="442">
        <f t="shared" si="24"/>
        <v>3.5810026385224278E-2</v>
      </c>
      <c r="L151" s="442">
        <f t="shared" si="24"/>
        <v>7.0385224274406341E-2</v>
      </c>
      <c r="M151" s="442">
        <f t="shared" si="24"/>
        <v>9.8786279683377318E-2</v>
      </c>
      <c r="N151" s="442">
        <f t="shared" si="24"/>
        <v>0.1494142480211082</v>
      </c>
      <c r="O151" s="442">
        <f t="shared" si="24"/>
        <v>8.3968337730870715E-2</v>
      </c>
      <c r="P151" s="442">
        <f>SUM(D151:O151)</f>
        <v>1</v>
      </c>
      <c r="Q151" s="441" t="s">
        <v>2913</v>
      </c>
    </row>
    <row r="152" spans="1:17" ht="14.25" customHeight="1">
      <c r="A152" s="1"/>
      <c r="B152" s="1"/>
      <c r="C152" s="1"/>
      <c r="D152" s="1"/>
      <c r="E152" s="1"/>
      <c r="F152" s="1"/>
      <c r="G152" s="1"/>
      <c r="H152" s="1"/>
      <c r="I152" s="1"/>
      <c r="J152" s="1"/>
      <c r="K152" s="1"/>
      <c r="L152" s="1"/>
      <c r="M152" s="1"/>
      <c r="N152" s="1"/>
      <c r="O152" s="1"/>
      <c r="P152" s="1"/>
      <c r="Q152" s="1"/>
    </row>
    <row r="153" spans="1:17" ht="24" customHeight="1"/>
    <row r="154" spans="1:17" ht="14.4">
      <c r="A154" s="501" t="s">
        <v>1235</v>
      </c>
      <c r="B154" s="452"/>
      <c r="C154" s="452"/>
      <c r="D154" s="452"/>
      <c r="E154" s="452"/>
      <c r="F154" s="452"/>
      <c r="G154" s="452"/>
      <c r="H154" s="452"/>
      <c r="I154" s="452"/>
      <c r="J154" s="452"/>
      <c r="K154" s="452"/>
      <c r="L154" s="452"/>
      <c r="M154" s="452"/>
      <c r="N154" s="452"/>
      <c r="O154" s="452"/>
      <c r="P154" s="452"/>
      <c r="Q154" s="452"/>
    </row>
  </sheetData>
  <mergeCells count="14">
    <mergeCell ref="A4:I4"/>
    <mergeCell ref="A44:AD44"/>
    <mergeCell ref="A119:Q119"/>
    <mergeCell ref="A120:Q120"/>
    <mergeCell ref="A1:AD1"/>
    <mergeCell ref="A17:I17"/>
    <mergeCell ref="A37:O37"/>
    <mergeCell ref="A2:AD2"/>
    <mergeCell ref="A105:I105"/>
    <mergeCell ref="A139:Q139"/>
    <mergeCell ref="A154:Q154"/>
    <mergeCell ref="A77:I77"/>
    <mergeCell ref="A94:I94"/>
    <mergeCell ref="A138:Q13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45"/>
  <sheetViews>
    <sheetView showGridLines="0" topLeftCell="B1" workbookViewId="0">
      <selection sqref="A1:O1"/>
    </sheetView>
  </sheetViews>
  <sheetFormatPr defaultRowHeight="13.8"/>
  <cols>
    <col min="1" max="1" width="22" customWidth="1"/>
    <col min="2" max="2" width="34" customWidth="1"/>
    <col min="3" max="3" width="18" customWidth="1"/>
    <col min="4" max="13" width="14" customWidth="1"/>
    <col min="14" max="14" width="34" customWidth="1"/>
    <col min="15" max="15" width="48" customWidth="1"/>
  </cols>
  <sheetData>
    <row r="1" spans="1:15" ht="15" customHeight="1">
      <c r="A1" s="466" t="s">
        <v>1236</v>
      </c>
      <c r="B1" s="467"/>
      <c r="C1" s="467"/>
      <c r="D1" s="467"/>
      <c r="E1" s="467"/>
      <c r="F1" s="467"/>
      <c r="G1" s="467"/>
      <c r="H1" s="467"/>
      <c r="I1" s="467"/>
      <c r="J1" s="467"/>
      <c r="K1" s="467"/>
      <c r="L1" s="467"/>
      <c r="M1" s="467"/>
      <c r="N1" s="467"/>
      <c r="O1" s="468"/>
    </row>
    <row r="2" spans="1:15" ht="14.4">
      <c r="A2" s="469"/>
      <c r="B2" s="470"/>
      <c r="C2" s="470"/>
      <c r="D2" s="470"/>
      <c r="E2" s="470"/>
      <c r="F2" s="470"/>
      <c r="G2" s="470"/>
      <c r="H2" s="470"/>
      <c r="I2" s="470"/>
      <c r="J2" s="470"/>
      <c r="K2" s="470"/>
      <c r="L2" s="470"/>
      <c r="M2" s="470"/>
      <c r="N2" s="470"/>
      <c r="O2" s="465"/>
    </row>
    <row r="3" spans="1:15">
      <c r="A3" s="25"/>
      <c r="B3" s="26"/>
      <c r="C3" s="26"/>
      <c r="D3" s="26"/>
      <c r="E3" s="26"/>
      <c r="F3" s="26"/>
      <c r="G3" s="26"/>
      <c r="H3" s="26"/>
      <c r="I3" s="26"/>
      <c r="J3" s="26"/>
      <c r="K3" s="26"/>
      <c r="L3" s="26"/>
      <c r="M3" s="26"/>
      <c r="N3" s="26"/>
      <c r="O3" s="28"/>
    </row>
    <row r="4" spans="1:15" ht="15" customHeight="1">
      <c r="A4" s="326" t="s">
        <v>2</v>
      </c>
      <c r="B4" s="326" t="s">
        <v>3</v>
      </c>
      <c r="C4" s="326" t="s">
        <v>4</v>
      </c>
      <c r="D4" s="326" t="s">
        <v>5</v>
      </c>
      <c r="E4" s="326" t="s">
        <v>6</v>
      </c>
      <c r="F4" s="326" t="s">
        <v>7</v>
      </c>
      <c r="G4" s="326" t="s">
        <v>8</v>
      </c>
      <c r="H4" s="326" t="s">
        <v>9</v>
      </c>
      <c r="I4" s="326" t="s">
        <v>294</v>
      </c>
      <c r="J4" s="326" t="s">
        <v>295</v>
      </c>
      <c r="K4" s="326" t="s">
        <v>296</v>
      </c>
      <c r="L4" s="326" t="s">
        <v>297</v>
      </c>
      <c r="M4" s="326" t="s">
        <v>298</v>
      </c>
      <c r="N4" s="326" t="s">
        <v>394</v>
      </c>
      <c r="O4" s="326" t="s">
        <v>395</v>
      </c>
    </row>
    <row r="5" spans="1:15" ht="15" customHeight="1">
      <c r="A5" s="352" t="s">
        <v>1237</v>
      </c>
      <c r="B5" s="327"/>
      <c r="C5" s="327"/>
      <c r="D5" s="353"/>
      <c r="E5" s="353"/>
      <c r="F5" s="353"/>
      <c r="G5" s="353"/>
      <c r="H5" s="353"/>
      <c r="I5" s="353"/>
      <c r="J5" s="353"/>
      <c r="K5" s="353"/>
      <c r="L5" s="353"/>
      <c r="M5" s="353"/>
      <c r="N5" s="327"/>
      <c r="O5" s="356"/>
    </row>
    <row r="6" spans="1:15">
      <c r="A6" s="25" t="s">
        <v>17</v>
      </c>
      <c r="B6" s="26" t="s">
        <v>17</v>
      </c>
      <c r="C6" s="26" t="s">
        <v>14</v>
      </c>
      <c r="D6" s="33"/>
      <c r="E6" s="33"/>
      <c r="F6" s="33"/>
      <c r="G6" s="33"/>
      <c r="H6" s="33"/>
      <c r="I6" s="38">
        <f>'12_Income_Statement'!I6-'07_Revenue_Drivers'!G8</f>
        <v>0</v>
      </c>
      <c r="J6" s="38">
        <f>'12_Income_Statement'!J6-'07_Revenue_Drivers'!H8</f>
        <v>0</v>
      </c>
      <c r="K6" s="38">
        <f>'12_Income_Statement'!K6-'07_Revenue_Drivers'!I8</f>
        <v>0</v>
      </c>
      <c r="L6" s="38">
        <f>'12_Income_Statement'!L6-'07_Revenue_Drivers'!J8</f>
        <v>0</v>
      </c>
      <c r="M6" s="38">
        <f>'12_Income_Statement'!M6-'07_Revenue_Drivers'!K8</f>
        <v>0</v>
      </c>
      <c r="N6" s="26" t="s">
        <v>24</v>
      </c>
      <c r="O6" s="28" t="s">
        <v>1238</v>
      </c>
    </row>
    <row r="7" spans="1:15">
      <c r="A7" s="25" t="s">
        <v>1239</v>
      </c>
      <c r="B7" s="26" t="s">
        <v>135</v>
      </c>
      <c r="C7" s="26" t="s">
        <v>14</v>
      </c>
      <c r="D7" s="33">
        <f>'12_Income_Statement'!D6-'12_Income_Statement'!D10-'12_Income_Statement'!D8</f>
        <v>0</v>
      </c>
      <c r="E7" s="33">
        <f>'12_Income_Statement'!E6-'12_Income_Statement'!E10-'12_Income_Statement'!E8</f>
        <v>9.999894245993346E-7</v>
      </c>
      <c r="F7" s="33">
        <f>'12_Income_Statement'!F6-'12_Income_Statement'!F10-'12_Income_Statement'!F8</f>
        <v>-9.9999670055694878E-7</v>
      </c>
      <c r="G7" s="33">
        <f>'12_Income_Statement'!G6-'12_Income_Statement'!G10-'12_Income_Statement'!G8</f>
        <v>0</v>
      </c>
      <c r="H7" s="33">
        <f>'12_Income_Statement'!H6-'12_Income_Statement'!H10-'12_Income_Statement'!H8</f>
        <v>-1.0000112524721771E-6</v>
      </c>
      <c r="I7" s="38">
        <f>'12_Income_Statement'!I6-'12_Income_Statement'!I10-'12_Income_Statement'!I8</f>
        <v>0</v>
      </c>
      <c r="J7" s="38">
        <f>'12_Income_Statement'!J6-'12_Income_Statement'!J10-'12_Income_Statement'!J8</f>
        <v>0</v>
      </c>
      <c r="K7" s="38">
        <f>'12_Income_Statement'!K6-'12_Income_Statement'!K10-'12_Income_Statement'!K8</f>
        <v>0</v>
      </c>
      <c r="L7" s="38">
        <f>'12_Income_Statement'!L6-'12_Income_Statement'!L10-'12_Income_Statement'!L8</f>
        <v>0</v>
      </c>
      <c r="M7" s="38">
        <f>'12_Income_Statement'!M6-'12_Income_Statement'!M10-'12_Income_Statement'!M8</f>
        <v>0</v>
      </c>
      <c r="N7" s="26" t="s">
        <v>24</v>
      </c>
      <c r="O7" s="28" t="s">
        <v>1240</v>
      </c>
    </row>
    <row r="8" spans="1:15">
      <c r="A8" s="25" t="s">
        <v>1241</v>
      </c>
      <c r="B8" s="26" t="s">
        <v>137</v>
      </c>
      <c r="C8" s="26" t="s">
        <v>14</v>
      </c>
      <c r="D8" s="33">
        <f>'13_Balance_Sheet'!D28</f>
        <v>-3.637978807091713E-12</v>
      </c>
      <c r="E8" s="33">
        <f>'13_Balance_Sheet'!E28</f>
        <v>0</v>
      </c>
      <c r="F8" s="33">
        <f>'13_Balance_Sheet'!F28</f>
        <v>1.0000003385357559E-6</v>
      </c>
      <c r="G8" s="33">
        <f>'13_Balance_Sheet'!G28</f>
        <v>0</v>
      </c>
      <c r="H8" s="33">
        <f>'13_Balance_Sheet'!H28</f>
        <v>0</v>
      </c>
      <c r="I8" s="38">
        <f>'13_Balance_Sheet'!I28</f>
        <v>0</v>
      </c>
      <c r="J8" s="38">
        <f>'13_Balance_Sheet'!J28</f>
        <v>0</v>
      </c>
      <c r="K8" s="38">
        <f>'13_Balance_Sheet'!K28</f>
        <v>0</v>
      </c>
      <c r="L8" s="38">
        <f>'13_Balance_Sheet'!L28</f>
        <v>0</v>
      </c>
      <c r="M8" s="38">
        <f>'13_Balance_Sheet'!M28</f>
        <v>0</v>
      </c>
      <c r="N8" s="26" t="s">
        <v>24</v>
      </c>
      <c r="O8" s="28" t="s">
        <v>1242</v>
      </c>
    </row>
    <row r="9" spans="1:15">
      <c r="A9" s="25" t="s">
        <v>410</v>
      </c>
      <c r="B9" s="26" t="s">
        <v>141</v>
      </c>
      <c r="C9" s="26" t="s">
        <v>14</v>
      </c>
      <c r="D9" s="33">
        <f>'14_Cash_Flow'!D19</f>
        <v>-18378.642097262</v>
      </c>
      <c r="E9" s="33">
        <f>'14_Cash_Flow'!E19</f>
        <v>0</v>
      </c>
      <c r="F9" s="33">
        <f>'14_Cash_Flow'!F19</f>
        <v>0</v>
      </c>
      <c r="G9" s="33">
        <f>'14_Cash_Flow'!G19</f>
        <v>0</v>
      </c>
      <c r="H9" s="33">
        <f>'14_Cash_Flow'!H19</f>
        <v>0</v>
      </c>
      <c r="I9" s="38">
        <f>'14_Cash_Flow'!I19</f>
        <v>0</v>
      </c>
      <c r="J9" s="38">
        <f>'14_Cash_Flow'!J19</f>
        <v>0</v>
      </c>
      <c r="K9" s="38">
        <f>'14_Cash_Flow'!K19</f>
        <v>0</v>
      </c>
      <c r="L9" s="38">
        <f>'14_Cash_Flow'!L19</f>
        <v>0</v>
      </c>
      <c r="M9" s="38">
        <f>'14_Cash_Flow'!M19</f>
        <v>0</v>
      </c>
      <c r="N9" s="26" t="s">
        <v>24</v>
      </c>
      <c r="O9" s="28" t="s">
        <v>1243</v>
      </c>
    </row>
    <row r="10" spans="1:15">
      <c r="A10" s="25" t="s">
        <v>497</v>
      </c>
      <c r="B10" s="26" t="s">
        <v>1244</v>
      </c>
      <c r="C10" s="26" t="s">
        <v>14</v>
      </c>
      <c r="D10" s="33"/>
      <c r="E10" s="33">
        <f>'13_Balance_Sheet'!E23-'13_Balance_Sheet'!D23-'12_Income_Statement'!E25+ABS('14_Cash_Flow'!E13)</f>
        <v>-7318.5481500650003</v>
      </c>
      <c r="F10" s="33">
        <f>'13_Balance_Sheet'!F23-'13_Balance_Sheet'!E23-'12_Income_Statement'!F25+ABS('14_Cash_Flow'!F13)</f>
        <v>1.0000007932831068E-6</v>
      </c>
      <c r="G10" s="33">
        <f>'13_Balance_Sheet'!G23-'13_Balance_Sheet'!F23-'12_Income_Statement'!G25+ABS('14_Cash_Flow'!G13)</f>
        <v>1430.9109229999997</v>
      </c>
      <c r="H10" s="33">
        <f>'13_Balance_Sheet'!H23-'13_Balance_Sheet'!G23-'12_Income_Statement'!H25+ABS('14_Cash_Flow'!H13)</f>
        <v>-69.224697999998398</v>
      </c>
      <c r="I10" s="38">
        <f>'13_Balance_Sheet'!I23-'13_Balance_Sheet'!H23-'12_Income_Statement'!I25+ABS('14_Cash_Flow'!I13)</f>
        <v>0</v>
      </c>
      <c r="J10" s="38">
        <f>'13_Balance_Sheet'!J23-'13_Balance_Sheet'!I23-'12_Income_Statement'!J25+ABS('14_Cash_Flow'!J13)</f>
        <v>-5.0022208597511053E-12</v>
      </c>
      <c r="K10" s="38">
        <f>'13_Balance_Sheet'!K23-'13_Balance_Sheet'!J23-'12_Income_Statement'!K25+ABS('14_Cash_Flow'!K13)</f>
        <v>0</v>
      </c>
      <c r="L10" s="38">
        <f>'13_Balance_Sheet'!L23-'13_Balance_Sheet'!K23-'12_Income_Statement'!L25+ABS('14_Cash_Flow'!L13)</f>
        <v>0</v>
      </c>
      <c r="M10" s="38">
        <f>'13_Balance_Sheet'!M23-'13_Balance_Sheet'!L23-'12_Income_Statement'!M25+ABS('14_Cash_Flow'!M13)</f>
        <v>-1.4551915228366852E-11</v>
      </c>
      <c r="N10" s="26" t="s">
        <v>24</v>
      </c>
      <c r="O10" s="28" t="s">
        <v>1245</v>
      </c>
    </row>
    <row r="11" spans="1:15" ht="15" customHeight="1">
      <c r="A11" s="25" t="s">
        <v>443</v>
      </c>
      <c r="B11" s="26" t="s">
        <v>1246</v>
      </c>
      <c r="C11" s="26" t="s">
        <v>329</v>
      </c>
      <c r="D11" s="443" t="str">
        <f>IF('13_Balance_Sheet'!D6&gt;0,"OK","CHECK")</f>
        <v>OK</v>
      </c>
      <c r="E11" s="443" t="str">
        <f>IF('13_Balance_Sheet'!E6&gt;0,"OK","CHECK")</f>
        <v>OK</v>
      </c>
      <c r="F11" s="443" t="str">
        <f>IF('13_Balance_Sheet'!F6&gt;0,"OK","CHECK")</f>
        <v>OK</v>
      </c>
      <c r="G11" s="443" t="str">
        <f>IF('13_Balance_Sheet'!G6&gt;0,"OK","CHECK")</f>
        <v>OK</v>
      </c>
      <c r="H11" s="443" t="str">
        <f>IF('13_Balance_Sheet'!H6&gt;0,"OK","CHECK")</f>
        <v>OK</v>
      </c>
      <c r="I11" s="443" t="str">
        <f>IF('13_Balance_Sheet'!I6&gt;0,"OK","CHECK")</f>
        <v>OK</v>
      </c>
      <c r="J11" s="443" t="str">
        <f>IF('13_Balance_Sheet'!J6&gt;0,"OK","CHECK")</f>
        <v>OK</v>
      </c>
      <c r="K11" s="443" t="str">
        <f>IF('13_Balance_Sheet'!K6&gt;0,"OK","CHECK")</f>
        <v>OK</v>
      </c>
      <c r="L11" s="443" t="str">
        <f>IF('13_Balance_Sheet'!L6&gt;0,"OK","CHECK")</f>
        <v>OK</v>
      </c>
      <c r="M11" s="443" t="str">
        <f>IF('13_Balance_Sheet'!M6&gt;0,"OK","CHECK")</f>
        <v>OK</v>
      </c>
      <c r="N11" s="26" t="s">
        <v>24</v>
      </c>
      <c r="O11" s="28" t="s">
        <v>1247</v>
      </c>
    </row>
    <row r="12" spans="1:15" ht="15" customHeight="1">
      <c r="A12" s="25" t="s">
        <v>336</v>
      </c>
      <c r="B12" s="26" t="s">
        <v>1248</v>
      </c>
      <c r="C12" s="26" t="s">
        <v>329</v>
      </c>
      <c r="D12" s="443" t="str">
        <f t="shared" ref="D12:M12" si="0">IF(AND(ABS(D6)&lt;1,ABS(D7)&lt;1,ABS(D8)&lt;1,ABS(D9)&lt;1,ABS(D10)&lt;1,D11="OK"),"OK","CHECK")</f>
        <v>CHECK</v>
      </c>
      <c r="E12" s="443" t="str">
        <f t="shared" si="0"/>
        <v>CHECK</v>
      </c>
      <c r="F12" s="443" t="str">
        <f t="shared" si="0"/>
        <v>OK</v>
      </c>
      <c r="G12" s="443" t="str">
        <f t="shared" si="0"/>
        <v>CHECK</v>
      </c>
      <c r="H12" s="443" t="str">
        <f t="shared" si="0"/>
        <v>CHECK</v>
      </c>
      <c r="I12" s="443" t="str">
        <f t="shared" si="0"/>
        <v>OK</v>
      </c>
      <c r="J12" s="443" t="str">
        <f t="shared" si="0"/>
        <v>OK</v>
      </c>
      <c r="K12" s="443" t="str">
        <f t="shared" si="0"/>
        <v>OK</v>
      </c>
      <c r="L12" s="443" t="str">
        <f t="shared" si="0"/>
        <v>OK</v>
      </c>
      <c r="M12" s="443" t="str">
        <f t="shared" si="0"/>
        <v>OK</v>
      </c>
      <c r="N12" s="26" t="s">
        <v>24</v>
      </c>
      <c r="O12" s="28" t="s">
        <v>1249</v>
      </c>
    </row>
    <row r="13" spans="1:15">
      <c r="A13" s="25"/>
      <c r="B13" s="26"/>
      <c r="C13" s="26"/>
      <c r="D13" s="55"/>
      <c r="E13" s="55"/>
      <c r="F13" s="55"/>
      <c r="G13" s="55"/>
      <c r="H13" s="55"/>
      <c r="I13" s="53"/>
      <c r="J13" s="53"/>
      <c r="K13" s="53"/>
      <c r="L13" s="53"/>
      <c r="M13" s="53"/>
      <c r="N13" s="26"/>
      <c r="O13" s="28"/>
    </row>
    <row r="14" spans="1:15">
      <c r="A14" s="25"/>
      <c r="B14" s="26"/>
      <c r="C14" s="26"/>
      <c r="D14" s="55"/>
      <c r="E14" s="55"/>
      <c r="F14" s="55"/>
      <c r="G14" s="55"/>
      <c r="H14" s="55"/>
      <c r="I14" s="53"/>
      <c r="J14" s="53"/>
      <c r="K14" s="53"/>
      <c r="L14" s="53"/>
      <c r="M14" s="53"/>
      <c r="N14" s="26"/>
      <c r="O14" s="28"/>
    </row>
    <row r="15" spans="1:15" ht="15" customHeight="1">
      <c r="A15" s="352" t="s">
        <v>1250</v>
      </c>
      <c r="B15" s="327"/>
      <c r="C15" s="327"/>
      <c r="D15" s="353"/>
      <c r="E15" s="353"/>
      <c r="F15" s="353"/>
      <c r="G15" s="353"/>
      <c r="H15" s="353"/>
      <c r="I15" s="353"/>
      <c r="J15" s="353"/>
      <c r="K15" s="353"/>
      <c r="L15" s="353"/>
      <c r="M15" s="353"/>
      <c r="N15" s="327"/>
      <c r="O15" s="356"/>
    </row>
    <row r="16" spans="1:15" ht="15" customHeight="1">
      <c r="A16" s="25" t="s">
        <v>1251</v>
      </c>
      <c r="B16" s="26" t="s">
        <v>1252</v>
      </c>
      <c r="C16" s="26" t="s">
        <v>358</v>
      </c>
      <c r="D16" s="55"/>
      <c r="E16" s="55"/>
      <c r="F16" s="55"/>
      <c r="G16" s="55"/>
      <c r="H16" s="55"/>
      <c r="I16" s="443">
        <f>COUNTIF(I12:M12,"CHECK")</f>
        <v>0</v>
      </c>
      <c r="J16" s="53"/>
      <c r="K16" s="53"/>
      <c r="L16" s="53"/>
      <c r="M16" s="53"/>
      <c r="N16" s="26" t="s">
        <v>24</v>
      </c>
      <c r="O16" s="28" t="s">
        <v>1253</v>
      </c>
    </row>
    <row r="17" spans="1:15" ht="15" customHeight="1">
      <c r="A17" s="25" t="s">
        <v>1251</v>
      </c>
      <c r="B17" s="26" t="s">
        <v>328</v>
      </c>
      <c r="C17" s="26" t="s">
        <v>329</v>
      </c>
      <c r="D17" s="55"/>
      <c r="E17" s="55"/>
      <c r="F17" s="55"/>
      <c r="G17" s="55"/>
      <c r="H17" s="55"/>
      <c r="I17" s="443" t="str">
        <f>IF(I16=0,"OK","REVIEW")</f>
        <v>OK</v>
      </c>
      <c r="J17" s="53"/>
      <c r="K17" s="53"/>
      <c r="L17" s="53"/>
      <c r="M17" s="53"/>
      <c r="N17" s="26" t="s">
        <v>24</v>
      </c>
      <c r="O17" s="28"/>
    </row>
    <row r="18" spans="1:15">
      <c r="A18" s="25"/>
      <c r="B18" s="26"/>
      <c r="C18" s="26"/>
      <c r="D18" s="55"/>
      <c r="E18" s="55"/>
      <c r="F18" s="55"/>
      <c r="G18" s="55"/>
      <c r="H18" s="55"/>
      <c r="I18" s="53"/>
      <c r="J18" s="53"/>
      <c r="K18" s="53"/>
      <c r="L18" s="53"/>
      <c r="M18" s="53"/>
      <c r="N18" s="26"/>
      <c r="O18" s="28"/>
    </row>
    <row r="19" spans="1:15">
      <c r="A19" s="25"/>
      <c r="B19" s="26"/>
      <c r="C19" s="26"/>
      <c r="D19" s="55"/>
      <c r="E19" s="55"/>
      <c r="F19" s="55"/>
      <c r="G19" s="55"/>
      <c r="H19" s="55"/>
      <c r="I19" s="53"/>
      <c r="J19" s="53"/>
      <c r="K19" s="53"/>
      <c r="L19" s="53"/>
      <c r="M19" s="53"/>
      <c r="N19" s="26"/>
      <c r="O19" s="28"/>
    </row>
    <row r="20" spans="1:15">
      <c r="A20" s="25"/>
      <c r="B20" s="26"/>
      <c r="C20" s="26"/>
      <c r="D20" s="55"/>
      <c r="E20" s="55"/>
      <c r="F20" s="55"/>
      <c r="G20" s="55"/>
      <c r="H20" s="55"/>
      <c r="I20" s="53"/>
      <c r="J20" s="53"/>
      <c r="K20" s="53"/>
      <c r="L20" s="53"/>
      <c r="M20" s="53"/>
      <c r="N20" s="26"/>
      <c r="O20" s="28"/>
    </row>
    <row r="21" spans="1:15">
      <c r="A21" s="25"/>
      <c r="B21" s="26"/>
      <c r="C21" s="26"/>
      <c r="D21" s="55"/>
      <c r="E21" s="55"/>
      <c r="F21" s="55"/>
      <c r="G21" s="55"/>
      <c r="H21" s="55"/>
      <c r="I21" s="53"/>
      <c r="J21" s="53"/>
      <c r="K21" s="53"/>
      <c r="L21" s="53"/>
      <c r="M21" s="53"/>
      <c r="N21" s="26"/>
      <c r="O21" s="28"/>
    </row>
    <row r="22" spans="1:15">
      <c r="A22" s="25"/>
      <c r="B22" s="26"/>
      <c r="C22" s="26"/>
      <c r="D22" s="55"/>
      <c r="E22" s="55"/>
      <c r="F22" s="55"/>
      <c r="G22" s="55"/>
      <c r="H22" s="55"/>
      <c r="I22" s="53"/>
      <c r="J22" s="53"/>
      <c r="K22" s="53"/>
      <c r="L22" s="53"/>
      <c r="M22" s="53"/>
      <c r="N22" s="26"/>
      <c r="O22" s="28"/>
    </row>
    <row r="23" spans="1:15">
      <c r="A23" s="25"/>
      <c r="B23" s="26"/>
      <c r="C23" s="26"/>
      <c r="D23" s="55"/>
      <c r="E23" s="55"/>
      <c r="F23" s="55"/>
      <c r="G23" s="55"/>
      <c r="H23" s="55"/>
      <c r="I23" s="53"/>
      <c r="J23" s="53"/>
      <c r="K23" s="53"/>
      <c r="L23" s="53"/>
      <c r="M23" s="53"/>
      <c r="N23" s="26"/>
      <c r="O23" s="28"/>
    </row>
    <row r="24" spans="1:15">
      <c r="A24" s="25"/>
      <c r="B24" s="26"/>
      <c r="C24" s="26"/>
      <c r="D24" s="55"/>
      <c r="E24" s="55"/>
      <c r="F24" s="55"/>
      <c r="G24" s="55"/>
      <c r="H24" s="55"/>
      <c r="I24" s="53"/>
      <c r="J24" s="53"/>
      <c r="K24" s="53"/>
      <c r="L24" s="53"/>
      <c r="M24" s="53"/>
      <c r="N24" s="26"/>
      <c r="O24" s="28"/>
    </row>
    <row r="25" spans="1:15">
      <c r="A25" s="25"/>
      <c r="B25" s="26"/>
      <c r="C25" s="26"/>
      <c r="D25" s="55"/>
      <c r="E25" s="55"/>
      <c r="F25" s="55"/>
      <c r="G25" s="55"/>
      <c r="H25" s="55"/>
      <c r="I25" s="53"/>
      <c r="J25" s="53"/>
      <c r="K25" s="53"/>
      <c r="L25" s="53"/>
      <c r="M25" s="53"/>
      <c r="N25" s="26"/>
      <c r="O25" s="28"/>
    </row>
    <row r="26" spans="1:15">
      <c r="A26" s="25"/>
      <c r="B26" s="26"/>
      <c r="C26" s="26"/>
      <c r="D26" s="55"/>
      <c r="E26" s="55"/>
      <c r="F26" s="55"/>
      <c r="G26" s="55"/>
      <c r="H26" s="55"/>
      <c r="I26" s="53"/>
      <c r="J26" s="53"/>
      <c r="K26" s="53"/>
      <c r="L26" s="53"/>
      <c r="M26" s="53"/>
      <c r="N26" s="26"/>
      <c r="O26" s="28"/>
    </row>
    <row r="27" spans="1:15">
      <c r="A27" s="25"/>
      <c r="B27" s="26"/>
      <c r="C27" s="26"/>
      <c r="D27" s="55"/>
      <c r="E27" s="55"/>
      <c r="F27" s="55"/>
      <c r="G27" s="55"/>
      <c r="H27" s="55"/>
      <c r="I27" s="53"/>
      <c r="J27" s="53"/>
      <c r="K27" s="53"/>
      <c r="L27" s="53"/>
      <c r="M27" s="53"/>
      <c r="N27" s="26"/>
      <c r="O27" s="28"/>
    </row>
    <row r="28" spans="1:15">
      <c r="A28" s="25"/>
      <c r="B28" s="26"/>
      <c r="C28" s="26"/>
      <c r="D28" s="55"/>
      <c r="E28" s="55"/>
      <c r="F28" s="55"/>
      <c r="G28" s="55"/>
      <c r="H28" s="55"/>
      <c r="I28" s="53"/>
      <c r="J28" s="53"/>
      <c r="K28" s="53"/>
      <c r="L28" s="53"/>
      <c r="M28" s="53"/>
      <c r="N28" s="26"/>
      <c r="O28" s="28"/>
    </row>
    <row r="29" spans="1:15">
      <c r="A29" s="25"/>
      <c r="B29" s="26"/>
      <c r="C29" s="26"/>
      <c r="D29" s="55"/>
      <c r="E29" s="55"/>
      <c r="F29" s="55"/>
      <c r="G29" s="55"/>
      <c r="H29" s="55"/>
      <c r="I29" s="53"/>
      <c r="J29" s="53"/>
      <c r="K29" s="53"/>
      <c r="L29" s="53"/>
      <c r="M29" s="53"/>
      <c r="N29" s="26"/>
      <c r="O29" s="28"/>
    </row>
    <row r="30" spans="1:15">
      <c r="A30" s="25"/>
      <c r="B30" s="26"/>
      <c r="C30" s="26"/>
      <c r="D30" s="55"/>
      <c r="E30" s="55"/>
      <c r="F30" s="55"/>
      <c r="G30" s="55"/>
      <c r="H30" s="55"/>
      <c r="I30" s="53"/>
      <c r="J30" s="53"/>
      <c r="K30" s="53"/>
      <c r="L30" s="53"/>
      <c r="M30" s="53"/>
      <c r="N30" s="26"/>
      <c r="O30" s="28"/>
    </row>
    <row r="31" spans="1:15">
      <c r="A31" s="25"/>
      <c r="B31" s="26"/>
      <c r="C31" s="26"/>
      <c r="D31" s="55"/>
      <c r="E31" s="55"/>
      <c r="F31" s="55"/>
      <c r="G31" s="55"/>
      <c r="H31" s="55"/>
      <c r="I31" s="53"/>
      <c r="J31" s="53"/>
      <c r="K31" s="53"/>
      <c r="L31" s="53"/>
      <c r="M31" s="53"/>
      <c r="N31" s="26"/>
      <c r="O31" s="28"/>
    </row>
    <row r="32" spans="1:15">
      <c r="A32" s="25"/>
      <c r="B32" s="26"/>
      <c r="C32" s="26"/>
      <c r="D32" s="55"/>
      <c r="E32" s="55"/>
      <c r="F32" s="55"/>
      <c r="G32" s="55"/>
      <c r="H32" s="55"/>
      <c r="I32" s="53"/>
      <c r="J32" s="53"/>
      <c r="K32" s="53"/>
      <c r="L32" s="53"/>
      <c r="M32" s="53"/>
      <c r="N32" s="26"/>
      <c r="O32" s="28"/>
    </row>
    <row r="33" spans="1:15">
      <c r="A33" s="25"/>
      <c r="B33" s="26"/>
      <c r="C33" s="26"/>
      <c r="D33" s="55"/>
      <c r="E33" s="55"/>
      <c r="F33" s="55"/>
      <c r="G33" s="55"/>
      <c r="H33" s="55"/>
      <c r="I33" s="53"/>
      <c r="J33" s="53"/>
      <c r="K33" s="53"/>
      <c r="L33" s="53"/>
      <c r="M33" s="53"/>
      <c r="N33" s="26"/>
      <c r="O33" s="28"/>
    </row>
    <row r="34" spans="1:15">
      <c r="A34" s="25"/>
      <c r="B34" s="26"/>
      <c r="C34" s="26"/>
      <c r="D34" s="55"/>
      <c r="E34" s="55"/>
      <c r="F34" s="55"/>
      <c r="G34" s="55"/>
      <c r="H34" s="55"/>
      <c r="I34" s="53"/>
      <c r="J34" s="53"/>
      <c r="K34" s="53"/>
      <c r="L34" s="53"/>
      <c r="M34" s="53"/>
      <c r="N34" s="26"/>
      <c r="O34" s="28"/>
    </row>
    <row r="35" spans="1:15">
      <c r="A35" s="25"/>
      <c r="B35" s="26"/>
      <c r="C35" s="26"/>
      <c r="D35" s="55"/>
      <c r="E35" s="55"/>
      <c r="F35" s="55"/>
      <c r="G35" s="55"/>
      <c r="H35" s="55"/>
      <c r="I35" s="53"/>
      <c r="J35" s="53"/>
      <c r="K35" s="53"/>
      <c r="L35" s="53"/>
      <c r="M35" s="53"/>
      <c r="N35" s="26"/>
      <c r="O35" s="28"/>
    </row>
    <row r="36" spans="1:15">
      <c r="A36" s="25"/>
      <c r="B36" s="26"/>
      <c r="C36" s="26"/>
      <c r="D36" s="55"/>
      <c r="E36" s="55"/>
      <c r="F36" s="55"/>
      <c r="G36" s="55"/>
      <c r="H36" s="55"/>
      <c r="I36" s="53"/>
      <c r="J36" s="53"/>
      <c r="K36" s="53"/>
      <c r="L36" s="53"/>
      <c r="M36" s="53"/>
      <c r="N36" s="26"/>
      <c r="O36" s="28"/>
    </row>
    <row r="37" spans="1:15">
      <c r="A37" s="25"/>
      <c r="B37" s="26"/>
      <c r="C37" s="26"/>
      <c r="D37" s="55"/>
      <c r="E37" s="55"/>
      <c r="F37" s="55"/>
      <c r="G37" s="55"/>
      <c r="H37" s="55"/>
      <c r="I37" s="53"/>
      <c r="J37" s="53"/>
      <c r="K37" s="53"/>
      <c r="L37" s="53"/>
      <c r="M37" s="53"/>
      <c r="N37" s="26"/>
      <c r="O37" s="28"/>
    </row>
    <row r="38" spans="1:15">
      <c r="A38" s="25"/>
      <c r="B38" s="26"/>
      <c r="C38" s="26"/>
      <c r="D38" s="55"/>
      <c r="E38" s="55"/>
      <c r="F38" s="55"/>
      <c r="G38" s="55"/>
      <c r="H38" s="55"/>
      <c r="I38" s="53"/>
      <c r="J38" s="53"/>
      <c r="K38" s="53"/>
      <c r="L38" s="53"/>
      <c r="M38" s="53"/>
      <c r="N38" s="26"/>
      <c r="O38" s="28"/>
    </row>
    <row r="39" spans="1:15">
      <c r="A39" s="25"/>
      <c r="B39" s="26"/>
      <c r="C39" s="26"/>
      <c r="D39" s="55"/>
      <c r="E39" s="55"/>
      <c r="F39" s="55"/>
      <c r="G39" s="55"/>
      <c r="H39" s="55"/>
      <c r="I39" s="53"/>
      <c r="J39" s="53"/>
      <c r="K39" s="53"/>
      <c r="L39" s="53"/>
      <c r="M39" s="53"/>
      <c r="N39" s="26"/>
      <c r="O39" s="28"/>
    </row>
    <row r="40" spans="1:15">
      <c r="A40" s="25"/>
      <c r="B40" s="26"/>
      <c r="C40" s="26"/>
      <c r="D40" s="55"/>
      <c r="E40" s="55"/>
      <c r="F40" s="55"/>
      <c r="G40" s="55"/>
      <c r="H40" s="55"/>
      <c r="I40" s="53"/>
      <c r="J40" s="53"/>
      <c r="K40" s="53"/>
      <c r="L40" s="53"/>
      <c r="M40" s="53"/>
      <c r="N40" s="26"/>
      <c r="O40" s="28"/>
    </row>
    <row r="41" spans="1:15">
      <c r="A41" s="25"/>
      <c r="B41" s="26"/>
      <c r="C41" s="26"/>
      <c r="D41" s="55"/>
      <c r="E41" s="55"/>
      <c r="F41" s="55"/>
      <c r="G41" s="55"/>
      <c r="H41" s="55"/>
      <c r="I41" s="53"/>
      <c r="J41" s="53"/>
      <c r="K41" s="53"/>
      <c r="L41" s="53"/>
      <c r="M41" s="53"/>
      <c r="N41" s="26"/>
      <c r="O41" s="28"/>
    </row>
    <row r="42" spans="1:15">
      <c r="A42" s="25"/>
      <c r="B42" s="26"/>
      <c r="C42" s="26"/>
      <c r="D42" s="55"/>
      <c r="E42" s="55"/>
      <c r="F42" s="55"/>
      <c r="G42" s="55"/>
      <c r="H42" s="55"/>
      <c r="I42" s="53"/>
      <c r="J42" s="53"/>
      <c r="K42" s="53"/>
      <c r="L42" s="53"/>
      <c r="M42" s="53"/>
      <c r="N42" s="26"/>
      <c r="O42" s="28"/>
    </row>
    <row r="43" spans="1:15">
      <c r="A43" s="25"/>
      <c r="B43" s="26"/>
      <c r="C43" s="26"/>
      <c r="D43" s="55"/>
      <c r="E43" s="55"/>
      <c r="F43" s="55"/>
      <c r="G43" s="55"/>
      <c r="H43" s="55"/>
      <c r="I43" s="53"/>
      <c r="J43" s="53"/>
      <c r="K43" s="53"/>
      <c r="L43" s="53"/>
      <c r="M43" s="53"/>
      <c r="N43" s="26"/>
      <c r="O43" s="28"/>
    </row>
    <row r="44" spans="1:15">
      <c r="A44" s="25"/>
      <c r="B44" s="26"/>
      <c r="C44" s="26"/>
      <c r="D44" s="55"/>
      <c r="E44" s="55"/>
      <c r="F44" s="55"/>
      <c r="G44" s="55"/>
      <c r="H44" s="55"/>
      <c r="I44" s="53"/>
      <c r="J44" s="53"/>
      <c r="K44" s="53"/>
      <c r="L44" s="53"/>
      <c r="M44" s="53"/>
      <c r="N44" s="26"/>
      <c r="O44" s="28"/>
    </row>
    <row r="45" spans="1:15">
      <c r="A45" s="29"/>
      <c r="B45" s="30"/>
      <c r="C45" s="30"/>
      <c r="D45" s="56"/>
      <c r="E45" s="56"/>
      <c r="F45" s="56"/>
      <c r="G45" s="56"/>
      <c r="H45" s="56"/>
      <c r="I45" s="54"/>
      <c r="J45" s="54"/>
      <c r="K45" s="54"/>
      <c r="L45" s="54"/>
      <c r="M45" s="54"/>
      <c r="N45" s="30"/>
      <c r="O45" s="32"/>
    </row>
  </sheetData>
  <mergeCells count="2">
    <mergeCell ref="A1:O1"/>
    <mergeCell ref="A2:O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
  <sheetViews>
    <sheetView showGridLines="0" zoomScale="85" zoomScaleNormal="85" workbookViewId="0">
      <selection sqref="A1:G1"/>
    </sheetView>
  </sheetViews>
  <sheetFormatPr defaultRowHeight="13.8"/>
  <cols>
    <col min="1" max="1" width="28" customWidth="1"/>
    <col min="2" max="2" width="18" customWidth="1"/>
    <col min="3" max="3" width="22" customWidth="1"/>
    <col min="4" max="4" width="12" customWidth="1"/>
    <col min="5" max="5" width="54" customWidth="1"/>
    <col min="6" max="6" width="24" customWidth="1"/>
    <col min="7" max="7" width="20" customWidth="1"/>
  </cols>
  <sheetData>
    <row r="1" spans="1:7" ht="27.9" customHeight="1">
      <c r="A1" s="473" t="s">
        <v>1254</v>
      </c>
      <c r="B1" s="452"/>
      <c r="C1" s="452"/>
      <c r="D1" s="452"/>
      <c r="E1" s="452"/>
      <c r="F1" s="452"/>
      <c r="G1" s="452"/>
    </row>
    <row r="2" spans="1:7">
      <c r="A2" s="476" t="s">
        <v>1255</v>
      </c>
      <c r="B2" s="452"/>
      <c r="C2" s="452"/>
      <c r="D2" s="452"/>
      <c r="E2" s="452"/>
      <c r="F2" s="452"/>
      <c r="G2" s="452"/>
    </row>
    <row r="4" spans="1:7" ht="15" customHeight="1">
      <c r="A4" s="360" t="s">
        <v>427</v>
      </c>
      <c r="B4" s="360" t="s">
        <v>803</v>
      </c>
      <c r="C4" s="360" t="s">
        <v>804</v>
      </c>
      <c r="D4" s="360" t="s">
        <v>336</v>
      </c>
      <c r="E4" s="360" t="s">
        <v>395</v>
      </c>
      <c r="F4" s="360" t="s">
        <v>150</v>
      </c>
      <c r="G4" s="360" t="s">
        <v>1256</v>
      </c>
    </row>
    <row r="5" spans="1:7">
      <c r="A5" s="132" t="s">
        <v>1257</v>
      </c>
      <c r="B5" s="133">
        <v>0</v>
      </c>
      <c r="C5" s="133">
        <v>0</v>
      </c>
      <c r="D5" s="133" t="s">
        <v>817</v>
      </c>
      <c r="E5" s="133" t="s">
        <v>1258</v>
      </c>
      <c r="F5" s="133" t="s">
        <v>1259</v>
      </c>
      <c r="G5" s="134"/>
    </row>
    <row r="6" spans="1:7" ht="28.5" customHeight="1">
      <c r="A6" s="135" t="s">
        <v>1260</v>
      </c>
      <c r="B6" s="136">
        <f>COUNTBLANK('100_Raw_Peer_Metrics'!G5:H9)+COUNTBLANK('100_Raw_Peer_Metrics'!K5:AA9)</f>
        <v>0</v>
      </c>
      <c r="C6" s="136">
        <v>0</v>
      </c>
      <c r="D6" s="136" t="str">
        <f>IF(B6=0,"OK","CHECK")</f>
        <v>OK</v>
      </c>
      <c r="E6" s="136" t="s">
        <v>1261</v>
      </c>
      <c r="F6" s="136" t="s">
        <v>713</v>
      </c>
      <c r="G6" s="137" t="s">
        <v>1262</v>
      </c>
    </row>
    <row r="7" spans="1:7">
      <c r="A7" s="135" t="s">
        <v>1263</v>
      </c>
      <c r="B7" s="136" t="str">
        <f>COUNTIF('100_Raw_Peer_Metrics'!F5:F9,'100_Raw_Peer_Metrics'!F5)&amp;"/"&amp;COUNTA('100_Raw_Peer_Metrics'!F5:F9)</f>
        <v>5/5</v>
      </c>
      <c r="C7" s="136" t="s">
        <v>1264</v>
      </c>
      <c r="D7" s="136" t="str">
        <f>IF(COUNTIF('100_Raw_Peer_Metrics'!F5:F9,'100_Raw_Peer_Metrics'!F5)=COUNTA('100_Raw_Peer_Metrics'!F5:F9),"OK","CHECK")</f>
        <v>OK</v>
      </c>
      <c r="E7" s="136" t="s">
        <v>1265</v>
      </c>
      <c r="F7" s="136" t="s">
        <v>713</v>
      </c>
      <c r="G7" s="137" t="s">
        <v>1266</v>
      </c>
    </row>
    <row r="8" spans="1:7" ht="28.5" customHeight="1">
      <c r="A8" s="135" t="s">
        <v>1267</v>
      </c>
      <c r="B8" s="141">
        <f>MAX('100_Raw_Peer_Metrics'!AE5:AE9)</f>
        <v>3.7807183364839313E-2</v>
      </c>
      <c r="C8" s="136" t="s">
        <v>1268</v>
      </c>
      <c r="D8" s="136" t="str">
        <f>IF(B8&lt;10%,"OK","REVIEW")</f>
        <v>OK</v>
      </c>
      <c r="E8" s="136" t="s">
        <v>1269</v>
      </c>
      <c r="F8" s="136" t="s">
        <v>713</v>
      </c>
      <c r="G8" s="137" t="s">
        <v>1270</v>
      </c>
    </row>
    <row r="9" spans="1:7" ht="28.5" customHeight="1">
      <c r="A9" s="135" t="s">
        <v>1271</v>
      </c>
      <c r="B9" s="136" t="str">
        <f>COUNTIF('100_Raw_Peer_Metrics'!AF5:AF9,"OK")&amp;"/"&amp;COUNTA('100_Raw_Peer_Metrics'!AF5:AF9)</f>
        <v>5/5</v>
      </c>
      <c r="C9" s="136" t="s">
        <v>1272</v>
      </c>
      <c r="D9" s="136" t="str">
        <f>IF(COUNTIF('100_Raw_Peer_Metrics'!AF5:AF9,"OK")=COUNTA('100_Raw_Peer_Metrics'!AF5:AF9),"OK","CHECK")</f>
        <v>OK</v>
      </c>
      <c r="E9" s="136" t="s">
        <v>1273</v>
      </c>
      <c r="F9" s="136" t="s">
        <v>713</v>
      </c>
      <c r="G9" s="137" t="s">
        <v>1274</v>
      </c>
    </row>
    <row r="10" spans="1:7" ht="28.5" customHeight="1">
      <c r="A10" s="138" t="s">
        <v>1275</v>
      </c>
      <c r="B10" s="139" t="s">
        <v>1276</v>
      </c>
      <c r="C10" s="139" t="s">
        <v>1277</v>
      </c>
      <c r="D10" s="139" t="s">
        <v>817</v>
      </c>
      <c r="E10" s="139" t="s">
        <v>1278</v>
      </c>
      <c r="F10" s="139" t="s">
        <v>729</v>
      </c>
      <c r="G10" s="140" t="s">
        <v>1279</v>
      </c>
    </row>
  </sheetData>
  <mergeCells count="2">
    <mergeCell ref="A2:G2"/>
    <mergeCell ref="A1:G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76"/>
  <sheetViews>
    <sheetView showGridLines="0" zoomScale="55" zoomScaleNormal="55" workbookViewId="0">
      <selection activeCell="O35" sqref="O35"/>
    </sheetView>
  </sheetViews>
  <sheetFormatPr defaultRowHeight="13.8"/>
  <cols>
    <col min="1" max="1" width="8" customWidth="1"/>
    <col min="2" max="2" width="26" customWidth="1"/>
    <col min="3" max="3" width="20" customWidth="1"/>
    <col min="4" max="4" width="28" customWidth="1"/>
    <col min="5" max="5" width="22" customWidth="1"/>
    <col min="6" max="6" width="52" customWidth="1"/>
    <col min="7" max="7" width="34" customWidth="1"/>
    <col min="8" max="8" width="42" customWidth="1"/>
    <col min="9" max="9" width="22" customWidth="1"/>
    <col min="10" max="11" width="24" customWidth="1"/>
    <col min="12" max="12" width="42" customWidth="1"/>
    <col min="13" max="13" width="4" customWidth="1"/>
    <col min="14" max="17" width="28" customWidth="1"/>
  </cols>
  <sheetData>
    <row r="1" spans="1:17" ht="15" customHeight="1">
      <c r="A1" s="455" t="s">
        <v>1280</v>
      </c>
      <c r="B1" s="452"/>
      <c r="C1" s="452"/>
      <c r="D1" s="452"/>
      <c r="E1" s="452"/>
      <c r="F1" s="452"/>
      <c r="G1" s="452"/>
      <c r="H1" s="452"/>
      <c r="I1" s="452"/>
      <c r="J1" s="452"/>
      <c r="K1" s="452"/>
      <c r="L1" s="452"/>
      <c r="M1" s="452"/>
      <c r="N1" s="452"/>
      <c r="O1" s="452"/>
      <c r="P1" s="452"/>
      <c r="Q1" s="452"/>
    </row>
    <row r="2" spans="1:17" ht="14.4">
      <c r="A2" s="456" t="s">
        <v>1281</v>
      </c>
      <c r="B2" s="452"/>
      <c r="C2" s="452"/>
      <c r="D2" s="452"/>
      <c r="E2" s="452"/>
      <c r="F2" s="452"/>
      <c r="G2" s="452"/>
      <c r="H2" s="452"/>
      <c r="I2" s="452"/>
      <c r="J2" s="452"/>
      <c r="K2" s="452"/>
      <c r="L2" s="452"/>
      <c r="M2" s="452"/>
      <c r="N2" s="452"/>
      <c r="O2" s="452"/>
      <c r="P2" s="452"/>
      <c r="Q2" s="452"/>
    </row>
    <row r="4" spans="1:17" ht="15" customHeight="1">
      <c r="A4" s="326" t="s">
        <v>1282</v>
      </c>
      <c r="B4" s="326" t="s">
        <v>1283</v>
      </c>
      <c r="C4" s="326" t="s">
        <v>1284</v>
      </c>
      <c r="D4" s="326" t="s">
        <v>1285</v>
      </c>
      <c r="E4" s="326" t="s">
        <v>1286</v>
      </c>
      <c r="F4" s="326" t="s">
        <v>1287</v>
      </c>
      <c r="G4" s="326" t="s">
        <v>1288</v>
      </c>
      <c r="H4" s="326" t="s">
        <v>1289</v>
      </c>
      <c r="I4" s="326" t="s">
        <v>1290</v>
      </c>
      <c r="J4" s="326" t="s">
        <v>1291</v>
      </c>
    </row>
    <row r="5" spans="1:17" ht="78" customHeight="1">
      <c r="A5" s="58" t="s">
        <v>1292</v>
      </c>
      <c r="B5" s="26" t="s">
        <v>1293</v>
      </c>
      <c r="C5" s="444" t="s">
        <v>1294</v>
      </c>
      <c r="D5" s="26" t="s">
        <v>1295</v>
      </c>
      <c r="E5" s="26" t="s">
        <v>1296</v>
      </c>
      <c r="F5" s="59" t="s">
        <v>1297</v>
      </c>
      <c r="G5" s="60" t="s">
        <v>1298</v>
      </c>
      <c r="H5" s="60" t="s">
        <v>1299</v>
      </c>
      <c r="I5" s="26" t="s">
        <v>1300</v>
      </c>
      <c r="J5" s="26" t="s">
        <v>1301</v>
      </c>
    </row>
    <row r="6" spans="1:17" ht="78" customHeight="1">
      <c r="A6" s="58" t="s">
        <v>1302</v>
      </c>
      <c r="B6" s="26" t="s">
        <v>1303</v>
      </c>
      <c r="C6" s="444" t="s">
        <v>1304</v>
      </c>
      <c r="D6" s="26" t="s">
        <v>1295</v>
      </c>
      <c r="E6" s="26" t="s">
        <v>1296</v>
      </c>
      <c r="F6" s="59" t="s">
        <v>1305</v>
      </c>
      <c r="G6" s="60" t="s">
        <v>1306</v>
      </c>
      <c r="H6" s="60" t="s">
        <v>1307</v>
      </c>
      <c r="I6" s="26" t="s">
        <v>1308</v>
      </c>
      <c r="J6" s="26" t="s">
        <v>1301</v>
      </c>
    </row>
    <row r="7" spans="1:17" ht="78" customHeight="1">
      <c r="A7" s="58" t="s">
        <v>1309</v>
      </c>
      <c r="B7" s="26" t="s">
        <v>1310</v>
      </c>
      <c r="C7" s="444" t="s">
        <v>1311</v>
      </c>
      <c r="D7" s="26" t="s">
        <v>1295</v>
      </c>
      <c r="E7" s="26" t="s">
        <v>1312</v>
      </c>
      <c r="F7" s="59" t="s">
        <v>1313</v>
      </c>
      <c r="G7" s="60" t="s">
        <v>1314</v>
      </c>
      <c r="H7" s="60" t="s">
        <v>1315</v>
      </c>
      <c r="I7" s="26" t="s">
        <v>1316</v>
      </c>
      <c r="J7" s="26" t="s">
        <v>1317</v>
      </c>
    </row>
    <row r="8" spans="1:17" ht="78" customHeight="1">
      <c r="A8" s="58" t="s">
        <v>1318</v>
      </c>
      <c r="B8" s="26" t="s">
        <v>1319</v>
      </c>
      <c r="C8" s="444" t="s">
        <v>1320</v>
      </c>
      <c r="D8" s="26" t="s">
        <v>1295</v>
      </c>
      <c r="E8" s="26" t="s">
        <v>1321</v>
      </c>
      <c r="F8" s="59" t="s">
        <v>1322</v>
      </c>
      <c r="G8" s="60" t="s">
        <v>1323</v>
      </c>
      <c r="H8" s="60" t="s">
        <v>1324</v>
      </c>
      <c r="I8" s="26" t="s">
        <v>1325</v>
      </c>
      <c r="J8" s="26" t="s">
        <v>1317</v>
      </c>
    </row>
    <row r="9" spans="1:17" ht="78" customHeight="1">
      <c r="A9" s="58" t="s">
        <v>1326</v>
      </c>
      <c r="B9" s="26" t="s">
        <v>1327</v>
      </c>
      <c r="C9" s="444" t="s">
        <v>1328</v>
      </c>
      <c r="D9" s="26" t="s">
        <v>1295</v>
      </c>
      <c r="E9" s="26" t="s">
        <v>1329</v>
      </c>
      <c r="F9" s="59" t="s">
        <v>1330</v>
      </c>
      <c r="G9" s="60" t="s">
        <v>1331</v>
      </c>
      <c r="H9" s="60" t="s">
        <v>1332</v>
      </c>
      <c r="I9" s="26" t="s">
        <v>1333</v>
      </c>
      <c r="J9" s="26" t="s">
        <v>1334</v>
      </c>
    </row>
    <row r="10" spans="1:17" ht="78" customHeight="1">
      <c r="A10" s="58" t="s">
        <v>1335</v>
      </c>
      <c r="B10" s="26" t="s">
        <v>1336</v>
      </c>
      <c r="C10" s="444" t="s">
        <v>1337</v>
      </c>
      <c r="D10" s="26" t="s">
        <v>1295</v>
      </c>
      <c r="E10" s="26" t="s">
        <v>1338</v>
      </c>
      <c r="F10" s="59" t="s">
        <v>1339</v>
      </c>
      <c r="G10" s="60" t="s">
        <v>1340</v>
      </c>
      <c r="H10" s="60" t="s">
        <v>1341</v>
      </c>
      <c r="I10" s="26" t="s">
        <v>1342</v>
      </c>
      <c r="J10" s="26" t="s">
        <v>1343</v>
      </c>
    </row>
    <row r="11" spans="1:17" ht="78" customHeight="1">
      <c r="A11" s="58" t="s">
        <v>1344</v>
      </c>
      <c r="B11" s="26" t="s">
        <v>1345</v>
      </c>
      <c r="C11" s="444" t="s">
        <v>1346</v>
      </c>
      <c r="D11" s="26" t="s">
        <v>1295</v>
      </c>
      <c r="E11" s="26" t="s">
        <v>1347</v>
      </c>
      <c r="F11" s="59" t="s">
        <v>1348</v>
      </c>
      <c r="G11" s="60" t="s">
        <v>1349</v>
      </c>
      <c r="H11" s="60" t="s">
        <v>1350</v>
      </c>
      <c r="I11" s="26" t="s">
        <v>1351</v>
      </c>
      <c r="J11" s="26" t="s">
        <v>1343</v>
      </c>
    </row>
    <row r="12" spans="1:17" ht="78" customHeight="1">
      <c r="A12" s="58" t="s">
        <v>1352</v>
      </c>
      <c r="B12" s="26" t="s">
        <v>1353</v>
      </c>
      <c r="C12" s="444" t="s">
        <v>1354</v>
      </c>
      <c r="D12" s="26" t="s">
        <v>1295</v>
      </c>
      <c r="E12" s="26" t="s">
        <v>1355</v>
      </c>
      <c r="F12" s="59" t="s">
        <v>1356</v>
      </c>
      <c r="G12" s="60" t="s">
        <v>1357</v>
      </c>
      <c r="H12" s="60" t="s">
        <v>1358</v>
      </c>
      <c r="I12" s="26" t="s">
        <v>1359</v>
      </c>
      <c r="J12" s="26" t="s">
        <v>1360</v>
      </c>
    </row>
    <row r="13" spans="1:17" ht="78" customHeight="1">
      <c r="A13" s="58" t="s">
        <v>1361</v>
      </c>
      <c r="B13" s="26" t="s">
        <v>1362</v>
      </c>
      <c r="C13" s="444" t="s">
        <v>1363</v>
      </c>
      <c r="D13" s="26" t="s">
        <v>1295</v>
      </c>
      <c r="E13" s="26" t="s">
        <v>1364</v>
      </c>
      <c r="F13" s="59" t="s">
        <v>1365</v>
      </c>
      <c r="G13" s="60" t="s">
        <v>1366</v>
      </c>
      <c r="H13" s="60" t="s">
        <v>1367</v>
      </c>
      <c r="I13" s="26" t="s">
        <v>1368</v>
      </c>
      <c r="J13" s="26" t="s">
        <v>1360</v>
      </c>
    </row>
    <row r="14" spans="1:17" ht="78" customHeight="1">
      <c r="A14" s="58" t="s">
        <v>1369</v>
      </c>
      <c r="B14" s="26" t="s">
        <v>1370</v>
      </c>
      <c r="C14" s="444" t="s">
        <v>1371</v>
      </c>
      <c r="D14" s="26" t="s">
        <v>1295</v>
      </c>
      <c r="E14" s="26" t="s">
        <v>1372</v>
      </c>
      <c r="F14" s="59" t="s">
        <v>1373</v>
      </c>
      <c r="G14" s="60" t="s">
        <v>1374</v>
      </c>
      <c r="H14" s="60" t="s">
        <v>1375</v>
      </c>
      <c r="I14" s="26" t="s">
        <v>1376</v>
      </c>
      <c r="J14" s="26" t="s">
        <v>1360</v>
      </c>
    </row>
    <row r="16" spans="1:17" ht="33.9" customHeight="1">
      <c r="A16" s="450" t="s">
        <v>1285</v>
      </c>
      <c r="B16" s="507" t="s">
        <v>2914</v>
      </c>
      <c r="C16" s="508"/>
      <c r="D16" s="508"/>
      <c r="E16" s="508"/>
      <c r="F16" s="508"/>
      <c r="G16" s="508"/>
      <c r="H16" s="508"/>
      <c r="I16" s="508"/>
      <c r="J16" s="508"/>
      <c r="K16" s="508"/>
      <c r="L16" s="508"/>
    </row>
    <row r="17" spans="1:17" ht="33.9" customHeight="1">
      <c r="A17" s="450"/>
      <c r="B17" s="507"/>
      <c r="C17" s="508"/>
      <c r="D17" s="508"/>
      <c r="E17" s="508"/>
      <c r="F17" s="508"/>
      <c r="G17" s="508"/>
      <c r="H17" s="508"/>
      <c r="I17" s="508"/>
      <c r="J17" s="508"/>
      <c r="K17" s="508"/>
      <c r="L17" s="508"/>
    </row>
    <row r="18" spans="1:17" ht="33.9" customHeight="1">
      <c r="A18" s="450"/>
      <c r="B18" s="507"/>
      <c r="C18" s="508"/>
      <c r="D18" s="508"/>
      <c r="E18" s="508"/>
      <c r="F18" s="508"/>
      <c r="G18" s="508"/>
      <c r="H18" s="508"/>
      <c r="I18" s="508"/>
      <c r="J18" s="508"/>
      <c r="K18" s="508"/>
      <c r="L18" s="508"/>
    </row>
    <row r="20" spans="1:17" ht="75" customHeight="1">
      <c r="A20" s="342" t="s">
        <v>1377</v>
      </c>
      <c r="B20" s="342"/>
      <c r="C20" s="342"/>
      <c r="D20" s="342"/>
      <c r="E20" s="342"/>
      <c r="F20" s="342"/>
      <c r="G20" s="342"/>
      <c r="H20" s="342"/>
      <c r="I20" s="342"/>
      <c r="J20" s="342"/>
      <c r="K20" s="342"/>
      <c r="L20" s="342"/>
      <c r="M20" s="342"/>
      <c r="N20" s="342"/>
      <c r="O20" s="342"/>
      <c r="P20" s="342"/>
      <c r="Q20" s="342"/>
    </row>
    <row r="21" spans="1:17" ht="21.9" customHeight="1">
      <c r="A21" s="506" t="s">
        <v>1378</v>
      </c>
      <c r="B21" s="470"/>
      <c r="C21" s="470"/>
      <c r="D21" s="470"/>
      <c r="E21" s="470"/>
      <c r="F21" s="470"/>
      <c r="G21" s="470"/>
      <c r="H21" s="470"/>
      <c r="I21" s="470"/>
      <c r="J21" s="470"/>
      <c r="K21" s="470"/>
      <c r="L21" s="465"/>
      <c r="N21" s="326" t="s">
        <v>1379</v>
      </c>
      <c r="O21" s="326" t="s">
        <v>1380</v>
      </c>
      <c r="P21" s="326" t="s">
        <v>1381</v>
      </c>
      <c r="Q21" s="326" t="s">
        <v>1382</v>
      </c>
    </row>
    <row r="22" spans="1:17" ht="28.5" customHeight="1">
      <c r="N22" s="26" t="s">
        <v>1383</v>
      </c>
      <c r="O22" s="26" t="s">
        <v>1384</v>
      </c>
      <c r="P22" s="26" t="s">
        <v>1385</v>
      </c>
      <c r="Q22" s="26" t="s">
        <v>1386</v>
      </c>
    </row>
    <row r="23" spans="1:17" ht="28.5" customHeight="1">
      <c r="N23" s="26" t="s">
        <v>1387</v>
      </c>
      <c r="O23" s="26" t="s">
        <v>1388</v>
      </c>
      <c r="P23" s="26" t="s">
        <v>1389</v>
      </c>
      <c r="Q23" s="26" t="s">
        <v>1390</v>
      </c>
    </row>
    <row r="24" spans="1:17" ht="28.5" customHeight="1">
      <c r="N24" s="26" t="s">
        <v>1391</v>
      </c>
      <c r="O24" s="26" t="s">
        <v>1388</v>
      </c>
      <c r="P24" s="26" t="s">
        <v>1392</v>
      </c>
      <c r="Q24" s="26" t="s">
        <v>1393</v>
      </c>
    </row>
    <row r="25" spans="1:17" ht="42.75" customHeight="1">
      <c r="N25" s="26" t="s">
        <v>1394</v>
      </c>
      <c r="O25" s="26" t="s">
        <v>1395</v>
      </c>
      <c r="P25" s="26" t="s">
        <v>1396</v>
      </c>
      <c r="Q25" s="26" t="s">
        <v>1397</v>
      </c>
    </row>
    <row r="26" spans="1:17" ht="42.75" customHeight="1">
      <c r="N26" s="26" t="s">
        <v>1398</v>
      </c>
      <c r="O26" s="26" t="s">
        <v>1395</v>
      </c>
      <c r="P26" s="26" t="s">
        <v>1399</v>
      </c>
      <c r="Q26" s="26" t="s">
        <v>1400</v>
      </c>
    </row>
    <row r="27" spans="1:17">
      <c r="N27" s="26"/>
      <c r="O27" s="26"/>
      <c r="P27" s="26"/>
      <c r="Q27" s="26"/>
    </row>
    <row r="34" spans="1:12" ht="21.9" customHeight="1">
      <c r="A34" s="506" t="s">
        <v>1401</v>
      </c>
      <c r="B34" s="470"/>
      <c r="C34" s="470"/>
      <c r="D34" s="470"/>
      <c r="E34" s="470"/>
      <c r="F34" s="470"/>
      <c r="G34" s="470"/>
      <c r="H34" s="470"/>
      <c r="I34" s="470"/>
      <c r="J34" s="470"/>
      <c r="K34" s="470"/>
      <c r="L34" s="465"/>
    </row>
    <row r="45" spans="1:12" ht="21.9" customHeight="1">
      <c r="A45" s="506" t="s">
        <v>1402</v>
      </c>
      <c r="B45" s="470"/>
      <c r="C45" s="470"/>
      <c r="D45" s="470"/>
      <c r="E45" s="470"/>
      <c r="F45" s="470"/>
      <c r="G45" s="470"/>
      <c r="H45" s="470"/>
      <c r="I45" s="470"/>
      <c r="J45" s="470"/>
      <c r="K45" s="470"/>
      <c r="L45" s="465"/>
    </row>
    <row r="56" spans="1:12" ht="21.9" customHeight="1">
      <c r="A56" s="506" t="s">
        <v>1403</v>
      </c>
      <c r="B56" s="470"/>
      <c r="C56" s="470"/>
      <c r="D56" s="470"/>
      <c r="E56" s="470"/>
      <c r="F56" s="470"/>
      <c r="G56" s="470"/>
      <c r="H56" s="470"/>
      <c r="I56" s="470"/>
      <c r="J56" s="470"/>
      <c r="K56" s="470"/>
      <c r="L56" s="465"/>
    </row>
    <row r="76" spans="1:12" ht="21.9" customHeight="1">
      <c r="A76" s="506" t="s">
        <v>1404</v>
      </c>
      <c r="B76" s="470"/>
      <c r="C76" s="470"/>
      <c r="D76" s="470"/>
      <c r="E76" s="470"/>
      <c r="F76" s="470"/>
      <c r="G76" s="470"/>
      <c r="H76" s="470"/>
      <c r="I76" s="470"/>
      <c r="J76" s="470"/>
      <c r="K76" s="470"/>
      <c r="L76" s="465"/>
    </row>
  </sheetData>
  <mergeCells count="10">
    <mergeCell ref="A1:Q1"/>
    <mergeCell ref="A21:L21"/>
    <mergeCell ref="A34:L34"/>
    <mergeCell ref="B18:L18"/>
    <mergeCell ref="A76:L76"/>
    <mergeCell ref="B16:L16"/>
    <mergeCell ref="A45:L45"/>
    <mergeCell ref="A2:Q2"/>
    <mergeCell ref="B17:L17"/>
    <mergeCell ref="A56:L56"/>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51"/>
  <sheetViews>
    <sheetView showGridLines="0" topLeftCell="A22" zoomScale="55" zoomScaleNormal="55" workbookViewId="0">
      <selection sqref="A1:H1"/>
    </sheetView>
  </sheetViews>
  <sheetFormatPr defaultRowHeight="13.8"/>
  <cols>
    <col min="1" max="1" width="17.59765625" customWidth="1"/>
    <col min="2" max="2" width="25.59765625" customWidth="1"/>
    <col min="3" max="3" width="36.59765625" customWidth="1"/>
    <col min="4" max="5" width="18.59765625" customWidth="1"/>
    <col min="6" max="6" width="34.59765625" customWidth="1"/>
    <col min="7" max="7" width="42.59765625" customWidth="1"/>
    <col min="8" max="8" width="58.59765625" customWidth="1"/>
  </cols>
  <sheetData>
    <row r="1" spans="1:8" ht="24" customHeight="1">
      <c r="A1" s="510" t="s">
        <v>1405</v>
      </c>
      <c r="B1" s="452"/>
      <c r="C1" s="452"/>
      <c r="D1" s="452"/>
      <c r="E1" s="452"/>
      <c r="F1" s="452"/>
      <c r="G1" s="452"/>
      <c r="H1" s="452"/>
    </row>
    <row r="2" spans="1:8" ht="24" customHeight="1">
      <c r="A2" s="509" t="s">
        <v>1406</v>
      </c>
      <c r="B2" s="452"/>
      <c r="C2" s="452"/>
      <c r="D2" s="452"/>
      <c r="E2" s="452"/>
      <c r="F2" s="452"/>
      <c r="G2" s="452"/>
      <c r="H2" s="452"/>
    </row>
    <row r="4" spans="1:8" ht="15" customHeight="1">
      <c r="A4" s="445" t="s">
        <v>1407</v>
      </c>
      <c r="B4" s="445" t="s">
        <v>1408</v>
      </c>
      <c r="C4" s="445" t="s">
        <v>1409</v>
      </c>
      <c r="D4" s="445" t="s">
        <v>1149</v>
      </c>
      <c r="E4" s="445" t="s">
        <v>598</v>
      </c>
      <c r="F4" s="445" t="s">
        <v>150</v>
      </c>
      <c r="G4" s="445" t="s">
        <v>1256</v>
      </c>
      <c r="H4" s="445" t="s">
        <v>640</v>
      </c>
    </row>
    <row r="5" spans="1:8" ht="42" customHeight="1">
      <c r="A5" s="446" t="s">
        <v>1410</v>
      </c>
      <c r="B5" s="273" t="s">
        <v>1411</v>
      </c>
      <c r="C5" s="273" t="s">
        <v>1412</v>
      </c>
      <c r="D5" s="273" t="s">
        <v>1413</v>
      </c>
      <c r="E5" s="282" t="s">
        <v>1414</v>
      </c>
      <c r="F5" s="273" t="s">
        <v>1415</v>
      </c>
      <c r="G5" s="273" t="s">
        <v>1416</v>
      </c>
      <c r="H5" s="273" t="s">
        <v>1417</v>
      </c>
    </row>
    <row r="6" spans="1:8" ht="42" customHeight="1">
      <c r="A6" s="446" t="s">
        <v>1418</v>
      </c>
      <c r="B6" s="273" t="s">
        <v>1419</v>
      </c>
      <c r="C6" s="273" t="s">
        <v>1420</v>
      </c>
      <c r="D6" s="273" t="s">
        <v>1421</v>
      </c>
      <c r="E6" s="282" t="s">
        <v>1414</v>
      </c>
      <c r="F6" s="273" t="s">
        <v>1422</v>
      </c>
      <c r="G6" s="273" t="s">
        <v>1423</v>
      </c>
      <c r="H6" s="273" t="s">
        <v>1424</v>
      </c>
    </row>
    <row r="7" spans="1:8" ht="42" customHeight="1">
      <c r="A7" s="446" t="s">
        <v>1425</v>
      </c>
      <c r="B7" s="273" t="s">
        <v>1426</v>
      </c>
      <c r="C7" s="273" t="s">
        <v>1032</v>
      </c>
      <c r="D7" s="273" t="s">
        <v>233</v>
      </c>
      <c r="E7" s="282" t="str">
        <f>ROUND('96_Raw_Phase4_Drivers'!$E$5,0)&amp;" VND bn"</f>
        <v>79159 VND bn</v>
      </c>
      <c r="F7" s="273" t="s">
        <v>1427</v>
      </c>
      <c r="G7" s="273" t="s">
        <v>1428</v>
      </c>
      <c r="H7" s="273" t="s">
        <v>1429</v>
      </c>
    </row>
    <row r="8" spans="1:8" ht="42" customHeight="1">
      <c r="A8" s="446" t="s">
        <v>1430</v>
      </c>
      <c r="B8" s="273" t="s">
        <v>1426</v>
      </c>
      <c r="C8" s="273" t="s">
        <v>1032</v>
      </c>
      <c r="D8" s="273" t="s">
        <v>1431</v>
      </c>
      <c r="E8" s="282" t="str">
        <f>ROUND('96_Raw_Phase4_Drivers'!$E$6,0)&amp;" VND bn"</f>
        <v>61229 VND bn</v>
      </c>
      <c r="F8" s="273" t="s">
        <v>1427</v>
      </c>
      <c r="G8" s="273" t="s">
        <v>1432</v>
      </c>
      <c r="H8" s="273" t="s">
        <v>1433</v>
      </c>
    </row>
    <row r="9" spans="1:8" ht="42" customHeight="1">
      <c r="A9" s="446" t="s">
        <v>1434</v>
      </c>
      <c r="B9" s="273" t="s">
        <v>1426</v>
      </c>
      <c r="C9" s="273" t="s">
        <v>1435</v>
      </c>
      <c r="D9" s="273" t="s">
        <v>233</v>
      </c>
      <c r="E9" s="282" t="str">
        <f>ROUND('96_Raw_Phase4_Drivers'!$E$7*100,1)&amp;"%"</f>
        <v>22,5%</v>
      </c>
      <c r="F9" s="273" t="s">
        <v>1427</v>
      </c>
      <c r="G9" s="273" t="s">
        <v>1436</v>
      </c>
      <c r="H9" s="273" t="s">
        <v>1437</v>
      </c>
    </row>
    <row r="10" spans="1:8" ht="42" customHeight="1">
      <c r="A10" s="446" t="s">
        <v>1438</v>
      </c>
      <c r="B10" s="273" t="s">
        <v>1426</v>
      </c>
      <c r="C10" s="273" t="s">
        <v>1439</v>
      </c>
      <c r="D10" s="273" t="s">
        <v>233</v>
      </c>
      <c r="E10" s="282" t="str">
        <f>ROUND('96_Raw_Phase4_Drivers'!$E$8*100,1)&amp;"%"</f>
        <v>46,3%</v>
      </c>
      <c r="F10" s="273" t="s">
        <v>1427</v>
      </c>
      <c r="G10" s="273" t="s">
        <v>1440</v>
      </c>
      <c r="H10" s="273" t="s">
        <v>1437</v>
      </c>
    </row>
    <row r="11" spans="1:8" ht="42" customHeight="1">
      <c r="A11" s="446" t="s">
        <v>1441</v>
      </c>
      <c r="B11" s="273" t="s">
        <v>1426</v>
      </c>
      <c r="C11" s="273" t="s">
        <v>1442</v>
      </c>
      <c r="D11" s="273" t="s">
        <v>233</v>
      </c>
      <c r="E11" s="282" t="str">
        <f>ROUND('96_Raw_Phase4_Drivers'!$E$9*100,1)&amp;"%"</f>
        <v>29,2%</v>
      </c>
      <c r="F11" s="273" t="s">
        <v>1427</v>
      </c>
      <c r="G11" s="273" t="s">
        <v>1443</v>
      </c>
      <c r="H11" s="273" t="s">
        <v>1444</v>
      </c>
    </row>
    <row r="12" spans="1:8" ht="42" customHeight="1">
      <c r="A12" s="446" t="s">
        <v>1445</v>
      </c>
      <c r="B12" s="273" t="s">
        <v>1426</v>
      </c>
      <c r="C12" s="273" t="s">
        <v>1446</v>
      </c>
      <c r="D12" s="273" t="s">
        <v>233</v>
      </c>
      <c r="E12" s="282" t="str">
        <f>ROUND('96_Raw_Phase4_Drivers'!$E$11,0)&amp;" VND bn"</f>
        <v>54500 VND bn</v>
      </c>
      <c r="F12" s="273" t="s">
        <v>1427</v>
      </c>
      <c r="G12" s="273" t="s">
        <v>1447</v>
      </c>
      <c r="H12" s="273" t="s">
        <v>1448</v>
      </c>
    </row>
    <row r="13" spans="1:8" ht="42" customHeight="1">
      <c r="A13" s="446" t="s">
        <v>1449</v>
      </c>
      <c r="B13" s="273" t="s">
        <v>1426</v>
      </c>
      <c r="C13" s="273" t="s">
        <v>1450</v>
      </c>
      <c r="D13" s="273" t="s">
        <v>233</v>
      </c>
      <c r="E13" s="282" t="str">
        <f>ROUND('96_Raw_Phase4_Drivers'!$E$12*100,1)&amp;"%"</f>
        <v>33%</v>
      </c>
      <c r="F13" s="273" t="s">
        <v>1427</v>
      </c>
      <c r="G13" s="273" t="s">
        <v>1451</v>
      </c>
      <c r="H13" s="273" t="s">
        <v>1452</v>
      </c>
    </row>
    <row r="14" spans="1:8" ht="42" customHeight="1">
      <c r="A14" s="446" t="s">
        <v>1453</v>
      </c>
      <c r="B14" s="273" t="s">
        <v>1426</v>
      </c>
      <c r="C14" s="273" t="s">
        <v>1039</v>
      </c>
      <c r="D14" s="273" t="s">
        <v>233</v>
      </c>
      <c r="E14" s="282" t="str">
        <f>ROUND('96_Raw_Phase4_Drivers'!$E$13,0)&amp;" VND bn"</f>
        <v>23000 VND bn</v>
      </c>
      <c r="F14" s="273" t="s">
        <v>1427</v>
      </c>
      <c r="G14" s="273" t="s">
        <v>1454</v>
      </c>
      <c r="H14" s="273" t="s">
        <v>1455</v>
      </c>
    </row>
    <row r="15" spans="1:8" ht="42" customHeight="1">
      <c r="A15" s="446" t="s">
        <v>1456</v>
      </c>
      <c r="B15" s="273" t="s">
        <v>1426</v>
      </c>
      <c r="C15" s="273" t="s">
        <v>1457</v>
      </c>
      <c r="D15" s="273" t="s">
        <v>233</v>
      </c>
      <c r="E15" s="282" t="str">
        <f>ROUND('96_Raw_Phase4_Drivers'!$E$14*100,1)&amp;"%"</f>
        <v>22,5%</v>
      </c>
      <c r="F15" s="273" t="s">
        <v>1427</v>
      </c>
      <c r="G15" s="273" t="s">
        <v>1458</v>
      </c>
      <c r="H15" s="273" t="s">
        <v>1459</v>
      </c>
    </row>
    <row r="16" spans="1:8" ht="42" customHeight="1">
      <c r="A16" s="446" t="s">
        <v>1460</v>
      </c>
      <c r="B16" s="273" t="s">
        <v>1461</v>
      </c>
      <c r="C16" s="273" t="s">
        <v>1043</v>
      </c>
      <c r="D16" s="273" t="s">
        <v>233</v>
      </c>
      <c r="E16" s="282" t="str">
        <f>ROUND('96_Raw_Phase4_Drivers'!$E$15,0)&amp;" stores"</f>
        <v>532 stores</v>
      </c>
      <c r="F16" s="273" t="s">
        <v>1427</v>
      </c>
      <c r="G16" s="273" t="s">
        <v>1462</v>
      </c>
      <c r="H16" s="273" t="s">
        <v>1463</v>
      </c>
    </row>
    <row r="17" spans="1:8" ht="42" customHeight="1">
      <c r="A17" s="446" t="s">
        <v>1464</v>
      </c>
      <c r="B17" s="273" t="s">
        <v>1426</v>
      </c>
      <c r="C17" s="273" t="s">
        <v>1465</v>
      </c>
      <c r="D17" s="273" t="s">
        <v>233</v>
      </c>
      <c r="E17" s="282" t="str">
        <f>ROUND('96_Raw_Phase4_Drivers'!$E$16,0)&amp;" IDR bn"</f>
        <v>1560 IDR bn</v>
      </c>
      <c r="F17" s="273" t="s">
        <v>1427</v>
      </c>
      <c r="G17" s="273" t="s">
        <v>1466</v>
      </c>
      <c r="H17" s="273" t="s">
        <v>1467</v>
      </c>
    </row>
    <row r="18" spans="1:8" ht="42" customHeight="1">
      <c r="A18" s="446" t="s">
        <v>1468</v>
      </c>
      <c r="B18" s="273" t="s">
        <v>1426</v>
      </c>
      <c r="C18" s="273" t="s">
        <v>1469</v>
      </c>
      <c r="D18" s="273" t="s">
        <v>233</v>
      </c>
      <c r="E18" s="282" t="str">
        <f>ROUND('96_Raw_Phase4_Drivers'!$E$17,0)&amp;" stores"</f>
        <v>64 stores</v>
      </c>
      <c r="F18" s="273" t="s">
        <v>1427</v>
      </c>
      <c r="G18" s="273" t="s">
        <v>1470</v>
      </c>
      <c r="H18" s="273" t="s">
        <v>1467</v>
      </c>
    </row>
    <row r="19" spans="1:8" ht="42" customHeight="1">
      <c r="A19" s="446" t="s">
        <v>1471</v>
      </c>
      <c r="B19" s="273" t="s">
        <v>1426</v>
      </c>
      <c r="C19" s="273" t="s">
        <v>1472</v>
      </c>
      <c r="D19" s="273" t="s">
        <v>233</v>
      </c>
      <c r="E19" s="282" t="str">
        <f>ROUND('96_Raw_Phase4_Drivers'!$E$18*100,1)&amp;"%"</f>
        <v>19%</v>
      </c>
      <c r="F19" s="273" t="s">
        <v>1427</v>
      </c>
      <c r="G19" s="273" t="s">
        <v>1473</v>
      </c>
      <c r="H19" s="273" t="s">
        <v>1467</v>
      </c>
    </row>
    <row r="20" spans="1:8" ht="42" customHeight="1">
      <c r="A20" s="446" t="s">
        <v>1474</v>
      </c>
      <c r="B20" s="273" t="s">
        <v>1461</v>
      </c>
      <c r="C20" s="273" t="s">
        <v>1042</v>
      </c>
      <c r="D20" s="273" t="s">
        <v>233</v>
      </c>
      <c r="E20" s="282" t="str">
        <f>ROUND('96_Raw_Phase4_Drivers'!$E$93,0)&amp;" VND bn"</f>
        <v>6000 VND bn</v>
      </c>
      <c r="F20" s="273" t="s">
        <v>1427</v>
      </c>
      <c r="G20" s="273" t="s">
        <v>1475</v>
      </c>
      <c r="H20" s="273" t="s">
        <v>1476</v>
      </c>
    </row>
    <row r="21" spans="1:8" ht="42" customHeight="1">
      <c r="A21" s="446" t="s">
        <v>1477</v>
      </c>
      <c r="B21" s="273" t="s">
        <v>1478</v>
      </c>
      <c r="C21" s="273" t="s">
        <v>1293</v>
      </c>
      <c r="D21" s="273" t="s">
        <v>294</v>
      </c>
      <c r="E21" s="282" t="str">
        <f>ROUND('96_Raw_Phase4_Drivers'!$E$25,0)&amp;" VND bn"</f>
        <v>185000 VND bn</v>
      </c>
      <c r="F21" s="273" t="s">
        <v>1479</v>
      </c>
      <c r="G21" s="273" t="s">
        <v>1480</v>
      </c>
      <c r="H21" s="273" t="s">
        <v>1481</v>
      </c>
    </row>
    <row r="22" spans="1:8" ht="42" customHeight="1">
      <c r="A22" s="446" t="s">
        <v>1482</v>
      </c>
      <c r="B22" s="273" t="s">
        <v>1478</v>
      </c>
      <c r="C22" s="273" t="s">
        <v>1303</v>
      </c>
      <c r="D22" s="273" t="s">
        <v>294</v>
      </c>
      <c r="E22" s="282" t="str">
        <f>ROUND('96_Raw_Phase4_Drivers'!$E$26,0)&amp;" VND bn"</f>
        <v>9200 VND bn</v>
      </c>
      <c r="F22" s="273" t="s">
        <v>1479</v>
      </c>
      <c r="G22" s="273" t="s">
        <v>1483</v>
      </c>
      <c r="H22" s="273" t="s">
        <v>1481</v>
      </c>
    </row>
    <row r="23" spans="1:8" ht="42" customHeight="1">
      <c r="A23" s="446" t="s">
        <v>1484</v>
      </c>
      <c r="B23" s="273" t="s">
        <v>1426</v>
      </c>
      <c r="C23" s="273" t="s">
        <v>1485</v>
      </c>
      <c r="D23" s="273" t="s">
        <v>294</v>
      </c>
      <c r="E23" s="282" t="str">
        <f>ROUND('96_Raw_Phase4_Drivers'!$E$27*100,1)&amp;"%"</f>
        <v>65%</v>
      </c>
      <c r="F23" s="273" t="s">
        <v>1479</v>
      </c>
      <c r="G23" s="273" t="s">
        <v>1486</v>
      </c>
      <c r="H23" s="273" t="s">
        <v>1487</v>
      </c>
    </row>
    <row r="24" spans="1:8" ht="42" customHeight="1">
      <c r="A24" s="446" t="s">
        <v>1488</v>
      </c>
      <c r="B24" s="273" t="s">
        <v>1426</v>
      </c>
      <c r="C24" s="273" t="s">
        <v>1489</v>
      </c>
      <c r="D24" s="273" t="s">
        <v>294</v>
      </c>
      <c r="E24" s="282" t="str">
        <f>ROUND('96_Raw_Phase4_Drivers'!$E$28*100,1)&amp;"%"</f>
        <v>30%</v>
      </c>
      <c r="F24" s="273" t="s">
        <v>1479</v>
      </c>
      <c r="G24" s="273" t="s">
        <v>1490</v>
      </c>
      <c r="H24" s="273" t="s">
        <v>1491</v>
      </c>
    </row>
    <row r="25" spans="1:8" ht="42" customHeight="1">
      <c r="A25" s="446" t="s">
        <v>1492</v>
      </c>
      <c r="B25" s="273" t="s">
        <v>1426</v>
      </c>
      <c r="C25" s="273" t="s">
        <v>1493</v>
      </c>
      <c r="D25" s="273" t="s">
        <v>294</v>
      </c>
      <c r="E25" s="282" t="str">
        <f>ROUND('96_Raw_Phase4_Drivers'!$E$29*100,1)&amp;"%"</f>
        <v>15%</v>
      </c>
      <c r="F25" s="273" t="s">
        <v>1479</v>
      </c>
      <c r="G25" s="273" t="s">
        <v>1494</v>
      </c>
      <c r="H25" s="273" t="s">
        <v>1495</v>
      </c>
    </row>
    <row r="26" spans="1:8" ht="42" customHeight="1">
      <c r="A26" s="446" t="s">
        <v>1496</v>
      </c>
      <c r="B26" s="273" t="s">
        <v>1426</v>
      </c>
      <c r="C26" s="273" t="s">
        <v>1497</v>
      </c>
      <c r="D26" s="273" t="s">
        <v>294</v>
      </c>
      <c r="E26" s="282" t="str">
        <f>ROUND('96_Raw_Phase4_Drivers'!$E$30*100,1)&amp;"%"</f>
        <v>20%</v>
      </c>
      <c r="F26" s="273" t="s">
        <v>1479</v>
      </c>
      <c r="G26" s="273" t="s">
        <v>1498</v>
      </c>
      <c r="H26" s="273" t="s">
        <v>1495</v>
      </c>
    </row>
    <row r="27" spans="1:8" ht="42" customHeight="1">
      <c r="A27" s="446" t="s">
        <v>1499</v>
      </c>
      <c r="B27" s="273" t="s">
        <v>1461</v>
      </c>
      <c r="C27" s="273" t="s">
        <v>1500</v>
      </c>
      <c r="D27" s="273" t="s">
        <v>294</v>
      </c>
      <c r="E27" s="282" t="str">
        <f>ROUND('96_Raw_Phase4_Drivers'!$E$31,0)&amp;" stores"</f>
        <v>1000 stores</v>
      </c>
      <c r="F27" s="273" t="s">
        <v>1501</v>
      </c>
      <c r="G27" s="273" t="s">
        <v>1502</v>
      </c>
      <c r="H27" s="273" t="s">
        <v>1503</v>
      </c>
    </row>
    <row r="28" spans="1:8" ht="42" customHeight="1">
      <c r="A28" s="446" t="s">
        <v>1504</v>
      </c>
      <c r="B28" s="273" t="s">
        <v>1426</v>
      </c>
      <c r="C28" s="273" t="s">
        <v>1505</v>
      </c>
      <c r="D28" s="273" t="s">
        <v>294</v>
      </c>
      <c r="E28" s="282" t="str">
        <f>ROUND('96_Raw_Phase4_Drivers'!$E$33*100,1)&amp;"%"</f>
        <v>30%</v>
      </c>
      <c r="F28" s="273" t="s">
        <v>1479</v>
      </c>
      <c r="G28" s="273" t="s">
        <v>1506</v>
      </c>
      <c r="H28" s="273" t="s">
        <v>1507</v>
      </c>
    </row>
    <row r="29" spans="1:8" ht="42" customHeight="1">
      <c r="A29" s="446" t="s">
        <v>1508</v>
      </c>
      <c r="B29" s="273" t="s">
        <v>1426</v>
      </c>
      <c r="C29" s="273" t="s">
        <v>1509</v>
      </c>
      <c r="D29" s="273" t="s">
        <v>294</v>
      </c>
      <c r="E29" s="282" t="str">
        <f>ROUND('96_Raw_Phase4_Drivers'!$E$34,0)&amp;" stores"</f>
        <v>100 stores</v>
      </c>
      <c r="F29" s="273" t="s">
        <v>1479</v>
      </c>
      <c r="G29" s="273" t="s">
        <v>1510</v>
      </c>
      <c r="H29" s="273" t="s">
        <v>1507</v>
      </c>
    </row>
    <row r="30" spans="1:8" ht="42" customHeight="1">
      <c r="A30" s="446" t="s">
        <v>1511</v>
      </c>
      <c r="B30" s="273" t="s">
        <v>1426</v>
      </c>
      <c r="C30" s="273" t="s">
        <v>1512</v>
      </c>
      <c r="D30" s="273" t="s">
        <v>294</v>
      </c>
      <c r="E30" s="282" t="str">
        <f>ROUND('96_Raw_Phase4_Drivers'!$E$35*100,1)&amp;"%"</f>
        <v>20%</v>
      </c>
      <c r="F30" s="273" t="s">
        <v>1479</v>
      </c>
      <c r="G30" s="273" t="s">
        <v>1513</v>
      </c>
      <c r="H30" s="273" t="s">
        <v>1514</v>
      </c>
    </row>
    <row r="31" spans="1:8" ht="42" customHeight="1">
      <c r="A31" s="446" t="s">
        <v>1515</v>
      </c>
      <c r="B31" s="273" t="s">
        <v>1426</v>
      </c>
      <c r="C31" s="273" t="s">
        <v>1516</v>
      </c>
      <c r="D31" s="273" t="s">
        <v>294</v>
      </c>
      <c r="E31" s="282" t="str">
        <f>ROUND('96_Raw_Phase4_Drivers'!$E$36,0)&amp;" stores"</f>
        <v>300 stores</v>
      </c>
      <c r="F31" s="273" t="s">
        <v>1479</v>
      </c>
      <c r="G31" s="273" t="s">
        <v>1517</v>
      </c>
      <c r="H31" s="273" t="s">
        <v>1467</v>
      </c>
    </row>
    <row r="32" spans="1:8" ht="42" customHeight="1">
      <c r="A32" s="446" t="s">
        <v>1518</v>
      </c>
      <c r="B32" s="273" t="s">
        <v>1426</v>
      </c>
      <c r="C32" s="273" t="s">
        <v>1519</v>
      </c>
      <c r="D32" s="273" t="s">
        <v>294</v>
      </c>
      <c r="E32" s="282" t="str">
        <f>ROUND('96_Raw_Phase4_Drivers'!$E$37*100,1)&amp;"%"</f>
        <v>30%</v>
      </c>
      <c r="F32" s="273" t="s">
        <v>1479</v>
      </c>
      <c r="G32" s="273" t="s">
        <v>1520</v>
      </c>
      <c r="H32" s="273" t="s">
        <v>1467</v>
      </c>
    </row>
    <row r="33" spans="1:8" ht="42" customHeight="1">
      <c r="A33" s="446" t="s">
        <v>1521</v>
      </c>
      <c r="B33" s="273" t="s">
        <v>1522</v>
      </c>
      <c r="C33" s="273" t="s">
        <v>1523</v>
      </c>
      <c r="D33" s="273" t="s">
        <v>1524</v>
      </c>
      <c r="E33" s="282" t="s">
        <v>1414</v>
      </c>
      <c r="F33" s="273" t="s">
        <v>1525</v>
      </c>
      <c r="G33" s="273" t="s">
        <v>1526</v>
      </c>
      <c r="H33" s="273" t="s">
        <v>1527</v>
      </c>
    </row>
    <row r="34" spans="1:8" ht="42" customHeight="1">
      <c r="A34" s="446" t="s">
        <v>1528</v>
      </c>
      <c r="B34" s="273" t="s">
        <v>1522</v>
      </c>
      <c r="C34" s="273" t="s">
        <v>1529</v>
      </c>
      <c r="D34" s="273" t="s">
        <v>1530</v>
      </c>
      <c r="E34" s="282" t="s">
        <v>1414</v>
      </c>
      <c r="F34" s="273" t="s">
        <v>1531</v>
      </c>
      <c r="G34" s="273" t="s">
        <v>1532</v>
      </c>
      <c r="H34" s="273" t="s">
        <v>1533</v>
      </c>
    </row>
    <row r="35" spans="1:8" ht="42" customHeight="1">
      <c r="A35" s="446" t="s">
        <v>1534</v>
      </c>
      <c r="B35" s="273" t="s">
        <v>681</v>
      </c>
      <c r="C35" s="273" t="s">
        <v>643</v>
      </c>
      <c r="D35" s="273" t="s">
        <v>1535</v>
      </c>
      <c r="E35" s="282" t="str">
        <f>ROUND('19_WACC'!$F$6*100,1)&amp;"%"</f>
        <v>5%</v>
      </c>
      <c r="F35" s="273" t="s">
        <v>645</v>
      </c>
      <c r="G35" s="273" t="s">
        <v>1536</v>
      </c>
      <c r="H35" s="273" t="s">
        <v>1537</v>
      </c>
    </row>
    <row r="36" spans="1:8" ht="42" customHeight="1">
      <c r="A36" s="446" t="s">
        <v>1538</v>
      </c>
      <c r="B36" s="273" t="s">
        <v>681</v>
      </c>
      <c r="C36" s="273" t="s">
        <v>646</v>
      </c>
      <c r="D36" s="273">
        <v>2026</v>
      </c>
      <c r="E36" s="282" t="str">
        <f>ROUND('19_WACC'!$F$7*100,1)&amp;"%"</f>
        <v>4,2%</v>
      </c>
      <c r="F36" s="273" t="s">
        <v>648</v>
      </c>
      <c r="G36" s="273" t="s">
        <v>1539</v>
      </c>
      <c r="H36" s="273" t="s">
        <v>1540</v>
      </c>
    </row>
    <row r="37" spans="1:8" ht="42" customHeight="1">
      <c r="A37" s="446" t="s">
        <v>1541</v>
      </c>
      <c r="B37" s="273" t="s">
        <v>681</v>
      </c>
      <c r="C37" s="273" t="s">
        <v>649</v>
      </c>
      <c r="D37" s="273">
        <v>2026</v>
      </c>
      <c r="E37" s="282" t="str">
        <f>ROUND('19_WACC'!$F$8*100,1)&amp;"%"</f>
        <v>3,9%</v>
      </c>
      <c r="F37" s="273" t="s">
        <v>651</v>
      </c>
      <c r="G37" s="273" t="s">
        <v>1542</v>
      </c>
      <c r="H37" s="273" t="s">
        <v>1543</v>
      </c>
    </row>
    <row r="38" spans="1:8" ht="42" customHeight="1">
      <c r="A38" s="446" t="s">
        <v>1544</v>
      </c>
      <c r="B38" s="273" t="s">
        <v>681</v>
      </c>
      <c r="C38" s="273" t="s">
        <v>654</v>
      </c>
      <c r="D38" s="273" t="s">
        <v>1545</v>
      </c>
      <c r="E38" s="282" t="str">
        <f>ROUND('19_WACC'!$F$10,2)&amp;"x"</f>
        <v>1,14x</v>
      </c>
      <c r="F38" s="273" t="s">
        <v>656</v>
      </c>
      <c r="G38" s="273" t="s">
        <v>1546</v>
      </c>
      <c r="H38" s="273" t="s">
        <v>1547</v>
      </c>
    </row>
    <row r="39" spans="1:8" ht="42" customHeight="1">
      <c r="A39" s="446" t="s">
        <v>1548</v>
      </c>
      <c r="B39" s="273" t="s">
        <v>1549</v>
      </c>
      <c r="C39" s="273" t="s">
        <v>1550</v>
      </c>
      <c r="D39" s="280">
        <v>46199</v>
      </c>
      <c r="E39" s="282" t="s">
        <v>1414</v>
      </c>
      <c r="F39" s="273" t="s">
        <v>1551</v>
      </c>
      <c r="G39" s="273" t="s">
        <v>1552</v>
      </c>
      <c r="H39" s="273" t="s">
        <v>1553</v>
      </c>
    </row>
    <row r="40" spans="1:8" ht="42" customHeight="1">
      <c r="A40" s="446" t="s">
        <v>1554</v>
      </c>
      <c r="B40" s="273" t="s">
        <v>1549</v>
      </c>
      <c r="C40" s="273" t="s">
        <v>1555</v>
      </c>
      <c r="D40" s="273" t="s">
        <v>1556</v>
      </c>
      <c r="E40" s="282" t="s">
        <v>1557</v>
      </c>
      <c r="F40" s="273" t="s">
        <v>1551</v>
      </c>
      <c r="G40" s="273" t="s">
        <v>1558</v>
      </c>
      <c r="H40" s="273" t="s">
        <v>1559</v>
      </c>
    </row>
    <row r="41" spans="1:8" ht="42" customHeight="1">
      <c r="A41" s="446" t="s">
        <v>1560</v>
      </c>
      <c r="B41" s="273" t="s">
        <v>1008</v>
      </c>
      <c r="C41" s="273" t="s">
        <v>823</v>
      </c>
      <c r="D41" s="273" t="s">
        <v>874</v>
      </c>
      <c r="E41" s="282" t="str">
        <f>ROUND('21_Target_Multiple_Bridge'!$F$6,0)&amp;" VND bn"</f>
        <v>102460 VND bn</v>
      </c>
      <c r="F41" s="273" t="s">
        <v>825</v>
      </c>
      <c r="G41" s="273" t="s">
        <v>1561</v>
      </c>
      <c r="H41" s="273" t="s">
        <v>1562</v>
      </c>
    </row>
    <row r="42" spans="1:8" ht="42" customHeight="1">
      <c r="A42" s="446" t="s">
        <v>1563</v>
      </c>
      <c r="B42" s="273" t="s">
        <v>1008</v>
      </c>
      <c r="C42" s="273" t="s">
        <v>922</v>
      </c>
      <c r="D42" s="273" t="s">
        <v>874</v>
      </c>
      <c r="E42" s="282" t="str">
        <f>ROUND('21_Target_Multiple_Bridge'!$F$9,1)&amp;" VND bn"</f>
        <v>11012,8 VND bn</v>
      </c>
      <c r="F42" s="273" t="s">
        <v>825</v>
      </c>
      <c r="G42" s="273" t="s">
        <v>1564</v>
      </c>
      <c r="H42" s="273" t="s">
        <v>1565</v>
      </c>
    </row>
    <row r="43" spans="1:8" ht="42" customHeight="1">
      <c r="A43" s="446" t="s">
        <v>1566</v>
      </c>
      <c r="B43" s="273" t="s">
        <v>1008</v>
      </c>
      <c r="C43" s="273" t="s">
        <v>923</v>
      </c>
      <c r="D43" s="273" t="s">
        <v>874</v>
      </c>
      <c r="E43" s="282" t="str">
        <f>ROUND('21_Target_Multiple_Bridge'!$F$10,1)&amp;" VND bn"</f>
        <v>12807,8 VND bn</v>
      </c>
      <c r="F43" s="273" t="s">
        <v>825</v>
      </c>
      <c r="G43" s="273" t="s">
        <v>1567</v>
      </c>
      <c r="H43" s="273" t="s">
        <v>1565</v>
      </c>
    </row>
    <row r="44" spans="1:8" ht="42" customHeight="1">
      <c r="A44" s="446" t="s">
        <v>1568</v>
      </c>
      <c r="B44" s="273" t="s">
        <v>1008</v>
      </c>
      <c r="C44" s="273" t="s">
        <v>1569</v>
      </c>
      <c r="D44" s="273" t="s">
        <v>294</v>
      </c>
      <c r="E44" s="282" t="str">
        <f>ROUND('21_Target_Multiple_Bridge'!$F$12,1)&amp;"x"</f>
        <v>0,9x</v>
      </c>
      <c r="F44" s="273" t="s">
        <v>841</v>
      </c>
      <c r="G44" s="273" t="s">
        <v>1570</v>
      </c>
      <c r="H44" s="273" t="s">
        <v>1571</v>
      </c>
    </row>
    <row r="45" spans="1:8" ht="42" customHeight="1">
      <c r="A45" s="446" t="s">
        <v>1572</v>
      </c>
      <c r="B45" s="273" t="s">
        <v>1008</v>
      </c>
      <c r="C45" s="273" t="s">
        <v>1573</v>
      </c>
      <c r="D45" s="273" t="s">
        <v>1574</v>
      </c>
      <c r="E45" s="282" t="str">
        <f>ROUND('21_Target_Multiple_Bridge'!$F$15,2)&amp;"x"</f>
        <v>0,46x</v>
      </c>
      <c r="F45" s="273" t="s">
        <v>849</v>
      </c>
      <c r="G45" s="273" t="s">
        <v>1575</v>
      </c>
      <c r="H45" s="273" t="s">
        <v>1576</v>
      </c>
    </row>
    <row r="46" spans="1:8" ht="42" customHeight="1">
      <c r="A46" s="446" t="s">
        <v>1577</v>
      </c>
      <c r="B46" s="273" t="s">
        <v>1008</v>
      </c>
      <c r="C46" s="273" t="s">
        <v>1578</v>
      </c>
      <c r="D46" s="273" t="s">
        <v>1574</v>
      </c>
      <c r="E46" s="282" t="str">
        <f>ROUND('21_Target_Multiple_Bridge'!$F$18,2)&amp;"x"</f>
        <v>0,38x</v>
      </c>
      <c r="F46" s="273" t="s">
        <v>849</v>
      </c>
      <c r="G46" s="273" t="s">
        <v>1579</v>
      </c>
      <c r="H46" s="273" t="s">
        <v>1580</v>
      </c>
    </row>
    <row r="47" spans="1:8" ht="42" customHeight="1">
      <c r="A47" s="446" t="s">
        <v>1581</v>
      </c>
      <c r="B47" s="273" t="s">
        <v>1008</v>
      </c>
      <c r="C47" s="273" t="s">
        <v>1582</v>
      </c>
      <c r="D47" s="273" t="s">
        <v>1583</v>
      </c>
      <c r="E47" s="282" t="str">
        <f>ROUND('22_SOTP'!$F$38,1)&amp;" VND bn"</f>
        <v>0 VND bn</v>
      </c>
      <c r="F47" s="273" t="s">
        <v>1584</v>
      </c>
      <c r="G47" s="273" t="s">
        <v>1585</v>
      </c>
      <c r="H47" s="273" t="s">
        <v>1586</v>
      </c>
    </row>
    <row r="48" spans="1:8" ht="42" customHeight="1">
      <c r="A48" s="446" t="s">
        <v>1587</v>
      </c>
      <c r="B48" s="273" t="s">
        <v>1522</v>
      </c>
      <c r="C48" s="273" t="s">
        <v>1588</v>
      </c>
      <c r="D48" s="281" t="s">
        <v>1589</v>
      </c>
      <c r="E48" s="282" t="s">
        <v>1050</v>
      </c>
      <c r="F48" s="273" t="s">
        <v>997</v>
      </c>
      <c r="G48" s="273" t="s">
        <v>1590</v>
      </c>
      <c r="H48" s="273" t="s">
        <v>1591</v>
      </c>
    </row>
    <row r="49" spans="1:8" ht="42" customHeight="1">
      <c r="A49" s="446" t="s">
        <v>1592</v>
      </c>
      <c r="B49" s="273" t="s">
        <v>1522</v>
      </c>
      <c r="C49" s="273" t="s">
        <v>1593</v>
      </c>
      <c r="D49" s="273" t="s">
        <v>233</v>
      </c>
      <c r="E49" s="282" t="s">
        <v>1414</v>
      </c>
      <c r="F49" s="273" t="s">
        <v>1594</v>
      </c>
      <c r="G49" s="273" t="s">
        <v>1595</v>
      </c>
      <c r="H49" s="273" t="s">
        <v>1596</v>
      </c>
    </row>
    <row r="50" spans="1:8" ht="42" customHeight="1">
      <c r="A50" s="446" t="s">
        <v>1597</v>
      </c>
      <c r="B50" s="273" t="s">
        <v>1426</v>
      </c>
      <c r="C50" s="273" t="s">
        <v>1598</v>
      </c>
      <c r="D50" s="281" t="s">
        <v>1599</v>
      </c>
      <c r="E50" s="282" t="s">
        <v>1414</v>
      </c>
      <c r="F50" s="273" t="s">
        <v>744</v>
      </c>
      <c r="G50" s="273" t="s">
        <v>1600</v>
      </c>
      <c r="H50" s="273" t="s">
        <v>1601</v>
      </c>
    </row>
    <row r="51" spans="1:8" ht="42" customHeight="1">
      <c r="A51" s="446" t="s">
        <v>1602</v>
      </c>
      <c r="B51" s="273" t="s">
        <v>1426</v>
      </c>
      <c r="C51" s="273" t="s">
        <v>1603</v>
      </c>
      <c r="D51" s="281" t="s">
        <v>1604</v>
      </c>
      <c r="E51" s="282" t="s">
        <v>1414</v>
      </c>
      <c r="F51" s="273" t="s">
        <v>744</v>
      </c>
      <c r="G51" s="273" t="s">
        <v>1605</v>
      </c>
      <c r="H51" s="273" t="s">
        <v>1606</v>
      </c>
    </row>
  </sheetData>
  <mergeCells count="2">
    <mergeCell ref="A2:H2"/>
    <mergeCell ref="A1:H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68"/>
  <sheetViews>
    <sheetView showGridLines="0" topLeftCell="A30" zoomScale="70" zoomScaleNormal="70" workbookViewId="0"/>
  </sheetViews>
  <sheetFormatPr defaultRowHeight="13.8"/>
  <cols>
    <col min="1" max="1" width="30" customWidth="1"/>
    <col min="2" max="2" width="13" customWidth="1"/>
    <col min="3" max="3" width="53.8984375" customWidth="1"/>
    <col min="4" max="4" width="9.09765625" customWidth="1"/>
    <col min="5" max="5" width="50" customWidth="1"/>
    <col min="6" max="6" width="45.69921875" customWidth="1"/>
  </cols>
  <sheetData>
    <row r="1" spans="1:26" ht="15" customHeight="1">
      <c r="A1" s="440" t="s">
        <v>1607</v>
      </c>
      <c r="B1" s="447" t="s">
        <v>10</v>
      </c>
      <c r="C1" s="447" t="s">
        <v>11</v>
      </c>
      <c r="D1" s="447" t="s">
        <v>1608</v>
      </c>
      <c r="E1" s="447" t="s">
        <v>1609</v>
      </c>
      <c r="F1" s="447" t="s">
        <v>1610</v>
      </c>
      <c r="G1" s="11"/>
      <c r="H1" s="11"/>
      <c r="I1" s="11"/>
      <c r="J1" s="11"/>
      <c r="K1" s="11"/>
      <c r="L1" s="11"/>
      <c r="M1" s="11"/>
      <c r="N1" s="11"/>
      <c r="O1" s="11"/>
      <c r="P1" s="11"/>
      <c r="Q1" s="11"/>
      <c r="R1" s="11"/>
      <c r="S1" s="11"/>
      <c r="T1" s="11"/>
      <c r="U1" s="11"/>
      <c r="V1" s="11"/>
      <c r="W1" s="11"/>
      <c r="X1" s="11"/>
      <c r="Y1" s="11"/>
      <c r="Z1" s="11"/>
    </row>
    <row r="2" spans="1:26">
      <c r="A2" t="s">
        <v>13</v>
      </c>
      <c r="B2" t="s">
        <v>15</v>
      </c>
      <c r="C2" t="s">
        <v>16</v>
      </c>
      <c r="D2">
        <v>2</v>
      </c>
      <c r="E2" t="s">
        <v>1611</v>
      </c>
      <c r="F2" t="s">
        <v>1612</v>
      </c>
    </row>
    <row r="3" spans="1:26">
      <c r="A3" t="s">
        <v>17</v>
      </c>
      <c r="B3" t="s">
        <v>15</v>
      </c>
      <c r="C3" t="s">
        <v>16</v>
      </c>
      <c r="D3">
        <v>4</v>
      </c>
      <c r="E3" t="s">
        <v>1613</v>
      </c>
      <c r="F3" t="s">
        <v>1612</v>
      </c>
    </row>
    <row r="4" spans="1:26">
      <c r="A4" t="s">
        <v>18</v>
      </c>
      <c r="B4" t="s">
        <v>15</v>
      </c>
      <c r="C4" t="s">
        <v>19</v>
      </c>
      <c r="D4">
        <v>5</v>
      </c>
      <c r="E4" t="s">
        <v>1614</v>
      </c>
      <c r="F4" t="s">
        <v>1612</v>
      </c>
    </row>
    <row r="5" spans="1:26">
      <c r="A5" t="s">
        <v>20</v>
      </c>
      <c r="B5" t="s">
        <v>15</v>
      </c>
      <c r="C5" t="s">
        <v>21</v>
      </c>
      <c r="D5">
        <v>6</v>
      </c>
      <c r="E5" t="s">
        <v>1615</v>
      </c>
      <c r="F5" t="s">
        <v>1612</v>
      </c>
    </row>
    <row r="6" spans="1:26">
      <c r="A6" t="s">
        <v>22</v>
      </c>
      <c r="B6" t="s">
        <v>24</v>
      </c>
      <c r="F6" t="s">
        <v>1616</v>
      </c>
    </row>
    <row r="7" spans="1:26">
      <c r="A7" t="s">
        <v>25</v>
      </c>
      <c r="B7" t="s">
        <v>15</v>
      </c>
      <c r="C7" t="s">
        <v>26</v>
      </c>
      <c r="D7">
        <v>8</v>
      </c>
      <c r="E7" t="s">
        <v>1617</v>
      </c>
      <c r="F7" t="s">
        <v>1612</v>
      </c>
    </row>
    <row r="8" spans="1:26">
      <c r="A8" t="s">
        <v>27</v>
      </c>
      <c r="B8" t="s">
        <v>15</v>
      </c>
      <c r="C8" t="s">
        <v>28</v>
      </c>
      <c r="D8">
        <v>9</v>
      </c>
      <c r="E8" t="s">
        <v>1618</v>
      </c>
      <c r="F8" t="s">
        <v>1612</v>
      </c>
    </row>
    <row r="9" spans="1:26">
      <c r="A9" t="s">
        <v>29</v>
      </c>
      <c r="B9" t="s">
        <v>15</v>
      </c>
      <c r="C9" t="s">
        <v>30</v>
      </c>
      <c r="D9">
        <v>10</v>
      </c>
      <c r="E9" t="s">
        <v>1619</v>
      </c>
      <c r="F9" t="s">
        <v>1612</v>
      </c>
    </row>
    <row r="10" spans="1:26">
      <c r="A10" t="s">
        <v>31</v>
      </c>
      <c r="B10" t="s">
        <v>15</v>
      </c>
      <c r="C10" t="s">
        <v>32</v>
      </c>
      <c r="D10">
        <v>12</v>
      </c>
      <c r="E10" t="s">
        <v>1620</v>
      </c>
      <c r="F10" t="s">
        <v>1612</v>
      </c>
    </row>
    <row r="11" spans="1:26">
      <c r="A11" t="s">
        <v>33</v>
      </c>
      <c r="B11" t="s">
        <v>15</v>
      </c>
      <c r="C11" t="s">
        <v>34</v>
      </c>
      <c r="D11">
        <v>13</v>
      </c>
      <c r="E11" t="s">
        <v>1621</v>
      </c>
      <c r="F11" t="s">
        <v>1612</v>
      </c>
    </row>
    <row r="12" spans="1:26">
      <c r="A12" t="s">
        <v>35</v>
      </c>
      <c r="B12" t="s">
        <v>24</v>
      </c>
      <c r="F12" t="s">
        <v>1622</v>
      </c>
    </row>
    <row r="13" spans="1:26">
      <c r="A13" t="s">
        <v>36</v>
      </c>
      <c r="B13" t="s">
        <v>15</v>
      </c>
      <c r="C13" t="s">
        <v>37</v>
      </c>
      <c r="D13">
        <v>14</v>
      </c>
      <c r="E13" t="s">
        <v>1623</v>
      </c>
      <c r="F13" t="s">
        <v>1612</v>
      </c>
    </row>
    <row r="14" spans="1:26">
      <c r="A14" t="s">
        <v>38</v>
      </c>
      <c r="B14" t="s">
        <v>24</v>
      </c>
      <c r="F14" t="s">
        <v>1624</v>
      </c>
    </row>
    <row r="15" spans="1:26">
      <c r="A15" t="s">
        <v>39</v>
      </c>
      <c r="B15" t="s">
        <v>15</v>
      </c>
      <c r="C15" t="s">
        <v>40</v>
      </c>
      <c r="D15">
        <v>17</v>
      </c>
      <c r="E15" t="s">
        <v>1625</v>
      </c>
      <c r="F15" t="s">
        <v>1612</v>
      </c>
    </row>
    <row r="16" spans="1:26">
      <c r="A16" t="s">
        <v>41</v>
      </c>
      <c r="B16" t="s">
        <v>15</v>
      </c>
      <c r="C16" t="s">
        <v>42</v>
      </c>
      <c r="D16">
        <v>19</v>
      </c>
      <c r="E16" t="s">
        <v>1626</v>
      </c>
      <c r="F16" t="s">
        <v>1612</v>
      </c>
    </row>
    <row r="17" spans="1:6">
      <c r="A17" t="s">
        <v>43</v>
      </c>
      <c r="B17" t="s">
        <v>15</v>
      </c>
      <c r="C17" t="s">
        <v>44</v>
      </c>
      <c r="D17">
        <v>20</v>
      </c>
      <c r="E17" t="s">
        <v>1627</v>
      </c>
      <c r="F17" t="s">
        <v>1612</v>
      </c>
    </row>
    <row r="18" spans="1:6">
      <c r="A18" t="s">
        <v>45</v>
      </c>
      <c r="B18" t="s">
        <v>15</v>
      </c>
      <c r="C18" t="s">
        <v>46</v>
      </c>
      <c r="D18">
        <v>21</v>
      </c>
      <c r="E18" t="s">
        <v>1628</v>
      </c>
      <c r="F18" t="s">
        <v>1612</v>
      </c>
    </row>
    <row r="19" spans="1:6">
      <c r="A19" t="s">
        <v>47</v>
      </c>
      <c r="B19" t="s">
        <v>24</v>
      </c>
      <c r="F19" t="s">
        <v>1629</v>
      </c>
    </row>
    <row r="20" spans="1:6">
      <c r="A20" t="s">
        <v>48</v>
      </c>
      <c r="B20" t="s">
        <v>15</v>
      </c>
      <c r="C20" t="s">
        <v>49</v>
      </c>
      <c r="D20">
        <v>22</v>
      </c>
      <c r="E20" t="s">
        <v>1630</v>
      </c>
      <c r="F20" t="s">
        <v>1612</v>
      </c>
    </row>
    <row r="21" spans="1:6">
      <c r="A21" t="s">
        <v>50</v>
      </c>
      <c r="B21" t="s">
        <v>15</v>
      </c>
      <c r="C21" t="s">
        <v>51</v>
      </c>
      <c r="D21">
        <v>23</v>
      </c>
      <c r="E21" t="s">
        <v>1631</v>
      </c>
      <c r="F21" t="s">
        <v>1612</v>
      </c>
    </row>
    <row r="22" spans="1:6">
      <c r="A22" t="s">
        <v>52</v>
      </c>
      <c r="B22" t="s">
        <v>15</v>
      </c>
      <c r="C22" t="s">
        <v>53</v>
      </c>
      <c r="D22">
        <v>24</v>
      </c>
      <c r="E22" t="s">
        <v>1632</v>
      </c>
      <c r="F22" t="s">
        <v>1612</v>
      </c>
    </row>
    <row r="23" spans="1:6">
      <c r="A23" t="s">
        <v>54</v>
      </c>
      <c r="B23" t="s">
        <v>24</v>
      </c>
      <c r="F23" t="s">
        <v>1633</v>
      </c>
    </row>
    <row r="24" spans="1:6">
      <c r="A24" t="s">
        <v>56</v>
      </c>
      <c r="B24" t="s">
        <v>57</v>
      </c>
      <c r="C24" t="s">
        <v>58</v>
      </c>
      <c r="D24">
        <v>4</v>
      </c>
      <c r="E24" t="s">
        <v>1634</v>
      </c>
      <c r="F24" t="s">
        <v>1612</v>
      </c>
    </row>
    <row r="25" spans="1:6">
      <c r="A25" t="s">
        <v>59</v>
      </c>
      <c r="B25" t="s">
        <v>57</v>
      </c>
      <c r="C25" t="s">
        <v>60</v>
      </c>
      <c r="D25">
        <v>7</v>
      </c>
      <c r="E25" t="s">
        <v>1635</v>
      </c>
      <c r="F25" t="s">
        <v>1612</v>
      </c>
    </row>
    <row r="26" spans="1:6">
      <c r="A26" t="s">
        <v>61</v>
      </c>
      <c r="B26" t="s">
        <v>57</v>
      </c>
      <c r="C26" t="s">
        <v>62</v>
      </c>
      <c r="D26">
        <v>14</v>
      </c>
      <c r="E26" t="s">
        <v>1636</v>
      </c>
      <c r="F26" t="s">
        <v>1612</v>
      </c>
    </row>
    <row r="27" spans="1:6">
      <c r="A27" t="s">
        <v>63</v>
      </c>
      <c r="B27" t="s">
        <v>57</v>
      </c>
      <c r="C27" t="s">
        <v>64</v>
      </c>
      <c r="D27">
        <v>23</v>
      </c>
      <c r="E27" t="s">
        <v>1637</v>
      </c>
      <c r="F27" t="s">
        <v>1612</v>
      </c>
    </row>
    <row r="28" spans="1:6">
      <c r="A28" t="s">
        <v>65</v>
      </c>
      <c r="B28" t="s">
        <v>57</v>
      </c>
      <c r="C28" t="s">
        <v>66</v>
      </c>
      <c r="D28">
        <v>30</v>
      </c>
      <c r="E28" t="s">
        <v>1638</v>
      </c>
      <c r="F28" t="s">
        <v>1612</v>
      </c>
    </row>
    <row r="29" spans="1:6">
      <c r="A29" t="s">
        <v>67</v>
      </c>
      <c r="B29" t="s">
        <v>57</v>
      </c>
      <c r="C29" t="s">
        <v>68</v>
      </c>
      <c r="D29">
        <v>3</v>
      </c>
      <c r="E29" t="s">
        <v>1639</v>
      </c>
      <c r="F29" t="s">
        <v>1612</v>
      </c>
    </row>
    <row r="30" spans="1:6">
      <c r="A30" t="s">
        <v>69</v>
      </c>
      <c r="B30" t="s">
        <v>57</v>
      </c>
      <c r="C30" t="s">
        <v>70</v>
      </c>
      <c r="D30">
        <v>45</v>
      </c>
      <c r="E30" t="s">
        <v>1640</v>
      </c>
      <c r="F30" t="s">
        <v>1612</v>
      </c>
    </row>
    <row r="31" spans="1:6">
      <c r="A31" t="s">
        <v>71</v>
      </c>
      <c r="B31" t="s">
        <v>57</v>
      </c>
      <c r="C31" t="s">
        <v>72</v>
      </c>
      <c r="D31">
        <v>70</v>
      </c>
      <c r="E31" t="s">
        <v>1641</v>
      </c>
      <c r="F31" t="s">
        <v>1612</v>
      </c>
    </row>
    <row r="32" spans="1:6">
      <c r="A32" t="s">
        <v>73</v>
      </c>
      <c r="B32" t="s">
        <v>57</v>
      </c>
      <c r="C32" t="s">
        <v>74</v>
      </c>
      <c r="D32">
        <v>78</v>
      </c>
      <c r="E32" t="s">
        <v>1642</v>
      </c>
      <c r="F32" t="s">
        <v>1612</v>
      </c>
    </row>
    <row r="33" spans="1:6">
      <c r="A33" t="s">
        <v>75</v>
      </c>
      <c r="B33" t="s">
        <v>57</v>
      </c>
      <c r="C33" t="s">
        <v>76</v>
      </c>
      <c r="D33">
        <v>85</v>
      </c>
      <c r="E33" t="s">
        <v>1643</v>
      </c>
      <c r="F33" t="s">
        <v>1612</v>
      </c>
    </row>
    <row r="34" spans="1:6">
      <c r="A34" t="s">
        <v>77</v>
      </c>
      <c r="B34" t="s">
        <v>57</v>
      </c>
      <c r="C34" t="s">
        <v>78</v>
      </c>
      <c r="D34">
        <v>89</v>
      </c>
      <c r="E34" t="s">
        <v>1644</v>
      </c>
      <c r="F34" t="s">
        <v>1612</v>
      </c>
    </row>
    <row r="35" spans="1:6">
      <c r="A35" t="s">
        <v>79</v>
      </c>
      <c r="B35" t="s">
        <v>57</v>
      </c>
      <c r="C35" t="s">
        <v>80</v>
      </c>
      <c r="D35">
        <v>99</v>
      </c>
      <c r="E35" t="s">
        <v>1645</v>
      </c>
      <c r="F35" t="s">
        <v>1612</v>
      </c>
    </row>
    <row r="36" spans="1:6">
      <c r="A36" t="s">
        <v>81</v>
      </c>
      <c r="B36" t="s">
        <v>57</v>
      </c>
      <c r="C36" t="s">
        <v>82</v>
      </c>
      <c r="D36">
        <v>88</v>
      </c>
      <c r="E36" t="s">
        <v>1646</v>
      </c>
      <c r="F36" t="s">
        <v>1612</v>
      </c>
    </row>
    <row r="37" spans="1:6">
      <c r="A37" t="s">
        <v>83</v>
      </c>
      <c r="B37" t="s">
        <v>57</v>
      </c>
      <c r="C37" t="s">
        <v>84</v>
      </c>
      <c r="D37">
        <v>113</v>
      </c>
      <c r="E37" t="s">
        <v>1647</v>
      </c>
      <c r="F37" t="s">
        <v>1612</v>
      </c>
    </row>
    <row r="38" spans="1:6">
      <c r="A38" t="s">
        <v>85</v>
      </c>
      <c r="B38" t="s">
        <v>57</v>
      </c>
      <c r="C38" t="s">
        <v>86</v>
      </c>
      <c r="D38">
        <v>104</v>
      </c>
      <c r="E38" t="s">
        <v>1648</v>
      </c>
      <c r="F38" t="s">
        <v>1612</v>
      </c>
    </row>
    <row r="39" spans="1:6">
      <c r="A39" t="s">
        <v>87</v>
      </c>
      <c r="B39" t="s">
        <v>57</v>
      </c>
      <c r="C39" t="s">
        <v>88</v>
      </c>
      <c r="D39">
        <v>87</v>
      </c>
      <c r="E39" t="s">
        <v>1649</v>
      </c>
      <c r="F39" t="s">
        <v>1612</v>
      </c>
    </row>
    <row r="40" spans="1:6">
      <c r="A40" t="s">
        <v>89</v>
      </c>
      <c r="B40" t="s">
        <v>57</v>
      </c>
      <c r="C40" t="s">
        <v>90</v>
      </c>
      <c r="D40">
        <v>122</v>
      </c>
      <c r="E40" t="s">
        <v>1650</v>
      </c>
      <c r="F40" t="s">
        <v>1612</v>
      </c>
    </row>
    <row r="41" spans="1:6">
      <c r="A41" t="s">
        <v>91</v>
      </c>
      <c r="B41" t="s">
        <v>57</v>
      </c>
      <c r="C41" t="s">
        <v>92</v>
      </c>
      <c r="D41">
        <v>134</v>
      </c>
      <c r="E41" t="s">
        <v>1651</v>
      </c>
      <c r="F41" t="s">
        <v>1612</v>
      </c>
    </row>
    <row r="42" spans="1:6">
      <c r="A42" t="s">
        <v>93</v>
      </c>
      <c r="B42" t="s">
        <v>57</v>
      </c>
      <c r="C42" t="s">
        <v>51</v>
      </c>
      <c r="D42">
        <v>138</v>
      </c>
      <c r="E42" t="s">
        <v>1652</v>
      </c>
      <c r="F42" t="s">
        <v>1612</v>
      </c>
    </row>
    <row r="43" spans="1:6">
      <c r="A43" t="s">
        <v>94</v>
      </c>
      <c r="B43" t="s">
        <v>57</v>
      </c>
      <c r="C43" t="s">
        <v>95</v>
      </c>
      <c r="D43">
        <v>120</v>
      </c>
      <c r="E43" t="s">
        <v>1653</v>
      </c>
      <c r="F43" t="s">
        <v>1612</v>
      </c>
    </row>
    <row r="44" spans="1:6">
      <c r="A44" t="s">
        <v>96</v>
      </c>
      <c r="B44" t="s">
        <v>57</v>
      </c>
      <c r="C44" t="s">
        <v>97</v>
      </c>
      <c r="D44">
        <v>144</v>
      </c>
      <c r="E44" t="s">
        <v>1654</v>
      </c>
      <c r="F44" t="s">
        <v>1612</v>
      </c>
    </row>
    <row r="45" spans="1:6">
      <c r="A45" t="s">
        <v>98</v>
      </c>
      <c r="B45" t="s">
        <v>24</v>
      </c>
      <c r="F45" t="s">
        <v>1655</v>
      </c>
    </row>
    <row r="46" spans="1:6">
      <c r="A46" t="s">
        <v>99</v>
      </c>
      <c r="B46" t="s">
        <v>24</v>
      </c>
      <c r="F46" t="s">
        <v>1656</v>
      </c>
    </row>
    <row r="47" spans="1:6">
      <c r="A47" t="s">
        <v>100</v>
      </c>
      <c r="B47" t="s">
        <v>24</v>
      </c>
      <c r="F47" t="s">
        <v>1657</v>
      </c>
    </row>
    <row r="48" spans="1:6">
      <c r="A48" t="s">
        <v>102</v>
      </c>
      <c r="B48" t="s">
        <v>103</v>
      </c>
      <c r="C48" t="s">
        <v>42</v>
      </c>
      <c r="D48">
        <v>3</v>
      </c>
      <c r="E48" t="s">
        <v>1658</v>
      </c>
      <c r="F48" t="s">
        <v>1612</v>
      </c>
    </row>
    <row r="49" spans="1:6">
      <c r="A49" t="s">
        <v>104</v>
      </c>
      <c r="B49" t="s">
        <v>103</v>
      </c>
      <c r="C49" t="s">
        <v>105</v>
      </c>
      <c r="D49">
        <v>5</v>
      </c>
      <c r="E49" t="s">
        <v>1659</v>
      </c>
      <c r="F49" t="s">
        <v>1612</v>
      </c>
    </row>
    <row r="50" spans="1:6">
      <c r="A50" t="s">
        <v>106</v>
      </c>
      <c r="B50" t="s">
        <v>103</v>
      </c>
      <c r="C50" t="s">
        <v>107</v>
      </c>
      <c r="D50">
        <v>20</v>
      </c>
      <c r="E50" t="s">
        <v>1660</v>
      </c>
      <c r="F50" t="s">
        <v>1612</v>
      </c>
    </row>
    <row r="51" spans="1:6">
      <c r="A51" t="s">
        <v>108</v>
      </c>
      <c r="B51" t="s">
        <v>103</v>
      </c>
      <c r="C51" t="s">
        <v>109</v>
      </c>
      <c r="D51">
        <v>21</v>
      </c>
      <c r="E51" t="s">
        <v>1661</v>
      </c>
      <c r="F51" t="s">
        <v>1612</v>
      </c>
    </row>
    <row r="52" spans="1:6">
      <c r="A52" t="s">
        <v>110</v>
      </c>
      <c r="B52" t="s">
        <v>103</v>
      </c>
      <c r="C52" t="s">
        <v>111</v>
      </c>
      <c r="D52">
        <v>24</v>
      </c>
      <c r="E52" t="s">
        <v>1662</v>
      </c>
      <c r="F52" t="s">
        <v>1612</v>
      </c>
    </row>
    <row r="53" spans="1:6">
      <c r="A53" t="s">
        <v>112</v>
      </c>
      <c r="B53" t="s">
        <v>103</v>
      </c>
      <c r="C53" t="s">
        <v>113</v>
      </c>
      <c r="D53">
        <v>26</v>
      </c>
      <c r="E53" t="s">
        <v>1663</v>
      </c>
      <c r="F53" t="s">
        <v>1612</v>
      </c>
    </row>
    <row r="54" spans="1:6">
      <c r="A54" t="s">
        <v>114</v>
      </c>
      <c r="B54" t="s">
        <v>103</v>
      </c>
      <c r="C54" t="s">
        <v>115</v>
      </c>
      <c r="D54">
        <v>37</v>
      </c>
      <c r="E54" t="s">
        <v>1664</v>
      </c>
      <c r="F54" t="s">
        <v>1612</v>
      </c>
    </row>
    <row r="55" spans="1:6">
      <c r="A55" t="s">
        <v>116</v>
      </c>
      <c r="B55" t="s">
        <v>103</v>
      </c>
      <c r="C55" t="s">
        <v>117</v>
      </c>
      <c r="D55">
        <v>41</v>
      </c>
      <c r="E55" t="s">
        <v>1665</v>
      </c>
      <c r="F55" t="s">
        <v>1612</v>
      </c>
    </row>
    <row r="56" spans="1:6">
      <c r="A56" t="s">
        <v>118</v>
      </c>
      <c r="B56" t="s">
        <v>103</v>
      </c>
      <c r="C56" t="s">
        <v>119</v>
      </c>
      <c r="D56">
        <v>42</v>
      </c>
      <c r="E56" t="s">
        <v>1666</v>
      </c>
      <c r="F56" t="s">
        <v>1612</v>
      </c>
    </row>
    <row r="57" spans="1:6">
      <c r="A57" t="s">
        <v>120</v>
      </c>
      <c r="B57" t="s">
        <v>103</v>
      </c>
      <c r="C57" t="s">
        <v>121</v>
      </c>
      <c r="D57">
        <v>44</v>
      </c>
      <c r="E57" t="s">
        <v>1667</v>
      </c>
      <c r="F57" t="s">
        <v>1612</v>
      </c>
    </row>
    <row r="58" spans="1:6">
      <c r="A58" t="s">
        <v>122</v>
      </c>
      <c r="B58" t="s">
        <v>103</v>
      </c>
      <c r="C58" t="s">
        <v>123</v>
      </c>
      <c r="D58">
        <v>47</v>
      </c>
      <c r="E58" t="s">
        <v>1668</v>
      </c>
      <c r="F58" t="s">
        <v>1612</v>
      </c>
    </row>
    <row r="59" spans="1:6">
      <c r="A59" t="s">
        <v>124</v>
      </c>
      <c r="B59" t="s">
        <v>103</v>
      </c>
      <c r="C59" t="s">
        <v>125</v>
      </c>
      <c r="D59">
        <v>48</v>
      </c>
      <c r="E59" t="s">
        <v>1669</v>
      </c>
      <c r="F59" t="s">
        <v>1612</v>
      </c>
    </row>
    <row r="60" spans="1:6">
      <c r="A60" t="s">
        <v>126</v>
      </c>
      <c r="B60" t="s">
        <v>103</v>
      </c>
      <c r="C60" t="s">
        <v>127</v>
      </c>
      <c r="D60">
        <v>49</v>
      </c>
      <c r="E60" t="s">
        <v>1670</v>
      </c>
      <c r="F60" t="s">
        <v>1612</v>
      </c>
    </row>
    <row r="61" spans="1:6">
      <c r="A61" t="s">
        <v>128</v>
      </c>
      <c r="B61" t="s">
        <v>103</v>
      </c>
      <c r="C61" t="s">
        <v>129</v>
      </c>
      <c r="D61">
        <v>50</v>
      </c>
      <c r="E61" t="s">
        <v>1671</v>
      </c>
      <c r="F61" t="s">
        <v>1612</v>
      </c>
    </row>
    <row r="62" spans="1:6">
      <c r="A62" t="s">
        <v>130</v>
      </c>
      <c r="B62" t="s">
        <v>103</v>
      </c>
      <c r="C62" t="s">
        <v>131</v>
      </c>
      <c r="D62">
        <v>51</v>
      </c>
      <c r="E62" t="s">
        <v>1672</v>
      </c>
      <c r="F62" t="s">
        <v>1612</v>
      </c>
    </row>
    <row r="63" spans="1:6">
      <c r="A63" t="s">
        <v>132</v>
      </c>
      <c r="B63" t="s">
        <v>24</v>
      </c>
      <c r="F63" t="s">
        <v>1673</v>
      </c>
    </row>
    <row r="64" spans="1:6">
      <c r="A64" t="s">
        <v>133</v>
      </c>
      <c r="B64" t="s">
        <v>24</v>
      </c>
      <c r="F64" t="s">
        <v>1674</v>
      </c>
    </row>
    <row r="65" spans="1:6">
      <c r="A65" t="s">
        <v>135</v>
      </c>
      <c r="B65" t="s">
        <v>24</v>
      </c>
      <c r="F65" t="s">
        <v>136</v>
      </c>
    </row>
    <row r="66" spans="1:6">
      <c r="A66" t="s">
        <v>137</v>
      </c>
      <c r="B66" t="s">
        <v>24</v>
      </c>
      <c r="F66" t="s">
        <v>138</v>
      </c>
    </row>
    <row r="67" spans="1:6">
      <c r="A67" t="s">
        <v>139</v>
      </c>
      <c r="B67" t="s">
        <v>24</v>
      </c>
      <c r="F67" t="s">
        <v>140</v>
      </c>
    </row>
    <row r="68" spans="1:6">
      <c r="A68" t="s">
        <v>141</v>
      </c>
      <c r="B68" t="s">
        <v>24</v>
      </c>
      <c r="F68" t="s">
        <v>142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26"/>
  <sheetViews>
    <sheetView workbookViewId="0"/>
  </sheetViews>
  <sheetFormatPr defaultRowHeight="13.8"/>
  <cols>
    <col min="1" max="1" width="52" customWidth="1"/>
    <col min="2" max="2" width="42" customWidth="1"/>
    <col min="3" max="6" width="16" customWidth="1"/>
  </cols>
  <sheetData>
    <row r="1" spans="1:6" ht="12" customHeight="1">
      <c r="A1" s="316" t="s">
        <v>1675</v>
      </c>
      <c r="B1" s="316" t="s">
        <v>1676</v>
      </c>
      <c r="C1" s="448" t="s">
        <v>1677</v>
      </c>
      <c r="D1" s="448" t="s">
        <v>1678</v>
      </c>
      <c r="E1" s="448" t="s">
        <v>1679</v>
      </c>
      <c r="F1" s="448" t="s">
        <v>1680</v>
      </c>
    </row>
    <row r="2" spans="1:6">
      <c r="A2" t="s">
        <v>1611</v>
      </c>
      <c r="B2" t="s">
        <v>16</v>
      </c>
      <c r="C2">
        <v>156836115055000</v>
      </c>
      <c r="D2">
        <v>135225101299000</v>
      </c>
      <c r="E2">
        <v>119234184825000</v>
      </c>
      <c r="F2">
        <v>134722248888000</v>
      </c>
    </row>
    <row r="3" spans="1:6">
      <c r="A3" t="s">
        <v>1681</v>
      </c>
      <c r="B3" t="s">
        <v>1682</v>
      </c>
      <c r="C3">
        <v>907969436000</v>
      </c>
      <c r="D3">
        <v>883948450000</v>
      </c>
      <c r="E3">
        <v>954396370000</v>
      </c>
      <c r="F3">
        <v>1317471297000</v>
      </c>
    </row>
    <row r="4" spans="1:6">
      <c r="A4" t="s">
        <v>1613</v>
      </c>
      <c r="B4" t="s">
        <v>16</v>
      </c>
      <c r="C4">
        <v>155928145619000</v>
      </c>
      <c r="D4">
        <v>134341152849000</v>
      </c>
      <c r="E4">
        <v>118279788455000</v>
      </c>
      <c r="F4">
        <v>133404777591000</v>
      </c>
    </row>
    <row r="5" spans="1:6">
      <c r="A5" t="s">
        <v>1614</v>
      </c>
      <c r="B5" t="s">
        <v>19</v>
      </c>
      <c r="C5">
        <v>124926268220000</v>
      </c>
      <c r="D5">
        <v>106841942772000</v>
      </c>
      <c r="E5">
        <v>95759175292000</v>
      </c>
      <c r="F5">
        <v>102542735094000</v>
      </c>
    </row>
    <row r="6" spans="1:6">
      <c r="A6" t="s">
        <v>1615</v>
      </c>
      <c r="B6" t="s">
        <v>21</v>
      </c>
      <c r="C6">
        <v>31001877400000</v>
      </c>
      <c r="D6">
        <v>27499210077000</v>
      </c>
      <c r="E6">
        <v>22520613164000</v>
      </c>
      <c r="F6">
        <v>30862042496000</v>
      </c>
    </row>
    <row r="7" spans="1:6">
      <c r="A7" t="s">
        <v>1683</v>
      </c>
      <c r="B7" t="s">
        <v>1684</v>
      </c>
    </row>
    <row r="8" spans="1:6">
      <c r="A8" t="s">
        <v>1617</v>
      </c>
      <c r="B8" t="s">
        <v>26</v>
      </c>
      <c r="C8">
        <v>3107348734000</v>
      </c>
      <c r="D8">
        <v>2376502605000</v>
      </c>
      <c r="E8">
        <v>2166963715000</v>
      </c>
      <c r="F8">
        <v>1313137304000</v>
      </c>
    </row>
    <row r="9" spans="1:6">
      <c r="A9" t="s">
        <v>1618</v>
      </c>
      <c r="B9" t="s">
        <v>28</v>
      </c>
      <c r="C9">
        <v>1542518673000</v>
      </c>
      <c r="D9">
        <v>1188465610000</v>
      </c>
      <c r="E9">
        <v>1556146107000</v>
      </c>
      <c r="F9">
        <v>1382620455000</v>
      </c>
    </row>
    <row r="10" spans="1:6">
      <c r="A10" t="s">
        <v>1619</v>
      </c>
      <c r="B10" t="s">
        <v>30</v>
      </c>
      <c r="C10">
        <v>1470675594000</v>
      </c>
      <c r="D10">
        <v>1137236130000</v>
      </c>
      <c r="E10">
        <v>1447718355000</v>
      </c>
      <c r="F10">
        <v>1362143909000</v>
      </c>
    </row>
    <row r="11" spans="1:6">
      <c r="A11" t="s">
        <v>1685</v>
      </c>
      <c r="B11" t="s">
        <v>1686</v>
      </c>
      <c r="C11">
        <v>24351079000</v>
      </c>
      <c r="D11">
        <v>-44596455000</v>
      </c>
    </row>
    <row r="12" spans="1:6">
      <c r="A12" t="s">
        <v>1620</v>
      </c>
      <c r="B12" t="s">
        <v>32</v>
      </c>
      <c r="C12">
        <v>19330903537000</v>
      </c>
      <c r="D12">
        <v>19849837610000</v>
      </c>
      <c r="E12">
        <v>20916710755000</v>
      </c>
      <c r="F12">
        <v>22336838068000</v>
      </c>
    </row>
    <row r="13" spans="1:6">
      <c r="A13" t="s">
        <v>1621</v>
      </c>
      <c r="B13" t="s">
        <v>34</v>
      </c>
      <c r="C13">
        <v>4596074513000</v>
      </c>
      <c r="D13">
        <v>3565767583000</v>
      </c>
      <c r="E13">
        <v>1167651663000</v>
      </c>
      <c r="F13">
        <v>1881027580000</v>
      </c>
    </row>
    <row r="14" spans="1:6">
      <c r="A14" t="s">
        <v>1623</v>
      </c>
      <c r="B14" t="s">
        <v>37</v>
      </c>
      <c r="C14">
        <v>8664080489000</v>
      </c>
      <c r="D14">
        <v>5227045425000</v>
      </c>
      <c r="E14">
        <v>1047068354000</v>
      </c>
      <c r="F14">
        <v>6574693699000</v>
      </c>
    </row>
    <row r="15" spans="1:6">
      <c r="A15" t="s">
        <v>1687</v>
      </c>
      <c r="B15" t="s">
        <v>1688</v>
      </c>
      <c r="C15">
        <v>52777771000</v>
      </c>
      <c r="D15">
        <v>25743896000</v>
      </c>
      <c r="E15">
        <v>36883419000</v>
      </c>
      <c r="F15">
        <v>61606713000</v>
      </c>
    </row>
    <row r="16" spans="1:6">
      <c r="A16" t="s">
        <v>1689</v>
      </c>
      <c r="B16" t="s">
        <v>1690</v>
      </c>
      <c r="C16">
        <v>83790677000</v>
      </c>
      <c r="D16">
        <v>427026307000</v>
      </c>
      <c r="E16">
        <v>394259405000</v>
      </c>
      <c r="F16">
        <v>579945038000</v>
      </c>
    </row>
    <row r="17" spans="1:6">
      <c r="A17" t="s">
        <v>1625</v>
      </c>
      <c r="B17" t="s">
        <v>40</v>
      </c>
      <c r="C17">
        <v>-31012906000</v>
      </c>
      <c r="D17">
        <v>-401282412000</v>
      </c>
      <c r="E17">
        <v>-357375986000</v>
      </c>
      <c r="F17">
        <v>-518338325000</v>
      </c>
    </row>
    <row r="18" spans="1:6">
      <c r="A18" t="s">
        <v>1691</v>
      </c>
      <c r="B18" t="s">
        <v>1692</v>
      </c>
    </row>
    <row r="19" spans="1:6">
      <c r="A19" t="s">
        <v>1626</v>
      </c>
      <c r="B19" t="s">
        <v>42</v>
      </c>
      <c r="C19">
        <v>8633067583000</v>
      </c>
      <c r="D19">
        <v>4825763013000</v>
      </c>
      <c r="E19">
        <v>689692368000</v>
      </c>
      <c r="F19">
        <v>6056355374000</v>
      </c>
    </row>
    <row r="20" spans="1:6">
      <c r="A20" t="s">
        <v>1627</v>
      </c>
      <c r="B20" t="s">
        <v>44</v>
      </c>
      <c r="C20">
        <v>1721559523000</v>
      </c>
      <c r="D20">
        <v>1282537117000</v>
      </c>
      <c r="E20">
        <v>433257177000</v>
      </c>
      <c r="F20">
        <v>1792998810000</v>
      </c>
    </row>
    <row r="21" spans="1:6">
      <c r="A21" t="s">
        <v>1628</v>
      </c>
      <c r="B21" t="s">
        <v>46</v>
      </c>
      <c r="C21">
        <v>-161114826000</v>
      </c>
      <c r="D21">
        <v>-190062333000</v>
      </c>
      <c r="E21">
        <v>88606036000</v>
      </c>
      <c r="F21">
        <v>161642139000</v>
      </c>
    </row>
    <row r="22" spans="1:6">
      <c r="A22" t="s">
        <v>1630</v>
      </c>
      <c r="B22" t="s">
        <v>49</v>
      </c>
      <c r="C22">
        <v>7072622886000</v>
      </c>
      <c r="D22">
        <v>3733288229000</v>
      </c>
      <c r="E22">
        <v>167829155000</v>
      </c>
      <c r="F22">
        <v>4101714425000</v>
      </c>
    </row>
    <row r="23" spans="1:6">
      <c r="A23" t="s">
        <v>1631</v>
      </c>
      <c r="B23" t="s">
        <v>51</v>
      </c>
      <c r="C23">
        <v>38892116000</v>
      </c>
      <c r="D23">
        <v>11419787000</v>
      </c>
      <c r="E23">
        <v>159762000</v>
      </c>
      <c r="F23">
        <v>1951398000</v>
      </c>
    </row>
    <row r="24" spans="1:6">
      <c r="A24" t="s">
        <v>1632</v>
      </c>
      <c r="B24" t="s">
        <v>53</v>
      </c>
      <c r="C24">
        <v>7033730770000</v>
      </c>
      <c r="D24">
        <v>3721868442000</v>
      </c>
      <c r="E24">
        <v>167669393000</v>
      </c>
      <c r="F24">
        <v>4099763027000</v>
      </c>
    </row>
    <row r="25" spans="1:6">
      <c r="A25" t="s">
        <v>1693</v>
      </c>
      <c r="B25" t="s">
        <v>1694</v>
      </c>
      <c r="C25">
        <v>4774000</v>
      </c>
      <c r="D25">
        <v>2546000</v>
      </c>
      <c r="E25">
        <v>115000</v>
      </c>
      <c r="F25">
        <v>2810000</v>
      </c>
    </row>
    <row r="26" spans="1:6">
      <c r="A26" t="s">
        <v>1695</v>
      </c>
      <c r="B26" t="s">
        <v>1696</v>
      </c>
      <c r="C26">
        <v>5000</v>
      </c>
      <c r="D26">
        <v>3000</v>
      </c>
      <c r="E26">
        <v>0</v>
      </c>
      <c r="F26">
        <v>3000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144"/>
  <sheetViews>
    <sheetView workbookViewId="0"/>
  </sheetViews>
  <sheetFormatPr defaultRowHeight="13.8"/>
  <cols>
    <col min="1" max="1" width="52" customWidth="1"/>
    <col min="2" max="2" width="42" customWidth="1"/>
    <col min="3" max="6" width="16" customWidth="1"/>
  </cols>
  <sheetData>
    <row r="1" spans="1:6" ht="12" customHeight="1">
      <c r="A1" s="316" t="s">
        <v>1675</v>
      </c>
      <c r="B1" s="316" t="s">
        <v>1676</v>
      </c>
      <c r="C1" s="448" t="s">
        <v>1677</v>
      </c>
      <c r="D1" s="448" t="s">
        <v>1678</v>
      </c>
      <c r="E1" s="448" t="s">
        <v>1679</v>
      </c>
      <c r="F1" s="448" t="s">
        <v>1680</v>
      </c>
    </row>
    <row r="2" spans="1:6">
      <c r="A2" t="s">
        <v>1697</v>
      </c>
      <c r="B2" t="s">
        <v>76</v>
      </c>
    </row>
    <row r="3" spans="1:6">
      <c r="A3" t="s">
        <v>1639</v>
      </c>
      <c r="B3" t="s">
        <v>68</v>
      </c>
      <c r="C3">
        <v>77201650783000</v>
      </c>
      <c r="D3">
        <v>65836422620000</v>
      </c>
      <c r="E3">
        <v>51950337976000</v>
      </c>
      <c r="F3">
        <v>44577607228000</v>
      </c>
    </row>
    <row r="4" spans="1:6">
      <c r="A4" t="s">
        <v>1634</v>
      </c>
      <c r="B4" t="s">
        <v>58</v>
      </c>
      <c r="C4">
        <v>4999925717000</v>
      </c>
      <c r="D4">
        <v>4897331541000</v>
      </c>
      <c r="E4">
        <v>5365704857000</v>
      </c>
      <c r="F4">
        <v>5061020547000</v>
      </c>
    </row>
    <row r="5" spans="1:6">
      <c r="A5" t="s">
        <v>1698</v>
      </c>
      <c r="B5" t="s">
        <v>1699</v>
      </c>
      <c r="C5">
        <v>4960375717000</v>
      </c>
      <c r="D5">
        <v>4697331541000</v>
      </c>
      <c r="E5">
        <v>4795636583000</v>
      </c>
      <c r="F5">
        <v>3846020547000</v>
      </c>
    </row>
    <row r="6" spans="1:6">
      <c r="A6" t="s">
        <v>1700</v>
      </c>
      <c r="B6" t="s">
        <v>1701</v>
      </c>
      <c r="C6">
        <v>39550000000</v>
      </c>
      <c r="D6">
        <v>200000000000</v>
      </c>
      <c r="E6">
        <v>570068274000</v>
      </c>
      <c r="F6">
        <v>1215000000000</v>
      </c>
    </row>
    <row r="7" spans="1:6">
      <c r="A7" t="s">
        <v>1635</v>
      </c>
      <c r="B7" t="s">
        <v>60</v>
      </c>
      <c r="C7">
        <v>33874270103000</v>
      </c>
      <c r="D7">
        <v>29324441756000</v>
      </c>
      <c r="E7">
        <v>18937008074000</v>
      </c>
      <c r="F7">
        <v>10069249606000</v>
      </c>
    </row>
    <row r="8" spans="1:6">
      <c r="A8" t="s">
        <v>1702</v>
      </c>
      <c r="B8" t="s">
        <v>1703</v>
      </c>
    </row>
    <row r="9" spans="1:6">
      <c r="A9" t="s">
        <v>1704</v>
      </c>
      <c r="B9" t="s">
        <v>1705</v>
      </c>
    </row>
    <row r="10" spans="1:6">
      <c r="A10" t="s">
        <v>1706</v>
      </c>
      <c r="B10" t="s">
        <v>1707</v>
      </c>
      <c r="C10">
        <v>33874270103000</v>
      </c>
      <c r="D10">
        <v>29324441756000</v>
      </c>
      <c r="E10">
        <v>18937008074000</v>
      </c>
      <c r="F10">
        <v>10069249606000</v>
      </c>
    </row>
    <row r="11" spans="1:6">
      <c r="A11" t="s">
        <v>1708</v>
      </c>
      <c r="B11" t="s">
        <v>1709</v>
      </c>
    </row>
    <row r="12" spans="1:6">
      <c r="A12" t="s">
        <v>1710</v>
      </c>
      <c r="B12" t="s">
        <v>1711</v>
      </c>
    </row>
    <row r="13" spans="1:6">
      <c r="A13" t="s">
        <v>1712</v>
      </c>
      <c r="B13" t="s">
        <v>1713</v>
      </c>
    </row>
    <row r="14" spans="1:6">
      <c r="A14" t="s">
        <v>1636</v>
      </c>
      <c r="B14" t="s">
        <v>62</v>
      </c>
      <c r="C14">
        <v>10182835978000</v>
      </c>
      <c r="D14">
        <v>8825896225000</v>
      </c>
      <c r="E14">
        <v>5158853338000</v>
      </c>
      <c r="F14">
        <v>3000817466000</v>
      </c>
    </row>
    <row r="15" spans="1:6">
      <c r="A15" t="s">
        <v>1714</v>
      </c>
      <c r="B15" t="s">
        <v>1715</v>
      </c>
      <c r="C15">
        <v>253358838000</v>
      </c>
      <c r="D15">
        <v>241405397000</v>
      </c>
      <c r="E15">
        <v>308474344000</v>
      </c>
      <c r="F15">
        <v>178061365000</v>
      </c>
    </row>
    <row r="16" spans="1:6">
      <c r="A16" t="s">
        <v>1716</v>
      </c>
      <c r="B16" t="s">
        <v>1717</v>
      </c>
      <c r="C16">
        <v>141627188000</v>
      </c>
      <c r="D16">
        <v>115888383000</v>
      </c>
      <c r="E16">
        <v>95981093000</v>
      </c>
      <c r="F16">
        <v>403669438000</v>
      </c>
    </row>
    <row r="17" spans="1:6">
      <c r="A17" t="s">
        <v>1718</v>
      </c>
      <c r="B17" t="s">
        <v>1719</v>
      </c>
    </row>
    <row r="18" spans="1:6">
      <c r="A18" t="s">
        <v>1720</v>
      </c>
      <c r="B18" t="s">
        <v>1721</v>
      </c>
    </row>
    <row r="19" spans="1:6">
      <c r="A19" t="s">
        <v>1722</v>
      </c>
      <c r="B19" t="s">
        <v>1723</v>
      </c>
      <c r="C19">
        <v>6910500000000</v>
      </c>
      <c r="D19">
        <v>6037714596000</v>
      </c>
      <c r="E19">
        <v>2085917698000</v>
      </c>
      <c r="F19">
        <v>16917698000</v>
      </c>
    </row>
    <row r="20" spans="1:6">
      <c r="A20" t="s">
        <v>1724</v>
      </c>
      <c r="B20" t="s">
        <v>1725</v>
      </c>
      <c r="C20">
        <v>2877349952000</v>
      </c>
      <c r="D20">
        <v>2430887849000</v>
      </c>
      <c r="E20">
        <v>2668480203000</v>
      </c>
      <c r="F20">
        <v>2402168965000</v>
      </c>
    </row>
    <row r="21" spans="1:6">
      <c r="A21" t="s">
        <v>1726</v>
      </c>
      <c r="B21" t="s">
        <v>1727</v>
      </c>
    </row>
    <row r="22" spans="1:6">
      <c r="A22" t="s">
        <v>1728</v>
      </c>
      <c r="B22" t="s">
        <v>1729</v>
      </c>
    </row>
    <row r="23" spans="1:6">
      <c r="A23" t="s">
        <v>1637</v>
      </c>
      <c r="B23" t="s">
        <v>64</v>
      </c>
      <c r="C23">
        <v>27266851974000</v>
      </c>
      <c r="D23">
        <v>22244676327000</v>
      </c>
      <c r="E23">
        <v>21824235626000</v>
      </c>
      <c r="F23">
        <v>25696077735000</v>
      </c>
    </row>
    <row r="24" spans="1:6">
      <c r="A24" t="s">
        <v>1730</v>
      </c>
      <c r="B24" t="s">
        <v>1731</v>
      </c>
      <c r="C24">
        <v>27876446129000</v>
      </c>
      <c r="D24">
        <v>22667774013000</v>
      </c>
      <c r="E24">
        <v>22028684523000</v>
      </c>
      <c r="F24">
        <v>26058131397000</v>
      </c>
    </row>
    <row r="25" spans="1:6">
      <c r="A25" t="s">
        <v>1732</v>
      </c>
      <c r="B25" t="s">
        <v>1733</v>
      </c>
      <c r="C25">
        <v>-609594155000</v>
      </c>
      <c r="D25">
        <v>-423097686000</v>
      </c>
      <c r="E25">
        <v>-204448897000</v>
      </c>
      <c r="F25">
        <v>-362053661000</v>
      </c>
    </row>
    <row r="26" spans="1:6">
      <c r="A26" t="s">
        <v>1734</v>
      </c>
      <c r="B26" t="s">
        <v>1735</v>
      </c>
    </row>
    <row r="27" spans="1:6">
      <c r="A27" t="s">
        <v>1736</v>
      </c>
      <c r="B27" t="s">
        <v>1737</v>
      </c>
    </row>
    <row r="28" spans="1:6">
      <c r="A28" t="s">
        <v>1738</v>
      </c>
      <c r="B28" t="s">
        <v>1739</v>
      </c>
    </row>
    <row r="29" spans="1:6">
      <c r="A29" t="s">
        <v>1740</v>
      </c>
      <c r="B29" t="s">
        <v>1741</v>
      </c>
    </row>
    <row r="30" spans="1:6">
      <c r="A30" t="s">
        <v>1638</v>
      </c>
      <c r="B30" t="s">
        <v>66</v>
      </c>
      <c r="C30">
        <v>877767010000</v>
      </c>
      <c r="D30">
        <v>544076772000</v>
      </c>
      <c r="E30">
        <v>664536081000</v>
      </c>
      <c r="F30">
        <v>750441874000</v>
      </c>
    </row>
    <row r="31" spans="1:6">
      <c r="A31" t="s">
        <v>1742</v>
      </c>
      <c r="B31" t="s">
        <v>1743</v>
      </c>
      <c r="C31">
        <v>518599409000</v>
      </c>
      <c r="D31">
        <v>390391361000</v>
      </c>
      <c r="E31">
        <v>481240961000</v>
      </c>
      <c r="F31">
        <v>565060213000</v>
      </c>
    </row>
    <row r="32" spans="1:6">
      <c r="A32" t="s">
        <v>1744</v>
      </c>
      <c r="B32" t="s">
        <v>1745</v>
      </c>
      <c r="C32">
        <v>314874106000</v>
      </c>
      <c r="D32">
        <v>121055116000</v>
      </c>
      <c r="E32">
        <v>159821189000</v>
      </c>
      <c r="F32">
        <v>156743754000</v>
      </c>
    </row>
    <row r="33" spans="1:6">
      <c r="A33" t="s">
        <v>1746</v>
      </c>
      <c r="B33" t="s">
        <v>1747</v>
      </c>
      <c r="C33">
        <v>44293495000</v>
      </c>
      <c r="D33">
        <v>32630295000</v>
      </c>
      <c r="E33">
        <v>23473931000</v>
      </c>
      <c r="F33">
        <v>28637907000</v>
      </c>
    </row>
    <row r="34" spans="1:6">
      <c r="A34" t="s">
        <v>1748</v>
      </c>
      <c r="B34" t="s">
        <v>1749</v>
      </c>
    </row>
    <row r="35" spans="1:6">
      <c r="A35" t="s">
        <v>1750</v>
      </c>
      <c r="B35" t="s">
        <v>1751</v>
      </c>
    </row>
    <row r="36" spans="1:6">
      <c r="A36" t="s">
        <v>1752</v>
      </c>
      <c r="B36" t="s">
        <v>1753</v>
      </c>
      <c r="C36">
        <v>6743968829000</v>
      </c>
      <c r="D36">
        <v>4601353102000</v>
      </c>
      <c r="E36">
        <v>8160899237000</v>
      </c>
      <c r="F36">
        <v>11256488386000</v>
      </c>
    </row>
    <row r="37" spans="1:6">
      <c r="A37" t="s">
        <v>1754</v>
      </c>
      <c r="B37" t="s">
        <v>1755</v>
      </c>
      <c r="C37">
        <v>403823785000</v>
      </c>
      <c r="D37">
        <v>389707802000</v>
      </c>
      <c r="E37">
        <v>457569987000</v>
      </c>
      <c r="F37">
        <v>503486574000</v>
      </c>
    </row>
    <row r="38" spans="1:6">
      <c r="A38" t="s">
        <v>1756</v>
      </c>
      <c r="B38" t="s">
        <v>1757</v>
      </c>
    </row>
    <row r="39" spans="1:6">
      <c r="A39" t="s">
        <v>1758</v>
      </c>
      <c r="B39" t="s">
        <v>1759</v>
      </c>
    </row>
    <row r="40" spans="1:6">
      <c r="A40" t="s">
        <v>1760</v>
      </c>
      <c r="B40" t="s">
        <v>1761</v>
      </c>
    </row>
    <row r="41" spans="1:6">
      <c r="A41" t="s">
        <v>1762</v>
      </c>
      <c r="B41" t="s">
        <v>1763</v>
      </c>
    </row>
    <row r="42" spans="1:6">
      <c r="A42" t="s">
        <v>1764</v>
      </c>
      <c r="B42" t="s">
        <v>1765</v>
      </c>
      <c r="E42">
        <v>9244973000</v>
      </c>
      <c r="F42">
        <v>9744723000</v>
      </c>
    </row>
    <row r="43" spans="1:6">
      <c r="A43" t="s">
        <v>1766</v>
      </c>
      <c r="B43" t="s">
        <v>1767</v>
      </c>
      <c r="C43">
        <v>403823785000</v>
      </c>
      <c r="D43">
        <v>389707802000</v>
      </c>
      <c r="E43">
        <v>448325013000</v>
      </c>
      <c r="F43">
        <v>493741850000</v>
      </c>
    </row>
    <row r="44" spans="1:6">
      <c r="A44" t="s">
        <v>1768</v>
      </c>
      <c r="B44" t="s">
        <v>1769</v>
      </c>
    </row>
    <row r="45" spans="1:6">
      <c r="A45" t="s">
        <v>1640</v>
      </c>
      <c r="B45" t="s">
        <v>70</v>
      </c>
      <c r="C45">
        <v>2598189218000</v>
      </c>
      <c r="D45">
        <v>3586628664000</v>
      </c>
      <c r="E45">
        <v>6500135609000</v>
      </c>
      <c r="F45">
        <v>9727502911000</v>
      </c>
    </row>
    <row r="46" spans="1:6">
      <c r="A46" t="s">
        <v>1770</v>
      </c>
      <c r="B46" t="s">
        <v>1771</v>
      </c>
      <c r="C46">
        <v>2540074321000</v>
      </c>
      <c r="D46">
        <v>3523161098000</v>
      </c>
      <c r="E46">
        <v>6431315373000</v>
      </c>
      <c r="F46">
        <v>9653330006000</v>
      </c>
    </row>
    <row r="47" spans="1:6">
      <c r="A47" t="s">
        <v>1772</v>
      </c>
      <c r="B47" t="s">
        <v>1773</v>
      </c>
      <c r="C47">
        <v>19478200235000</v>
      </c>
      <c r="D47">
        <v>19174626384000</v>
      </c>
      <c r="E47">
        <v>20139282723000</v>
      </c>
      <c r="F47">
        <v>20841513609000</v>
      </c>
    </row>
    <row r="48" spans="1:6">
      <c r="A48" t="s">
        <v>1774</v>
      </c>
      <c r="B48" t="s">
        <v>1775</v>
      </c>
      <c r="C48">
        <v>-16938125914000</v>
      </c>
      <c r="D48">
        <v>-15651465286000</v>
      </c>
      <c r="E48">
        <v>-13707967350000</v>
      </c>
      <c r="F48">
        <v>-11188183603000</v>
      </c>
    </row>
    <row r="49" spans="1:6">
      <c r="A49" t="s">
        <v>1776</v>
      </c>
      <c r="B49" t="s">
        <v>1777</v>
      </c>
    </row>
    <row r="50" spans="1:6">
      <c r="A50" t="s">
        <v>1772</v>
      </c>
      <c r="B50" t="s">
        <v>1778</v>
      </c>
    </row>
    <row r="51" spans="1:6">
      <c r="A51" t="s">
        <v>1774</v>
      </c>
      <c r="B51" t="s">
        <v>1779</v>
      </c>
    </row>
    <row r="52" spans="1:6">
      <c r="A52" t="s">
        <v>1780</v>
      </c>
      <c r="B52" t="s">
        <v>1781</v>
      </c>
      <c r="C52">
        <v>58114896000</v>
      </c>
      <c r="D52">
        <v>63467566000</v>
      </c>
      <c r="E52">
        <v>68820236000</v>
      </c>
      <c r="F52">
        <v>74172905000</v>
      </c>
    </row>
    <row r="53" spans="1:6">
      <c r="A53" t="s">
        <v>1772</v>
      </c>
      <c r="B53" t="s">
        <v>1782</v>
      </c>
      <c r="C53">
        <v>90297773000</v>
      </c>
      <c r="D53">
        <v>90297773000</v>
      </c>
      <c r="E53">
        <v>90297773000</v>
      </c>
      <c r="F53">
        <v>90297773000</v>
      </c>
    </row>
    <row r="54" spans="1:6">
      <c r="A54" t="s">
        <v>1774</v>
      </c>
      <c r="B54" t="s">
        <v>1783</v>
      </c>
      <c r="C54">
        <v>-32182876000</v>
      </c>
      <c r="D54">
        <v>-26830207000</v>
      </c>
      <c r="E54">
        <v>-21477537000</v>
      </c>
      <c r="F54">
        <v>-16124867000</v>
      </c>
    </row>
    <row r="55" spans="1:6">
      <c r="A55" t="s">
        <v>1784</v>
      </c>
      <c r="B55" t="s">
        <v>1785</v>
      </c>
    </row>
    <row r="56" spans="1:6">
      <c r="A56" t="s">
        <v>1786</v>
      </c>
      <c r="B56" t="s">
        <v>1787</v>
      </c>
    </row>
    <row r="57" spans="1:6">
      <c r="A57" t="s">
        <v>1788</v>
      </c>
      <c r="B57" t="s">
        <v>1789</v>
      </c>
    </row>
    <row r="58" spans="1:6">
      <c r="A58" t="s">
        <v>1790</v>
      </c>
      <c r="B58" t="s">
        <v>1791</v>
      </c>
    </row>
    <row r="59" spans="1:6">
      <c r="A59" t="s">
        <v>1772</v>
      </c>
      <c r="B59" t="s">
        <v>1792</v>
      </c>
    </row>
    <row r="60" spans="1:6">
      <c r="A60" t="s">
        <v>1793</v>
      </c>
      <c r="B60" t="s">
        <v>1794</v>
      </c>
    </row>
    <row r="61" spans="1:6">
      <c r="A61" t="s">
        <v>1795</v>
      </c>
      <c r="B61" t="s">
        <v>1796</v>
      </c>
    </row>
    <row r="62" spans="1:6">
      <c r="A62" t="s">
        <v>1797</v>
      </c>
      <c r="B62" t="s">
        <v>1798</v>
      </c>
    </row>
    <row r="63" spans="1:6">
      <c r="A63" t="s">
        <v>1799</v>
      </c>
      <c r="B63" t="s">
        <v>1800</v>
      </c>
    </row>
    <row r="64" spans="1:6">
      <c r="A64" t="s">
        <v>1801</v>
      </c>
      <c r="B64" t="s">
        <v>1802</v>
      </c>
    </row>
    <row r="65" spans="1:6">
      <c r="A65" t="s">
        <v>1772</v>
      </c>
      <c r="B65" t="s">
        <v>1803</v>
      </c>
    </row>
    <row r="66" spans="1:6">
      <c r="A66" t="s">
        <v>1774</v>
      </c>
      <c r="B66" t="s">
        <v>1804</v>
      </c>
    </row>
    <row r="67" spans="1:6">
      <c r="A67" t="s">
        <v>1805</v>
      </c>
      <c r="B67" t="s">
        <v>1806</v>
      </c>
      <c r="C67">
        <v>90899468000</v>
      </c>
      <c r="D67">
        <v>24526423000</v>
      </c>
      <c r="E67">
        <v>4493857000</v>
      </c>
      <c r="F67">
        <v>123873979000</v>
      </c>
    </row>
    <row r="68" spans="1:6">
      <c r="A68" t="s">
        <v>1807</v>
      </c>
      <c r="B68" t="s">
        <v>1808</v>
      </c>
    </row>
    <row r="69" spans="1:6">
      <c r="A69" t="s">
        <v>1809</v>
      </c>
      <c r="B69" t="s">
        <v>1810</v>
      </c>
      <c r="C69">
        <v>90899468000</v>
      </c>
      <c r="D69">
        <v>24526423000</v>
      </c>
      <c r="E69">
        <v>4493857000</v>
      </c>
      <c r="F69">
        <v>123873979000</v>
      </c>
    </row>
    <row r="70" spans="1:6">
      <c r="A70" t="s">
        <v>1641</v>
      </c>
      <c r="B70" t="s">
        <v>72</v>
      </c>
      <c r="C70">
        <v>3136315565000</v>
      </c>
      <c r="D70">
        <v>242035798000</v>
      </c>
      <c r="E70">
        <v>746632253000</v>
      </c>
      <c r="F70">
        <v>231034840000</v>
      </c>
    </row>
    <row r="71" spans="1:6">
      <c r="A71" t="s">
        <v>1811</v>
      </c>
      <c r="B71" t="s">
        <v>1812</v>
      </c>
    </row>
    <row r="72" spans="1:6">
      <c r="A72" t="s">
        <v>1813</v>
      </c>
      <c r="B72" t="s">
        <v>1814</v>
      </c>
      <c r="C72">
        <v>371159065000</v>
      </c>
      <c r="D72">
        <v>242035798000</v>
      </c>
      <c r="E72">
        <v>286632253000</v>
      </c>
      <c r="F72">
        <v>181034840000</v>
      </c>
    </row>
    <row r="73" spans="1:6">
      <c r="A73" t="s">
        <v>1815</v>
      </c>
      <c r="B73" t="s">
        <v>1816</v>
      </c>
    </row>
    <row r="74" spans="1:6">
      <c r="A74" t="s">
        <v>1817</v>
      </c>
      <c r="B74" t="s">
        <v>1818</v>
      </c>
    </row>
    <row r="75" spans="1:6">
      <c r="A75" t="s">
        <v>1819</v>
      </c>
      <c r="B75" t="s">
        <v>1820</v>
      </c>
      <c r="C75">
        <v>2765156500000</v>
      </c>
      <c r="E75">
        <v>460000000000</v>
      </c>
      <c r="F75">
        <v>50000000000</v>
      </c>
    </row>
    <row r="76" spans="1:6">
      <c r="A76" t="s">
        <v>1821</v>
      </c>
      <c r="B76" t="s">
        <v>1822</v>
      </c>
    </row>
    <row r="77" spans="1:6">
      <c r="A77" t="s">
        <v>1823</v>
      </c>
      <c r="B77" t="s">
        <v>1824</v>
      </c>
    </row>
    <row r="78" spans="1:6">
      <c r="A78" t="s">
        <v>1642</v>
      </c>
      <c r="B78" t="s">
        <v>74</v>
      </c>
      <c r="C78">
        <v>514740794000</v>
      </c>
      <c r="D78">
        <v>358454414000</v>
      </c>
      <c r="E78">
        <v>452067531000</v>
      </c>
      <c r="F78">
        <v>670590082000</v>
      </c>
    </row>
    <row r="79" spans="1:6">
      <c r="A79" t="s">
        <v>1825</v>
      </c>
      <c r="B79" t="s">
        <v>1826</v>
      </c>
      <c r="C79">
        <v>63643388000</v>
      </c>
      <c r="D79">
        <v>68471834000</v>
      </c>
      <c r="E79">
        <v>105411104000</v>
      </c>
      <c r="F79">
        <v>175104437000</v>
      </c>
    </row>
    <row r="80" spans="1:6">
      <c r="A80" t="s">
        <v>1827</v>
      </c>
      <c r="B80" t="s">
        <v>1828</v>
      </c>
      <c r="C80">
        <v>451097406000</v>
      </c>
      <c r="D80">
        <v>289982580000</v>
      </c>
      <c r="E80">
        <v>101088939000</v>
      </c>
      <c r="F80">
        <v>188526284000</v>
      </c>
    </row>
    <row r="81" spans="1:6">
      <c r="A81" t="s">
        <v>1829</v>
      </c>
      <c r="B81" t="s">
        <v>1830</v>
      </c>
    </row>
    <row r="82" spans="1:6">
      <c r="A82" t="s">
        <v>1831</v>
      </c>
      <c r="B82" t="s">
        <v>1832</v>
      </c>
    </row>
    <row r="83" spans="1:6">
      <c r="A83" t="s">
        <v>1833</v>
      </c>
      <c r="B83" t="s">
        <v>1834</v>
      </c>
      <c r="E83">
        <v>245567488000</v>
      </c>
      <c r="F83">
        <v>306959361000</v>
      </c>
    </row>
    <row r="84" spans="1:6">
      <c r="A84" t="s">
        <v>1835</v>
      </c>
      <c r="B84" t="s">
        <v>1836</v>
      </c>
    </row>
    <row r="85" spans="1:6">
      <c r="A85" t="s">
        <v>1643</v>
      </c>
      <c r="B85" t="s">
        <v>76</v>
      </c>
      <c r="C85">
        <v>83945619612000</v>
      </c>
      <c r="D85">
        <v>70437775722000</v>
      </c>
      <c r="E85">
        <v>60111237213000</v>
      </c>
      <c r="F85">
        <v>55834095614000</v>
      </c>
    </row>
    <row r="86" spans="1:6">
      <c r="A86" t="s">
        <v>1837</v>
      </c>
      <c r="B86" t="s">
        <v>1838</v>
      </c>
    </row>
    <row r="87" spans="1:6">
      <c r="A87" t="s">
        <v>1649</v>
      </c>
      <c r="B87" t="s">
        <v>88</v>
      </c>
      <c r="C87">
        <v>50769502237000</v>
      </c>
      <c r="D87">
        <v>42316198898000</v>
      </c>
      <c r="E87">
        <v>36751679245000</v>
      </c>
      <c r="F87">
        <v>31901514096000</v>
      </c>
    </row>
    <row r="88" spans="1:6">
      <c r="A88" t="s">
        <v>1646</v>
      </c>
      <c r="B88" t="s">
        <v>82</v>
      </c>
      <c r="C88">
        <v>50769502237000</v>
      </c>
      <c r="D88">
        <v>42316198898000</v>
      </c>
      <c r="E88">
        <v>30765260554000</v>
      </c>
      <c r="F88">
        <v>26000264096000</v>
      </c>
    </row>
    <row r="89" spans="1:6">
      <c r="A89" t="s">
        <v>1644</v>
      </c>
      <c r="B89" t="s">
        <v>78</v>
      </c>
      <c r="C89">
        <v>13113899672000</v>
      </c>
      <c r="D89">
        <v>9179636055000</v>
      </c>
      <c r="E89">
        <v>7927069728000</v>
      </c>
      <c r="F89">
        <v>8745827332000</v>
      </c>
    </row>
    <row r="90" spans="1:6">
      <c r="A90" t="s">
        <v>1839</v>
      </c>
      <c r="B90" t="s">
        <v>1840</v>
      </c>
      <c r="C90">
        <v>210360719000</v>
      </c>
      <c r="D90">
        <v>90966315000</v>
      </c>
      <c r="E90">
        <v>88995836000</v>
      </c>
      <c r="F90">
        <v>97659958000</v>
      </c>
    </row>
    <row r="91" spans="1:6">
      <c r="A91" t="s">
        <v>1841</v>
      </c>
      <c r="B91" t="s">
        <v>1842</v>
      </c>
    </row>
    <row r="92" spans="1:6">
      <c r="A92" t="s">
        <v>1843</v>
      </c>
      <c r="B92" t="s">
        <v>1844</v>
      </c>
      <c r="C92">
        <v>899553979000</v>
      </c>
      <c r="D92">
        <v>691059561000</v>
      </c>
      <c r="E92">
        <v>421532018000</v>
      </c>
      <c r="F92">
        <v>764244078000</v>
      </c>
    </row>
    <row r="93" spans="1:6">
      <c r="A93" t="s">
        <v>1845</v>
      </c>
      <c r="B93" t="s">
        <v>1846</v>
      </c>
      <c r="C93">
        <v>342221055000</v>
      </c>
      <c r="D93">
        <v>649999685000</v>
      </c>
      <c r="E93">
        <v>438404323000</v>
      </c>
      <c r="F93">
        <v>475431940000</v>
      </c>
    </row>
    <row r="94" spans="1:6">
      <c r="A94" t="s">
        <v>1847</v>
      </c>
      <c r="B94" t="s">
        <v>1848</v>
      </c>
      <c r="C94">
        <v>4474359546000</v>
      </c>
      <c r="D94">
        <v>3357568974000</v>
      </c>
      <c r="E94">
        <v>1372808266000</v>
      </c>
      <c r="F94">
        <v>2180365916000</v>
      </c>
    </row>
    <row r="95" spans="1:6">
      <c r="A95" t="s">
        <v>1849</v>
      </c>
      <c r="B95" t="s">
        <v>1850</v>
      </c>
    </row>
    <row r="96" spans="1:6">
      <c r="A96" t="s">
        <v>1851</v>
      </c>
      <c r="B96" t="s">
        <v>1852</v>
      </c>
    </row>
    <row r="97" spans="1:6">
      <c r="A97" t="s">
        <v>1853</v>
      </c>
      <c r="B97" t="s">
        <v>1854</v>
      </c>
      <c r="C97">
        <v>536936718000</v>
      </c>
      <c r="D97">
        <v>51807612000</v>
      </c>
      <c r="E97">
        <v>3405793000</v>
      </c>
      <c r="F97">
        <v>386944000</v>
      </c>
    </row>
    <row r="98" spans="1:6">
      <c r="A98" t="s">
        <v>1855</v>
      </c>
      <c r="B98" t="s">
        <v>1856</v>
      </c>
      <c r="C98">
        <v>1171729524000</v>
      </c>
      <c r="D98">
        <v>924674307000</v>
      </c>
      <c r="E98">
        <v>1316566967000</v>
      </c>
      <c r="F98">
        <v>2971948190000</v>
      </c>
    </row>
    <row r="99" spans="1:6">
      <c r="A99" t="s">
        <v>1645</v>
      </c>
      <c r="B99" t="s">
        <v>80</v>
      </c>
      <c r="C99">
        <v>29930942962000</v>
      </c>
      <c r="D99">
        <v>27300246722000</v>
      </c>
      <c r="E99">
        <v>19128541818000</v>
      </c>
      <c r="F99">
        <v>10688138631000</v>
      </c>
    </row>
    <row r="100" spans="1:6">
      <c r="A100" t="s">
        <v>1857</v>
      </c>
      <c r="B100" t="s">
        <v>1858</v>
      </c>
      <c r="C100">
        <v>89498061000</v>
      </c>
      <c r="D100">
        <v>70239667000</v>
      </c>
      <c r="E100">
        <v>67935804000</v>
      </c>
      <c r="F100">
        <v>76261108000</v>
      </c>
    </row>
    <row r="101" spans="1:6">
      <c r="A101" t="s">
        <v>1859</v>
      </c>
      <c r="B101" t="s">
        <v>1860</v>
      </c>
    </row>
    <row r="102" spans="1:6">
      <c r="A102" t="s">
        <v>1861</v>
      </c>
      <c r="B102" t="s">
        <v>1862</v>
      </c>
    </row>
    <row r="103" spans="1:6">
      <c r="A103" t="s">
        <v>1863</v>
      </c>
      <c r="B103" t="s">
        <v>1864</v>
      </c>
    </row>
    <row r="104" spans="1:6">
      <c r="A104" t="s">
        <v>1648</v>
      </c>
      <c r="B104" t="s">
        <v>86</v>
      </c>
      <c r="E104">
        <v>5986418691000</v>
      </c>
      <c r="F104">
        <v>5901250000000</v>
      </c>
    </row>
    <row r="105" spans="1:6">
      <c r="A105" t="s">
        <v>1865</v>
      </c>
      <c r="B105" t="s">
        <v>1866</v>
      </c>
    </row>
    <row r="106" spans="1:6">
      <c r="A106" t="s">
        <v>1867</v>
      </c>
      <c r="B106" t="s">
        <v>1868</v>
      </c>
    </row>
    <row r="107" spans="1:6">
      <c r="A107" t="s">
        <v>1869</v>
      </c>
      <c r="B107" t="s">
        <v>1870</v>
      </c>
    </row>
    <row r="108" spans="1:6">
      <c r="A108" t="s">
        <v>1871</v>
      </c>
      <c r="B108" t="s">
        <v>1872</v>
      </c>
    </row>
    <row r="109" spans="1:6">
      <c r="A109" t="s">
        <v>1873</v>
      </c>
      <c r="B109" t="s">
        <v>1874</v>
      </c>
    </row>
    <row r="110" spans="1:6">
      <c r="A110" t="s">
        <v>1875</v>
      </c>
      <c r="B110" t="s">
        <v>1876</v>
      </c>
    </row>
    <row r="111" spans="1:6">
      <c r="A111" t="s">
        <v>1877</v>
      </c>
      <c r="B111" t="s">
        <v>1878</v>
      </c>
    </row>
    <row r="112" spans="1:6">
      <c r="A112" t="s">
        <v>1879</v>
      </c>
      <c r="B112" t="s">
        <v>1880</v>
      </c>
    </row>
    <row r="113" spans="1:6">
      <c r="A113" t="s">
        <v>1647</v>
      </c>
      <c r="B113" t="s">
        <v>84</v>
      </c>
      <c r="E113">
        <v>5985250000000</v>
      </c>
      <c r="F113">
        <v>5901250000000</v>
      </c>
    </row>
    <row r="114" spans="1:6">
      <c r="A114" t="s">
        <v>1881</v>
      </c>
      <c r="B114" t="s">
        <v>1882</v>
      </c>
    </row>
    <row r="115" spans="1:6">
      <c r="A115" t="s">
        <v>1883</v>
      </c>
      <c r="B115" t="s">
        <v>1884</v>
      </c>
    </row>
    <row r="116" spans="1:6">
      <c r="A116" t="s">
        <v>1885</v>
      </c>
      <c r="B116" t="s">
        <v>1886</v>
      </c>
      <c r="E116">
        <v>1168691000</v>
      </c>
    </row>
    <row r="117" spans="1:6">
      <c r="A117" t="s">
        <v>1887</v>
      </c>
      <c r="B117" t="s">
        <v>1888</v>
      </c>
    </row>
    <row r="118" spans="1:6">
      <c r="A118" t="s">
        <v>1889</v>
      </c>
      <c r="B118" t="s">
        <v>1890</v>
      </c>
    </row>
    <row r="119" spans="1:6">
      <c r="A119" t="s">
        <v>1891</v>
      </c>
      <c r="B119" t="s">
        <v>1892</v>
      </c>
    </row>
    <row r="120" spans="1:6">
      <c r="A120" t="s">
        <v>1653</v>
      </c>
      <c r="B120" t="s">
        <v>95</v>
      </c>
      <c r="C120">
        <v>33176117375000</v>
      </c>
      <c r="D120">
        <v>28121576824000</v>
      </c>
      <c r="E120">
        <v>23359557967000</v>
      </c>
      <c r="F120">
        <v>23932581518000</v>
      </c>
    </row>
    <row r="121" spans="1:6">
      <c r="A121" t="s">
        <v>1893</v>
      </c>
      <c r="B121" t="s">
        <v>1894</v>
      </c>
      <c r="C121">
        <v>33176117375000</v>
      </c>
      <c r="D121">
        <v>28121576824000</v>
      </c>
      <c r="E121">
        <v>23359557967000</v>
      </c>
      <c r="F121">
        <v>23932581518000</v>
      </c>
    </row>
    <row r="122" spans="1:6">
      <c r="A122" t="s">
        <v>1650</v>
      </c>
      <c r="B122" t="s">
        <v>90</v>
      </c>
      <c r="C122">
        <v>14696931770000</v>
      </c>
      <c r="D122">
        <v>14622441770000</v>
      </c>
      <c r="E122">
        <v>14633767160000</v>
      </c>
      <c r="F122">
        <v>14638792800000</v>
      </c>
    </row>
    <row r="123" spans="1:6">
      <c r="A123" t="s">
        <v>1895</v>
      </c>
      <c r="B123" t="s">
        <v>1896</v>
      </c>
      <c r="C123">
        <v>14696931770000</v>
      </c>
      <c r="D123">
        <v>14622441770000</v>
      </c>
      <c r="E123">
        <v>14633767160000</v>
      </c>
      <c r="F123">
        <v>14638792800000</v>
      </c>
    </row>
    <row r="124" spans="1:6">
      <c r="A124" t="s">
        <v>1897</v>
      </c>
      <c r="B124" t="s">
        <v>1898</v>
      </c>
    </row>
    <row r="125" spans="1:6">
      <c r="A125" t="s">
        <v>1899</v>
      </c>
      <c r="B125" t="s">
        <v>1900</v>
      </c>
      <c r="C125">
        <v>-152995820000</v>
      </c>
      <c r="D125">
        <v>558110431000</v>
      </c>
      <c r="E125">
        <v>558110431000</v>
      </c>
      <c r="F125">
        <v>558110431000</v>
      </c>
    </row>
    <row r="126" spans="1:6">
      <c r="A126" t="s">
        <v>1901</v>
      </c>
      <c r="B126" t="s">
        <v>1902</v>
      </c>
    </row>
    <row r="127" spans="1:6">
      <c r="A127" t="s">
        <v>1903</v>
      </c>
      <c r="B127" t="s">
        <v>1904</v>
      </c>
    </row>
    <row r="128" spans="1:6">
      <c r="A128" t="s">
        <v>1905</v>
      </c>
      <c r="B128" t="s">
        <v>1906</v>
      </c>
      <c r="C128">
        <v>-12364140000</v>
      </c>
      <c r="D128">
        <v>-7599680000</v>
      </c>
      <c r="E128">
        <v>-9783280000</v>
      </c>
      <c r="F128">
        <v>-5025640000</v>
      </c>
    </row>
    <row r="129" spans="1:6">
      <c r="A129" t="s">
        <v>1907</v>
      </c>
      <c r="B129" t="s">
        <v>1908</v>
      </c>
    </row>
    <row r="130" spans="1:6">
      <c r="A130" t="s">
        <v>1909</v>
      </c>
      <c r="B130" t="s">
        <v>1910</v>
      </c>
      <c r="D130">
        <v>2458385000</v>
      </c>
      <c r="E130">
        <v>3739030000</v>
      </c>
      <c r="F130">
        <v>2261603000</v>
      </c>
    </row>
    <row r="131" spans="1:6">
      <c r="A131" t="s">
        <v>1911</v>
      </c>
      <c r="B131" t="s">
        <v>1912</v>
      </c>
    </row>
    <row r="132" spans="1:6">
      <c r="A132" t="s">
        <v>1913</v>
      </c>
      <c r="B132" t="s">
        <v>1914</v>
      </c>
    </row>
    <row r="133" spans="1:6">
      <c r="A133" t="s">
        <v>1915</v>
      </c>
      <c r="B133" t="s">
        <v>1916</v>
      </c>
    </row>
    <row r="134" spans="1:6">
      <c r="A134" t="s">
        <v>1651</v>
      </c>
      <c r="B134" t="s">
        <v>92</v>
      </c>
      <c r="C134">
        <v>18068194576000</v>
      </c>
      <c r="D134">
        <v>12582145267000</v>
      </c>
      <c r="E134">
        <v>8160323596000</v>
      </c>
      <c r="F134">
        <v>8723934226000</v>
      </c>
    </row>
    <row r="135" spans="1:6">
      <c r="A135" t="s">
        <v>1917</v>
      </c>
      <c r="B135" t="s">
        <v>1918</v>
      </c>
      <c r="C135">
        <v>11034463806000</v>
      </c>
      <c r="D135">
        <v>8860276825000</v>
      </c>
      <c r="E135">
        <v>7992654203000</v>
      </c>
      <c r="F135">
        <v>4624171199000</v>
      </c>
    </row>
    <row r="136" spans="1:6">
      <c r="A136" t="s">
        <v>1919</v>
      </c>
      <c r="B136" t="s">
        <v>1920</v>
      </c>
      <c r="C136">
        <v>7033730770000</v>
      </c>
      <c r="D136">
        <v>3721868442000</v>
      </c>
      <c r="E136">
        <v>167669393000</v>
      </c>
      <c r="F136">
        <v>4099763027000</v>
      </c>
    </row>
    <row r="137" spans="1:6">
      <c r="A137" t="s">
        <v>1921</v>
      </c>
      <c r="B137" t="s">
        <v>1922</v>
      </c>
    </row>
    <row r="138" spans="1:6">
      <c r="A138" t="s">
        <v>1652</v>
      </c>
      <c r="B138" t="s">
        <v>51</v>
      </c>
      <c r="C138">
        <v>576350988000</v>
      </c>
      <c r="D138">
        <v>364020651000</v>
      </c>
      <c r="E138">
        <v>13401030000</v>
      </c>
      <c r="F138">
        <v>14508097000</v>
      </c>
    </row>
    <row r="139" spans="1:6">
      <c r="A139" t="s">
        <v>1923</v>
      </c>
      <c r="B139" t="s">
        <v>1924</v>
      </c>
    </row>
    <row r="140" spans="1:6">
      <c r="A140" t="s">
        <v>1925</v>
      </c>
      <c r="B140" t="s">
        <v>1926</v>
      </c>
    </row>
    <row r="141" spans="1:6">
      <c r="A141" t="s">
        <v>1927</v>
      </c>
      <c r="B141" t="s">
        <v>1928</v>
      </c>
    </row>
    <row r="142" spans="1:6">
      <c r="A142" t="s">
        <v>1929</v>
      </c>
      <c r="B142" t="s">
        <v>1930</v>
      </c>
    </row>
    <row r="143" spans="1:6">
      <c r="A143" t="s">
        <v>1931</v>
      </c>
      <c r="B143" t="s">
        <v>1932</v>
      </c>
    </row>
    <row r="144" spans="1:6">
      <c r="A144" t="s">
        <v>1654</v>
      </c>
      <c r="B144" t="s">
        <v>97</v>
      </c>
      <c r="C144">
        <v>83945619612000</v>
      </c>
      <c r="D144">
        <v>70437775722000</v>
      </c>
      <c r="E144">
        <v>60111237213000</v>
      </c>
      <c r="F144">
        <v>55834095614000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51"/>
  <sheetViews>
    <sheetView workbookViewId="0">
      <selection activeCell="A43" sqref="A43"/>
    </sheetView>
  </sheetViews>
  <sheetFormatPr defaultRowHeight="13.8"/>
  <cols>
    <col min="1" max="1" width="52" customWidth="1"/>
    <col min="2" max="2" width="42" customWidth="1"/>
    <col min="3" max="6" width="16" customWidth="1"/>
  </cols>
  <sheetData>
    <row r="1" spans="1:6" ht="12" customHeight="1">
      <c r="A1" s="316" t="s">
        <v>1675</v>
      </c>
      <c r="B1" s="316" t="s">
        <v>1676</v>
      </c>
      <c r="C1" s="448" t="s">
        <v>1677</v>
      </c>
      <c r="D1" s="448" t="s">
        <v>1678</v>
      </c>
      <c r="E1" s="448" t="s">
        <v>1679</v>
      </c>
      <c r="F1" s="448" t="s">
        <v>1680</v>
      </c>
    </row>
    <row r="2" spans="1:6">
      <c r="A2" t="s">
        <v>1933</v>
      </c>
      <c r="B2" t="s">
        <v>1934</v>
      </c>
    </row>
    <row r="3" spans="1:6">
      <c r="A3" t="s">
        <v>1658</v>
      </c>
      <c r="B3" t="s">
        <v>42</v>
      </c>
      <c r="C3">
        <v>8633067583000</v>
      </c>
      <c r="D3">
        <v>4825763013000</v>
      </c>
      <c r="E3">
        <v>689692368000</v>
      </c>
      <c r="F3">
        <v>6056355374000</v>
      </c>
    </row>
    <row r="4" spans="1:6">
      <c r="A4" t="s">
        <v>1935</v>
      </c>
      <c r="B4" t="s">
        <v>1936</v>
      </c>
    </row>
    <row r="5" spans="1:6">
      <c r="A5" t="s">
        <v>1659</v>
      </c>
      <c r="B5" t="s">
        <v>105</v>
      </c>
      <c r="C5">
        <v>1890882109000</v>
      </c>
      <c r="D5">
        <v>2913419081000</v>
      </c>
      <c r="E5">
        <v>3351314268000</v>
      </c>
      <c r="F5">
        <v>3540324726000</v>
      </c>
    </row>
    <row r="6" spans="1:6">
      <c r="A6" t="s">
        <v>1937</v>
      </c>
      <c r="B6" t="s">
        <v>1938</v>
      </c>
      <c r="C6">
        <v>205754863000</v>
      </c>
      <c r="D6">
        <v>220952652000</v>
      </c>
      <c r="E6">
        <v>-165930068000</v>
      </c>
      <c r="F6">
        <v>-321799367000</v>
      </c>
    </row>
    <row r="7" spans="1:6">
      <c r="A7" t="s">
        <v>1939</v>
      </c>
      <c r="B7" t="s">
        <v>1940</v>
      </c>
      <c r="C7">
        <v>48281411000</v>
      </c>
      <c r="D7">
        <v>25689581000</v>
      </c>
      <c r="E7">
        <v>83631272000</v>
      </c>
      <c r="F7">
        <v>284374000</v>
      </c>
    </row>
    <row r="8" spans="1:6">
      <c r="A8" t="s">
        <v>1941</v>
      </c>
      <c r="B8" t="s">
        <v>1942</v>
      </c>
      <c r="C8">
        <v>-2908766492000</v>
      </c>
      <c r="D8">
        <v>-1729164103000</v>
      </c>
      <c r="E8">
        <v>-1509203341000</v>
      </c>
      <c r="F8">
        <v>-348599792000</v>
      </c>
    </row>
    <row r="9" spans="1:6">
      <c r="A9" t="s">
        <v>1943</v>
      </c>
      <c r="B9" t="s">
        <v>1944</v>
      </c>
      <c r="C9">
        <v>1470675594000</v>
      </c>
      <c r="D9">
        <v>1137236130000</v>
      </c>
      <c r="E9">
        <v>1447718355000</v>
      </c>
      <c r="F9">
        <v>1362143909000</v>
      </c>
    </row>
    <row r="10" spans="1:6">
      <c r="A10" t="s">
        <v>1945</v>
      </c>
      <c r="B10" t="s">
        <v>1946</v>
      </c>
    </row>
    <row r="11" spans="1:6">
      <c r="A11" t="s">
        <v>1947</v>
      </c>
      <c r="B11" t="s">
        <v>1948</v>
      </c>
    </row>
    <row r="12" spans="1:6">
      <c r="A12" t="s">
        <v>1949</v>
      </c>
      <c r="B12" t="s">
        <v>1950</v>
      </c>
    </row>
    <row r="13" spans="1:6">
      <c r="A13" t="s">
        <v>1951</v>
      </c>
      <c r="B13" t="s">
        <v>1952</v>
      </c>
    </row>
    <row r="14" spans="1:6">
      <c r="A14" t="s">
        <v>1953</v>
      </c>
      <c r="B14" t="s">
        <v>1954</v>
      </c>
      <c r="C14">
        <v>9339895068000</v>
      </c>
      <c r="D14">
        <v>7393896353000</v>
      </c>
      <c r="E14">
        <v>3897222853000</v>
      </c>
      <c r="F14">
        <v>10288709224000</v>
      </c>
    </row>
    <row r="15" spans="1:6">
      <c r="A15" t="s">
        <v>1955</v>
      </c>
      <c r="B15" t="s">
        <v>1956</v>
      </c>
      <c r="C15">
        <v>-308618710000</v>
      </c>
      <c r="D15">
        <v>151205191000</v>
      </c>
      <c r="E15">
        <v>672440537000</v>
      </c>
      <c r="F15">
        <v>-588827639000</v>
      </c>
    </row>
    <row r="16" spans="1:6">
      <c r="A16" t="s">
        <v>1957</v>
      </c>
      <c r="B16" t="s">
        <v>1958</v>
      </c>
      <c r="C16">
        <v>-5207942331000</v>
      </c>
      <c r="D16">
        <v>-636927914000</v>
      </c>
      <c r="E16">
        <v>4169031757000</v>
      </c>
      <c r="F16">
        <v>3791937421000</v>
      </c>
    </row>
    <row r="17" spans="1:6">
      <c r="A17" t="s">
        <v>1959</v>
      </c>
      <c r="B17" t="s">
        <v>1960</v>
      </c>
      <c r="C17">
        <v>5339106069000</v>
      </c>
      <c r="D17">
        <v>3581806725000</v>
      </c>
      <c r="E17">
        <v>-3136706601000</v>
      </c>
      <c r="F17">
        <v>-2286756979000</v>
      </c>
    </row>
    <row r="18" spans="1:6">
      <c r="A18" t="s">
        <v>1961</v>
      </c>
      <c r="B18" t="s">
        <v>1962</v>
      </c>
      <c r="C18">
        <v>-123379603000</v>
      </c>
      <c r="D18">
        <v>127788871000</v>
      </c>
      <c r="E18">
        <v>130000103000</v>
      </c>
      <c r="F18">
        <v>-101041271000</v>
      </c>
    </row>
    <row r="19" spans="1:6">
      <c r="A19" t="s">
        <v>1963</v>
      </c>
      <c r="B19" t="s">
        <v>1964</v>
      </c>
    </row>
    <row r="20" spans="1:6">
      <c r="A20" t="s">
        <v>1660</v>
      </c>
      <c r="B20" t="s">
        <v>107</v>
      </c>
      <c r="C20">
        <v>-1396460328000</v>
      </c>
      <c r="D20">
        <v>-1141521541000</v>
      </c>
      <c r="E20">
        <v>-1435731871000</v>
      </c>
      <c r="F20">
        <v>-1322381109000</v>
      </c>
    </row>
    <row r="21" spans="1:6">
      <c r="A21" t="s">
        <v>1661</v>
      </c>
      <c r="B21" t="s">
        <v>109</v>
      </c>
      <c r="C21">
        <v>-1546459474000</v>
      </c>
      <c r="D21">
        <v>-958914978000</v>
      </c>
      <c r="E21">
        <v>-860429603000</v>
      </c>
      <c r="F21">
        <v>-1805340844000</v>
      </c>
    </row>
    <row r="22" spans="1:6">
      <c r="A22" t="s">
        <v>1965</v>
      </c>
      <c r="B22" t="s">
        <v>1966</v>
      </c>
    </row>
    <row r="23" spans="1:6">
      <c r="A23" t="s">
        <v>1967</v>
      </c>
      <c r="B23" t="s">
        <v>1968</v>
      </c>
    </row>
    <row r="24" spans="1:6">
      <c r="A24" t="s">
        <v>1662</v>
      </c>
      <c r="B24" t="s">
        <v>111</v>
      </c>
      <c r="C24">
        <v>6096140690000</v>
      </c>
      <c r="D24">
        <v>8517332707000</v>
      </c>
      <c r="E24">
        <v>3435827176000</v>
      </c>
      <c r="F24">
        <v>7976298802000</v>
      </c>
    </row>
    <row r="25" spans="1:6">
      <c r="A25" t="s">
        <v>1969</v>
      </c>
      <c r="B25" t="s">
        <v>1970</v>
      </c>
    </row>
    <row r="26" spans="1:6">
      <c r="A26" t="s">
        <v>1663</v>
      </c>
      <c r="B26" t="s">
        <v>113</v>
      </c>
      <c r="C26">
        <v>-888461890000</v>
      </c>
      <c r="D26">
        <v>-303747827000</v>
      </c>
      <c r="E26">
        <v>-523383331000</v>
      </c>
      <c r="F26">
        <v>-4465359524000</v>
      </c>
    </row>
    <row r="27" spans="1:6">
      <c r="A27" t="s">
        <v>1971</v>
      </c>
      <c r="B27" t="s">
        <v>1972</v>
      </c>
      <c r="C27">
        <v>10165413000</v>
      </c>
      <c r="D27">
        <v>54661690000</v>
      </c>
      <c r="E27">
        <v>31276791000</v>
      </c>
      <c r="F27">
        <v>5331160000</v>
      </c>
    </row>
    <row r="28" spans="1:6">
      <c r="A28" t="s">
        <v>1973</v>
      </c>
      <c r="B28" t="s">
        <v>1974</v>
      </c>
      <c r="C28">
        <v>-56848212766000</v>
      </c>
      <c r="D28">
        <v>-52159250995000</v>
      </c>
      <c r="E28">
        <v>-34151374181000</v>
      </c>
      <c r="F28">
        <v>-20799334065000</v>
      </c>
    </row>
    <row r="29" spans="1:6">
      <c r="A29" t="s">
        <v>1975</v>
      </c>
      <c r="B29" t="s">
        <v>1976</v>
      </c>
      <c r="C29">
        <v>48660442516000</v>
      </c>
      <c r="D29">
        <v>38289265387000</v>
      </c>
      <c r="E29">
        <v>22805115462000</v>
      </c>
      <c r="F29">
        <v>25851966071000</v>
      </c>
    </row>
    <row r="30" spans="1:6">
      <c r="A30" t="s">
        <v>1977</v>
      </c>
      <c r="B30" t="s">
        <v>1978</v>
      </c>
      <c r="C30">
        <v>-104772188000</v>
      </c>
      <c r="E30">
        <v>-105597413000</v>
      </c>
      <c r="F30">
        <v>-181034840000</v>
      </c>
    </row>
    <row r="31" spans="1:6">
      <c r="A31" t="s">
        <v>1979</v>
      </c>
      <c r="B31" t="s">
        <v>1980</v>
      </c>
    </row>
    <row r="32" spans="1:6">
      <c r="A32" t="s">
        <v>1981</v>
      </c>
      <c r="B32" t="s">
        <v>1982</v>
      </c>
      <c r="C32">
        <v>2514887980000</v>
      </c>
      <c r="D32">
        <v>2377309655000</v>
      </c>
      <c r="E32">
        <v>1114378023000</v>
      </c>
      <c r="F32">
        <v>1137542622000</v>
      </c>
    </row>
    <row r="33" spans="1:6">
      <c r="A33" t="s">
        <v>1983</v>
      </c>
      <c r="B33" t="s">
        <v>1984</v>
      </c>
    </row>
    <row r="34" spans="1:6">
      <c r="A34" t="s">
        <v>1985</v>
      </c>
      <c r="B34" t="s">
        <v>1986</v>
      </c>
    </row>
    <row r="35" spans="1:6">
      <c r="A35" t="s">
        <v>1987</v>
      </c>
      <c r="B35" t="s">
        <v>1988</v>
      </c>
    </row>
    <row r="36" spans="1:6">
      <c r="A36" t="s">
        <v>1989</v>
      </c>
      <c r="B36" t="s">
        <v>1990</v>
      </c>
      <c r="C36">
        <v>-4824456000</v>
      </c>
      <c r="D36">
        <v>-1523581000</v>
      </c>
      <c r="E36">
        <v>-1710049000</v>
      </c>
    </row>
    <row r="37" spans="1:6">
      <c r="A37" t="s">
        <v>1664</v>
      </c>
      <c r="B37" t="s">
        <v>115</v>
      </c>
      <c r="C37">
        <v>-6660775392000</v>
      </c>
      <c r="D37">
        <v>-11743285670000</v>
      </c>
      <c r="E37">
        <v>-10831294697000</v>
      </c>
      <c r="F37">
        <v>1549111423000</v>
      </c>
    </row>
    <row r="38" spans="1:6">
      <c r="A38" t="s">
        <v>1991</v>
      </c>
      <c r="B38" t="s">
        <v>1992</v>
      </c>
    </row>
    <row r="39" spans="1:6">
      <c r="A39" t="s">
        <v>1993</v>
      </c>
      <c r="B39" t="s">
        <v>1994</v>
      </c>
      <c r="C39">
        <v>283527980000</v>
      </c>
      <c r="D39">
        <v>1771634339000</v>
      </c>
      <c r="E39">
        <v>443220000</v>
      </c>
      <c r="F39">
        <v>192628370000</v>
      </c>
    </row>
    <row r="40" spans="1:6">
      <c r="A40" t="s">
        <v>1995</v>
      </c>
      <c r="B40" t="s">
        <v>1996</v>
      </c>
      <c r="C40">
        <v>-815870711000</v>
      </c>
      <c r="D40">
        <v>-9141790000</v>
      </c>
      <c r="E40">
        <v>-9783280000</v>
      </c>
      <c r="F40">
        <v>-5025640000</v>
      </c>
    </row>
    <row r="41" spans="1:6">
      <c r="A41" t="s">
        <v>1665</v>
      </c>
      <c r="B41" t="s">
        <v>117</v>
      </c>
      <c r="C41">
        <v>98550109185000</v>
      </c>
      <c r="D41">
        <v>74756279080000</v>
      </c>
      <c r="E41">
        <v>70373733044000</v>
      </c>
      <c r="F41">
        <v>65251647851000</v>
      </c>
    </row>
    <row r="42" spans="1:6">
      <c r="A42" t="s">
        <v>1666</v>
      </c>
      <c r="B42" t="s">
        <v>119</v>
      </c>
      <c r="C42">
        <v>-95872137945000</v>
      </c>
      <c r="D42">
        <v>-73030338420000</v>
      </c>
      <c r="E42">
        <v>-61933329857000</v>
      </c>
      <c r="F42">
        <v>-73313739287000</v>
      </c>
    </row>
    <row r="43" spans="1:6">
      <c r="A43" t="s">
        <v>1997</v>
      </c>
      <c r="B43" t="s">
        <v>1998</v>
      </c>
    </row>
    <row r="44" spans="1:6">
      <c r="A44" t="s">
        <v>1667</v>
      </c>
      <c r="B44" t="s">
        <v>121</v>
      </c>
      <c r="C44">
        <v>-1478456763000</v>
      </c>
      <c r="D44">
        <v>-730957694000</v>
      </c>
      <c r="E44">
        <v>-731280024000</v>
      </c>
      <c r="F44">
        <v>-731854815000</v>
      </c>
    </row>
    <row r="45" spans="1:6">
      <c r="A45" t="s">
        <v>1999</v>
      </c>
      <c r="B45" t="s">
        <v>2000</v>
      </c>
    </row>
    <row r="46" spans="1:6">
      <c r="A46" t="s">
        <v>2001</v>
      </c>
      <c r="B46" t="s">
        <v>2002</v>
      </c>
    </row>
    <row r="47" spans="1:6">
      <c r="A47" t="s">
        <v>1668</v>
      </c>
      <c r="B47" t="s">
        <v>123</v>
      </c>
      <c r="C47">
        <v>667171746000</v>
      </c>
      <c r="D47">
        <v>2757475514000</v>
      </c>
      <c r="E47">
        <v>7699783103000</v>
      </c>
      <c r="F47">
        <v>-8606343521000</v>
      </c>
    </row>
    <row r="48" spans="1:6">
      <c r="A48" t="s">
        <v>1669</v>
      </c>
      <c r="B48" t="s">
        <v>125</v>
      </c>
      <c r="C48">
        <v>102537044000</v>
      </c>
      <c r="D48">
        <v>-468477450000</v>
      </c>
      <c r="E48">
        <v>304315582000</v>
      </c>
      <c r="F48">
        <v>919066704000</v>
      </c>
    </row>
    <row r="49" spans="1:6">
      <c r="A49" t="s">
        <v>1670</v>
      </c>
      <c r="B49" t="s">
        <v>127</v>
      </c>
      <c r="C49">
        <v>4897331541000</v>
      </c>
      <c r="D49">
        <v>5365704857000</v>
      </c>
      <c r="E49">
        <v>5061020547000</v>
      </c>
      <c r="F49">
        <v>4142015763000</v>
      </c>
    </row>
    <row r="50" spans="1:6">
      <c r="A50" t="s">
        <v>1671</v>
      </c>
      <c r="B50" t="s">
        <v>129</v>
      </c>
      <c r="C50">
        <v>57132000</v>
      </c>
      <c r="D50">
        <v>104134000</v>
      </c>
      <c r="E50">
        <v>368728000</v>
      </c>
      <c r="F50">
        <v>-61919000</v>
      </c>
    </row>
    <row r="51" spans="1:6">
      <c r="A51" t="s">
        <v>1672</v>
      </c>
      <c r="B51" t="s">
        <v>131</v>
      </c>
      <c r="C51">
        <v>4999925717000</v>
      </c>
      <c r="D51">
        <v>4897331541000</v>
      </c>
      <c r="E51">
        <v>5365704857000</v>
      </c>
      <c r="F51">
        <v>5061020547000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26"/>
  <sheetViews>
    <sheetView showGridLines="0" workbookViewId="0">
      <selection sqref="A1:F1"/>
    </sheetView>
  </sheetViews>
  <sheetFormatPr defaultRowHeight="13.8"/>
  <cols>
    <col min="1" max="1" width="48" customWidth="1"/>
    <col min="2" max="2" width="34" customWidth="1"/>
    <col min="3" max="4" width="18" customWidth="1"/>
    <col min="5" max="6" width="28" customWidth="1"/>
  </cols>
  <sheetData>
    <row r="1" spans="1:6" ht="15" customHeight="1">
      <c r="A1" s="455" t="s">
        <v>2003</v>
      </c>
      <c r="B1" s="452"/>
      <c r="C1" s="452"/>
      <c r="D1" s="452"/>
      <c r="E1" s="452"/>
      <c r="F1" s="452"/>
    </row>
    <row r="2" spans="1:6" ht="14.4">
      <c r="A2" s="456" t="s">
        <v>2004</v>
      </c>
      <c r="B2" s="452"/>
      <c r="C2" s="452"/>
      <c r="D2" s="452"/>
      <c r="E2" s="452"/>
      <c r="F2" s="452"/>
    </row>
    <row r="3" spans="1:6" ht="15" customHeight="1">
      <c r="A3" s="326" t="s">
        <v>1675</v>
      </c>
      <c r="B3" s="326" t="s">
        <v>1676</v>
      </c>
      <c r="C3" s="326" t="s">
        <v>2005</v>
      </c>
      <c r="D3" s="326" t="s">
        <v>2006</v>
      </c>
      <c r="E3" s="326" t="s">
        <v>2007</v>
      </c>
      <c r="F3" s="326" t="s">
        <v>2008</v>
      </c>
    </row>
    <row r="4" spans="1:6">
      <c r="A4" s="21" t="s">
        <v>2009</v>
      </c>
      <c r="B4" s="22" t="s">
        <v>2010</v>
      </c>
      <c r="C4" s="23">
        <v>36332913479242</v>
      </c>
      <c r="D4" s="23">
        <v>46709163270992</v>
      </c>
      <c r="E4" s="22" t="s">
        <v>2011</v>
      </c>
      <c r="F4" s="24"/>
    </row>
    <row r="5" spans="1:6">
      <c r="A5" s="25" t="s">
        <v>2012</v>
      </c>
      <c r="B5" s="26" t="s">
        <v>2013</v>
      </c>
      <c r="C5" s="27">
        <v>197955061033</v>
      </c>
      <c r="D5" s="27">
        <v>247211244219</v>
      </c>
      <c r="E5" s="26" t="s">
        <v>2011</v>
      </c>
      <c r="F5" s="28"/>
    </row>
    <row r="6" spans="1:6">
      <c r="A6" s="25" t="s">
        <v>2014</v>
      </c>
      <c r="B6" s="26" t="s">
        <v>16</v>
      </c>
      <c r="C6" s="27">
        <v>36134958418209</v>
      </c>
      <c r="D6" s="27">
        <v>46461952026773</v>
      </c>
      <c r="E6" s="26" t="s">
        <v>2011</v>
      </c>
      <c r="F6" s="28"/>
    </row>
    <row r="7" spans="1:6">
      <c r="A7" s="25" t="s">
        <v>2015</v>
      </c>
      <c r="B7" s="26" t="s">
        <v>2016</v>
      </c>
      <c r="C7" s="27">
        <v>28934547803004</v>
      </c>
      <c r="D7" s="27">
        <v>36751850587457</v>
      </c>
      <c r="E7" s="26" t="s">
        <v>2011</v>
      </c>
      <c r="F7" s="28"/>
    </row>
    <row r="8" spans="1:6">
      <c r="A8" s="25" t="s">
        <v>2017</v>
      </c>
      <c r="B8" s="26" t="s">
        <v>21</v>
      </c>
      <c r="C8" s="27">
        <v>7200410615205</v>
      </c>
      <c r="D8" s="27">
        <v>9710101439316</v>
      </c>
      <c r="E8" s="26" t="s">
        <v>2011</v>
      </c>
      <c r="F8" s="28"/>
    </row>
    <row r="9" spans="1:6">
      <c r="A9" s="25" t="s">
        <v>2018</v>
      </c>
      <c r="B9" s="26" t="s">
        <v>26</v>
      </c>
      <c r="C9" s="27">
        <v>693293667931</v>
      </c>
      <c r="D9" s="27">
        <v>857866587527</v>
      </c>
      <c r="E9" s="26" t="s">
        <v>2011</v>
      </c>
      <c r="F9" s="28"/>
    </row>
    <row r="10" spans="1:6">
      <c r="A10" s="25" t="s">
        <v>2019</v>
      </c>
      <c r="B10" s="26" t="s">
        <v>28</v>
      </c>
      <c r="C10" s="27">
        <v>339023162705</v>
      </c>
      <c r="D10" s="27">
        <v>421767358286</v>
      </c>
      <c r="E10" s="26" t="s">
        <v>2011</v>
      </c>
      <c r="F10" s="28"/>
    </row>
    <row r="11" spans="1:6">
      <c r="A11" s="25" t="s">
        <v>2020</v>
      </c>
      <c r="B11" s="26" t="s">
        <v>2021</v>
      </c>
      <c r="C11" s="27">
        <v>322792850500</v>
      </c>
      <c r="D11" s="27">
        <v>415448904085</v>
      </c>
      <c r="E11" s="26" t="s">
        <v>2011</v>
      </c>
      <c r="F11" s="28"/>
    </row>
    <row r="12" spans="1:6">
      <c r="A12" s="25" t="s">
        <v>2022</v>
      </c>
      <c r="B12" s="26" t="s">
        <v>2023</v>
      </c>
      <c r="C12" s="27">
        <v>3129774300</v>
      </c>
      <c r="D12" s="27">
        <v>9011741928</v>
      </c>
      <c r="E12" s="26" t="s">
        <v>2011</v>
      </c>
      <c r="F12" s="28"/>
    </row>
    <row r="13" spans="1:6">
      <c r="A13" s="25" t="s">
        <v>2024</v>
      </c>
      <c r="B13" s="26" t="s">
        <v>32</v>
      </c>
      <c r="C13" s="27">
        <v>4403006343750</v>
      </c>
      <c r="D13" s="27">
        <v>5284908877085</v>
      </c>
      <c r="E13" s="26" t="s">
        <v>2011</v>
      </c>
      <c r="F13" s="28"/>
    </row>
    <row r="14" spans="1:6">
      <c r="A14" s="25" t="s">
        <v>2025</v>
      </c>
      <c r="B14" s="26" t="s">
        <v>34</v>
      </c>
      <c r="C14" s="27">
        <v>1214599786616</v>
      </c>
      <c r="D14" s="27">
        <v>1523180115533</v>
      </c>
      <c r="E14" s="26" t="s">
        <v>2011</v>
      </c>
      <c r="F14" s="28"/>
    </row>
    <row r="15" spans="1:6">
      <c r="A15" s="25" t="s">
        <v>2026</v>
      </c>
      <c r="B15" s="26" t="s">
        <v>2027</v>
      </c>
      <c r="C15" s="27">
        <v>1940204764365</v>
      </c>
      <c r="D15" s="27">
        <v>3347123417867</v>
      </c>
      <c r="E15" s="26" t="s">
        <v>2011</v>
      </c>
      <c r="F15" s="28"/>
    </row>
    <row r="16" spans="1:6">
      <c r="A16" s="25" t="s">
        <v>2028</v>
      </c>
      <c r="B16" s="26" t="s">
        <v>1688</v>
      </c>
      <c r="C16" s="27">
        <v>12087549570</v>
      </c>
      <c r="D16" s="27">
        <v>12428594028</v>
      </c>
      <c r="E16" s="26" t="s">
        <v>2011</v>
      </c>
      <c r="F16" s="28"/>
    </row>
    <row r="17" spans="1:6">
      <c r="A17" s="25" t="s">
        <v>2029</v>
      </c>
      <c r="B17" s="26" t="s">
        <v>1690</v>
      </c>
      <c r="C17" s="27">
        <v>17630926715</v>
      </c>
      <c r="D17" s="27">
        <v>31967712004</v>
      </c>
      <c r="E17" s="26" t="s">
        <v>2011</v>
      </c>
      <c r="F17" s="28"/>
    </row>
    <row r="18" spans="1:6">
      <c r="A18" s="25" t="s">
        <v>2030</v>
      </c>
      <c r="B18" s="26" t="s">
        <v>40</v>
      </c>
      <c r="C18" s="27">
        <v>-5543377145</v>
      </c>
      <c r="D18" s="27">
        <v>-19539117976</v>
      </c>
      <c r="E18" s="26" t="s">
        <v>2011</v>
      </c>
      <c r="F18" s="28"/>
    </row>
    <row r="19" spans="1:6">
      <c r="A19" s="25" t="s">
        <v>2031</v>
      </c>
      <c r="B19" s="26" t="s">
        <v>2032</v>
      </c>
      <c r="C19" s="27">
        <v>1934661387220</v>
      </c>
      <c r="D19" s="27">
        <v>3327584299891</v>
      </c>
      <c r="E19" s="26" t="s">
        <v>2011</v>
      </c>
      <c r="F19" s="28"/>
    </row>
    <row r="20" spans="1:6">
      <c r="A20" s="25" t="s">
        <v>2033</v>
      </c>
      <c r="B20" s="26" t="s">
        <v>2034</v>
      </c>
      <c r="C20" s="27">
        <v>397722415583</v>
      </c>
      <c r="D20" s="27">
        <v>797012204332</v>
      </c>
      <c r="E20" s="26" t="s">
        <v>2011</v>
      </c>
      <c r="F20" s="28"/>
    </row>
    <row r="21" spans="1:6">
      <c r="A21" s="25" t="s">
        <v>2035</v>
      </c>
      <c r="B21" s="26" t="s">
        <v>2036</v>
      </c>
      <c r="C21" s="27">
        <v>-10894797039</v>
      </c>
      <c r="D21" s="27">
        <v>-226984924968</v>
      </c>
      <c r="E21" s="26" t="s">
        <v>2011</v>
      </c>
      <c r="F21" s="28"/>
    </row>
    <row r="22" spans="1:6" ht="28.5" customHeight="1">
      <c r="A22" s="25" t="s">
        <v>2037</v>
      </c>
      <c r="B22" s="26" t="s">
        <v>2038</v>
      </c>
      <c r="C22" s="27">
        <v>386827618544</v>
      </c>
      <c r="D22" s="27">
        <v>570027279364</v>
      </c>
      <c r="E22" s="26" t="s">
        <v>2039</v>
      </c>
      <c r="F22" s="28"/>
    </row>
    <row r="23" spans="1:6">
      <c r="A23" s="25" t="s">
        <v>2040</v>
      </c>
      <c r="B23" s="26" t="s">
        <v>2041</v>
      </c>
      <c r="C23" s="27">
        <v>1547833768676</v>
      </c>
      <c r="D23" s="27">
        <v>2757557020527</v>
      </c>
      <c r="E23" s="26" t="s">
        <v>2011</v>
      </c>
      <c r="F23" s="28"/>
    </row>
    <row r="24" spans="1:6">
      <c r="A24" s="25" t="s">
        <v>2042</v>
      </c>
      <c r="B24" s="26" t="s">
        <v>2043</v>
      </c>
      <c r="C24" s="27">
        <v>1896677735</v>
      </c>
      <c r="D24" s="27">
        <v>43126168421</v>
      </c>
      <c r="E24" s="26" t="s">
        <v>2011</v>
      </c>
      <c r="F24" s="28"/>
    </row>
    <row r="25" spans="1:6">
      <c r="A25" s="25" t="s">
        <v>2044</v>
      </c>
      <c r="B25" s="26" t="s">
        <v>2045</v>
      </c>
      <c r="C25" s="27">
        <v>1545937090941</v>
      </c>
      <c r="D25" s="27">
        <v>2714430852106</v>
      </c>
      <c r="E25" s="26" t="s">
        <v>2011</v>
      </c>
      <c r="F25" s="28"/>
    </row>
    <row r="26" spans="1:6">
      <c r="A26" s="29" t="s">
        <v>2046</v>
      </c>
      <c r="B26" s="30" t="s">
        <v>2047</v>
      </c>
      <c r="C26" s="31">
        <v>1058</v>
      </c>
      <c r="D26" s="31">
        <v>1849</v>
      </c>
      <c r="E26" s="30" t="s">
        <v>2011</v>
      </c>
      <c r="F26" s="32"/>
    </row>
  </sheetData>
  <mergeCells count="2">
    <mergeCell ref="A2:F2"/>
    <mergeCell ref="A1:F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25"/>
  <sheetViews>
    <sheetView showGridLines="0" workbookViewId="0">
      <selection sqref="A1:F1"/>
    </sheetView>
  </sheetViews>
  <sheetFormatPr defaultRowHeight="13.8"/>
  <cols>
    <col min="1" max="1" width="48" customWidth="1"/>
    <col min="2" max="2" width="34" customWidth="1"/>
    <col min="3" max="4" width="18" customWidth="1"/>
    <col min="5" max="6" width="28" customWidth="1"/>
  </cols>
  <sheetData>
    <row r="1" spans="1:6" ht="15" customHeight="1">
      <c r="A1" s="455" t="s">
        <v>2048</v>
      </c>
      <c r="B1" s="452"/>
      <c r="C1" s="452"/>
      <c r="D1" s="452"/>
      <c r="E1" s="452"/>
      <c r="F1" s="452"/>
    </row>
    <row r="2" spans="1:6" ht="14.4">
      <c r="A2" s="456" t="s">
        <v>2004</v>
      </c>
      <c r="B2" s="452"/>
      <c r="C2" s="452"/>
      <c r="D2" s="452"/>
      <c r="E2" s="452"/>
      <c r="F2" s="452"/>
    </row>
    <row r="3" spans="1:6" ht="15" customHeight="1">
      <c r="A3" s="326" t="s">
        <v>1675</v>
      </c>
      <c r="B3" s="326" t="s">
        <v>1676</v>
      </c>
      <c r="C3" s="326" t="s">
        <v>2005</v>
      </c>
      <c r="D3" s="326" t="s">
        <v>2006</v>
      </c>
      <c r="E3" s="326" t="s">
        <v>2007</v>
      </c>
      <c r="F3" s="326" t="s">
        <v>2008</v>
      </c>
    </row>
    <row r="4" spans="1:6">
      <c r="A4" s="21" t="s">
        <v>2049</v>
      </c>
      <c r="B4" s="22" t="s">
        <v>68</v>
      </c>
      <c r="C4" s="23">
        <v>68350202307085</v>
      </c>
      <c r="D4" s="23">
        <v>76834611871316</v>
      </c>
      <c r="E4" s="22" t="s">
        <v>2050</v>
      </c>
      <c r="F4" s="24"/>
    </row>
    <row r="5" spans="1:6">
      <c r="A5" s="25" t="s">
        <v>2051</v>
      </c>
      <c r="B5" s="26" t="s">
        <v>1699</v>
      </c>
      <c r="C5" s="27">
        <v>2658218136149</v>
      </c>
      <c r="D5" s="27">
        <v>4553652582201</v>
      </c>
      <c r="E5" s="26" t="s">
        <v>2050</v>
      </c>
    </row>
    <row r="6" spans="1:6">
      <c r="A6" s="25" t="s">
        <v>2052</v>
      </c>
      <c r="B6" s="26" t="s">
        <v>2053</v>
      </c>
      <c r="C6" s="27">
        <v>32390515015620</v>
      </c>
      <c r="D6" s="27">
        <v>41831153715755</v>
      </c>
      <c r="E6" s="26" t="s">
        <v>2050</v>
      </c>
      <c r="F6" s="28"/>
    </row>
    <row r="7" spans="1:6">
      <c r="A7" s="25" t="s">
        <v>2054</v>
      </c>
      <c r="B7" s="26" t="s">
        <v>2055</v>
      </c>
      <c r="C7" s="27">
        <v>9862532179881</v>
      </c>
      <c r="D7" s="27">
        <v>2121015956014</v>
      </c>
      <c r="E7" s="26" t="s">
        <v>2050</v>
      </c>
      <c r="F7" s="28"/>
    </row>
    <row r="8" spans="1:6">
      <c r="A8" s="25" t="s">
        <v>2056</v>
      </c>
      <c r="B8" s="26" t="s">
        <v>2057</v>
      </c>
      <c r="C8" s="27">
        <v>22808478321986</v>
      </c>
      <c r="D8" s="27">
        <v>27600707843304</v>
      </c>
      <c r="E8" s="26" t="s">
        <v>2050</v>
      </c>
      <c r="F8" s="28"/>
    </row>
    <row r="9" spans="1:6">
      <c r="A9" s="25" t="s">
        <v>2058</v>
      </c>
      <c r="B9" s="26" t="s">
        <v>2059</v>
      </c>
      <c r="C9" s="27">
        <v>630458653449</v>
      </c>
      <c r="D9" s="27">
        <v>728081774042</v>
      </c>
      <c r="E9" s="26" t="s">
        <v>2050</v>
      </c>
      <c r="F9" s="28"/>
    </row>
    <row r="10" spans="1:6">
      <c r="A10" s="25" t="s">
        <v>2060</v>
      </c>
      <c r="B10" s="26" t="s">
        <v>1753</v>
      </c>
      <c r="C10" s="27">
        <v>4329022407862</v>
      </c>
      <c r="D10" s="27">
        <v>7159946601011</v>
      </c>
      <c r="E10" s="26" t="s">
        <v>2050</v>
      </c>
      <c r="F10" s="28"/>
    </row>
    <row r="11" spans="1:6">
      <c r="A11" s="25" t="s">
        <v>2061</v>
      </c>
      <c r="B11" s="26" t="s">
        <v>70</v>
      </c>
      <c r="C11" s="27">
        <v>3233901626643</v>
      </c>
      <c r="D11" s="27">
        <v>2418447401463</v>
      </c>
      <c r="E11" s="26" t="s">
        <v>2050</v>
      </c>
      <c r="F11" s="28"/>
    </row>
    <row r="12" spans="1:6">
      <c r="A12" s="25" t="s">
        <v>2062</v>
      </c>
      <c r="B12" s="26" t="s">
        <v>2063</v>
      </c>
      <c r="C12" s="27">
        <v>245165572130</v>
      </c>
      <c r="D12" s="27">
        <v>3466722463700</v>
      </c>
      <c r="E12" s="26" t="s">
        <v>2050</v>
      </c>
      <c r="F12" s="28"/>
    </row>
    <row r="13" spans="1:6" ht="14.25" customHeight="1">
      <c r="A13" s="25" t="s">
        <v>2064</v>
      </c>
      <c r="B13" s="26" t="s">
        <v>74</v>
      </c>
      <c r="C13" s="27">
        <v>395223532870</v>
      </c>
      <c r="D13" s="27">
        <v>723164397369</v>
      </c>
      <c r="E13" s="26" t="s">
        <v>2050</v>
      </c>
      <c r="F13" s="28"/>
    </row>
    <row r="14" spans="1:6">
      <c r="A14" s="25" t="s">
        <v>2065</v>
      </c>
      <c r="B14" s="26" t="s">
        <v>76</v>
      </c>
      <c r="C14" s="27">
        <v>72679224714947</v>
      </c>
      <c r="D14" s="27">
        <v>83994558472327</v>
      </c>
      <c r="E14" s="26" t="s">
        <v>2050</v>
      </c>
      <c r="F14" s="28"/>
    </row>
    <row r="15" spans="1:6">
      <c r="A15" s="25" t="s">
        <v>2066</v>
      </c>
      <c r="B15" s="26" t="s">
        <v>2067</v>
      </c>
      <c r="C15" s="27">
        <v>11308958826610</v>
      </c>
      <c r="D15" s="27">
        <v>11892521624518</v>
      </c>
      <c r="E15" s="26" t="s">
        <v>2050</v>
      </c>
      <c r="F15" s="28"/>
    </row>
    <row r="16" spans="1:6">
      <c r="A16" s="25" t="s">
        <v>2068</v>
      </c>
      <c r="B16" s="26" t="s">
        <v>2069</v>
      </c>
      <c r="C16" s="27">
        <v>26222186029667</v>
      </c>
      <c r="D16" s="27">
        <v>28100653169211</v>
      </c>
      <c r="E16" s="26" t="s">
        <v>2050</v>
      </c>
      <c r="F16" s="28"/>
    </row>
    <row r="17" spans="1:6">
      <c r="A17" s="25" t="s">
        <v>2070</v>
      </c>
      <c r="B17" s="26" t="s">
        <v>82</v>
      </c>
      <c r="C17" s="27">
        <v>43010091137156</v>
      </c>
      <c r="D17" s="27">
        <v>48061216417223</v>
      </c>
      <c r="E17" s="26" t="s">
        <v>2050</v>
      </c>
      <c r="F17" s="28"/>
    </row>
    <row r="18" spans="1:6">
      <c r="A18" s="25" t="s">
        <v>2071</v>
      </c>
      <c r="B18" s="26" t="s">
        <v>2072</v>
      </c>
      <c r="C18" s="27">
        <v>0</v>
      </c>
      <c r="D18" s="27">
        <v>0</v>
      </c>
      <c r="E18" s="26" t="s">
        <v>2050</v>
      </c>
      <c r="F18" s="28"/>
    </row>
    <row r="19" spans="1:6">
      <c r="A19" s="25" t="s">
        <v>2073</v>
      </c>
      <c r="B19" s="26" t="s">
        <v>86</v>
      </c>
      <c r="C19" s="27">
        <v>0</v>
      </c>
      <c r="D19" s="27">
        <v>0</v>
      </c>
      <c r="E19" s="26" t="s">
        <v>2050</v>
      </c>
      <c r="F19" s="28"/>
    </row>
    <row r="20" spans="1:6">
      <c r="A20" s="25" t="s">
        <v>2074</v>
      </c>
      <c r="B20" s="26" t="s">
        <v>88</v>
      </c>
      <c r="C20" s="27">
        <v>43010091137156</v>
      </c>
      <c r="D20" s="27">
        <v>48061216417223</v>
      </c>
      <c r="E20" s="26" t="s">
        <v>2050</v>
      </c>
      <c r="F20" s="28"/>
    </row>
    <row r="21" spans="1:6">
      <c r="A21" s="25" t="s">
        <v>2075</v>
      </c>
      <c r="B21" s="26" t="s">
        <v>2076</v>
      </c>
      <c r="C21" s="27">
        <v>14622441770000</v>
      </c>
      <c r="D21" s="27">
        <v>14696931770000</v>
      </c>
      <c r="E21" s="26" t="s">
        <v>2050</v>
      </c>
      <c r="F21" s="28"/>
    </row>
    <row r="22" spans="1:6">
      <c r="A22" s="25" t="s">
        <v>2077</v>
      </c>
      <c r="B22" s="26" t="s">
        <v>92</v>
      </c>
      <c r="C22" s="27">
        <v>14128082357783</v>
      </c>
      <c r="D22" s="27">
        <v>20782625319265</v>
      </c>
      <c r="E22" s="26" t="s">
        <v>2050</v>
      </c>
      <c r="F22" s="28"/>
    </row>
    <row r="23" spans="1:6">
      <c r="A23" s="25" t="s">
        <v>2078</v>
      </c>
      <c r="B23" s="26" t="s">
        <v>2079</v>
      </c>
      <c r="C23" s="27">
        <v>365640314393</v>
      </c>
      <c r="D23" s="27">
        <v>619477265899</v>
      </c>
      <c r="E23" s="26" t="s">
        <v>2050</v>
      </c>
      <c r="F23" s="28"/>
    </row>
    <row r="24" spans="1:6">
      <c r="A24" s="25" t="s">
        <v>2080</v>
      </c>
      <c r="B24" s="26" t="s">
        <v>2081</v>
      </c>
      <c r="C24" s="27">
        <v>29669133577791</v>
      </c>
      <c r="D24" s="27">
        <v>35933342055104</v>
      </c>
      <c r="E24" s="26" t="s">
        <v>2050</v>
      </c>
      <c r="F24" s="28"/>
    </row>
    <row r="25" spans="1:6">
      <c r="A25" s="29" t="s">
        <v>2082</v>
      </c>
      <c r="B25" s="30" t="s">
        <v>2083</v>
      </c>
      <c r="C25" s="31">
        <v>72679224714947</v>
      </c>
      <c r="D25" s="31">
        <v>83994558472327</v>
      </c>
      <c r="E25" s="30" t="s">
        <v>2050</v>
      </c>
      <c r="F25" s="32"/>
    </row>
  </sheetData>
  <mergeCells count="2">
    <mergeCell ref="A2:F2"/>
    <mergeCell ref="A1:F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34"/>
  <sheetViews>
    <sheetView showGridLines="0" workbookViewId="0">
      <selection sqref="A1:F1"/>
    </sheetView>
  </sheetViews>
  <sheetFormatPr defaultRowHeight="13.8"/>
  <cols>
    <col min="1" max="1" width="48" customWidth="1"/>
    <col min="2" max="2" width="34" customWidth="1"/>
    <col min="3" max="4" width="18" customWidth="1"/>
    <col min="5" max="6" width="28" customWidth="1"/>
  </cols>
  <sheetData>
    <row r="1" spans="1:6" ht="15" customHeight="1">
      <c r="A1" s="455" t="s">
        <v>2084</v>
      </c>
      <c r="B1" s="452"/>
      <c r="C1" s="452"/>
      <c r="D1" s="452"/>
      <c r="E1" s="452"/>
      <c r="F1" s="452"/>
    </row>
    <row r="2" spans="1:6" ht="14.4">
      <c r="A2" s="456" t="s">
        <v>2004</v>
      </c>
      <c r="B2" s="452"/>
      <c r="C2" s="452"/>
      <c r="D2" s="452"/>
      <c r="E2" s="452"/>
      <c r="F2" s="452"/>
    </row>
    <row r="3" spans="1:6" ht="15" customHeight="1">
      <c r="A3" s="326" t="s">
        <v>1675</v>
      </c>
      <c r="B3" s="326" t="s">
        <v>1676</v>
      </c>
      <c r="C3" s="326" t="s">
        <v>2005</v>
      </c>
      <c r="D3" s="326" t="s">
        <v>2006</v>
      </c>
      <c r="E3" s="326" t="s">
        <v>2007</v>
      </c>
      <c r="F3" s="326" t="s">
        <v>2008</v>
      </c>
    </row>
    <row r="4" spans="1:6">
      <c r="A4" s="21" t="s">
        <v>2085</v>
      </c>
      <c r="B4" s="22" t="s">
        <v>2032</v>
      </c>
      <c r="C4" s="23">
        <v>1934661387220</v>
      </c>
      <c r="D4" s="23">
        <v>3327584299891</v>
      </c>
      <c r="E4" s="22" t="s">
        <v>2086</v>
      </c>
      <c r="F4" s="24"/>
    </row>
    <row r="5" spans="1:6">
      <c r="A5" s="25" t="s">
        <v>2087</v>
      </c>
      <c r="B5" s="26" t="s">
        <v>2088</v>
      </c>
      <c r="C5" s="27">
        <v>508919466750</v>
      </c>
      <c r="D5" s="27">
        <v>393929975265</v>
      </c>
      <c r="E5" s="26" t="s">
        <v>2086</v>
      </c>
      <c r="F5" s="28"/>
    </row>
    <row r="6" spans="1:6">
      <c r="A6" s="25" t="s">
        <v>2089</v>
      </c>
      <c r="B6" s="26" t="s">
        <v>2090</v>
      </c>
      <c r="C6" s="27">
        <v>11990839619</v>
      </c>
      <c r="D6" s="27">
        <v>148321568633</v>
      </c>
      <c r="E6" s="26" t="s">
        <v>2086</v>
      </c>
      <c r="F6" s="28"/>
    </row>
    <row r="7" spans="1:6">
      <c r="A7" s="25" t="s">
        <v>2091</v>
      </c>
      <c r="B7" s="26" t="s">
        <v>2092</v>
      </c>
      <c r="C7" s="27">
        <v>10006964390</v>
      </c>
      <c r="D7" s="27">
        <v>-1038495565</v>
      </c>
      <c r="E7" s="26" t="s">
        <v>2086</v>
      </c>
      <c r="F7" s="28"/>
    </row>
    <row r="8" spans="1:6">
      <c r="A8" s="25" t="s">
        <v>2093</v>
      </c>
      <c r="B8" s="26" t="s">
        <v>2094</v>
      </c>
      <c r="C8" s="27">
        <v>-637707361482</v>
      </c>
      <c r="D8" s="27">
        <v>-803187924707</v>
      </c>
      <c r="E8" s="26" t="s">
        <v>2086</v>
      </c>
      <c r="F8" s="28"/>
    </row>
    <row r="9" spans="1:6">
      <c r="A9" s="25" t="s">
        <v>2095</v>
      </c>
      <c r="B9" s="26" t="s">
        <v>1944</v>
      </c>
      <c r="C9" s="27">
        <v>322792850500</v>
      </c>
      <c r="D9" s="27">
        <v>415448904085</v>
      </c>
      <c r="E9" s="26" t="s">
        <v>2086</v>
      </c>
      <c r="F9" s="28"/>
    </row>
    <row r="10" spans="1:6">
      <c r="A10" s="25" t="s">
        <v>2096</v>
      </c>
      <c r="B10" s="26" t="s">
        <v>2097</v>
      </c>
      <c r="C10" s="27">
        <v>2150664146997</v>
      </c>
      <c r="D10" s="27">
        <v>3481058327602</v>
      </c>
      <c r="E10" s="26" t="s">
        <v>2086</v>
      </c>
      <c r="F10" s="28"/>
    </row>
    <row r="11" spans="1:6">
      <c r="A11" s="25" t="s">
        <v>2098</v>
      </c>
      <c r="B11" s="26" t="s">
        <v>2099</v>
      </c>
      <c r="C11" s="27">
        <v>-20551258</v>
      </c>
      <c r="D11" s="27">
        <v>168304248946</v>
      </c>
      <c r="E11" s="26" t="s">
        <v>2086</v>
      </c>
      <c r="F11" s="28"/>
    </row>
    <row r="12" spans="1:6">
      <c r="A12" s="25" t="s">
        <v>2100</v>
      </c>
      <c r="B12" s="26" t="s">
        <v>2101</v>
      </c>
      <c r="C12" s="27">
        <v>-575792834900</v>
      </c>
      <c r="D12" s="27">
        <v>-473294070349</v>
      </c>
      <c r="E12" s="26" t="s">
        <v>2086</v>
      </c>
      <c r="F12" s="28"/>
    </row>
    <row r="13" spans="1:6">
      <c r="A13" s="25" t="s">
        <v>2102</v>
      </c>
      <c r="B13" s="26" t="s">
        <v>2103</v>
      </c>
      <c r="C13" s="27">
        <v>1748346307159</v>
      </c>
      <c r="D13" s="27">
        <v>-776569297738</v>
      </c>
      <c r="E13" s="26" t="s">
        <v>2086</v>
      </c>
      <c r="F13" s="28"/>
    </row>
    <row r="14" spans="1:6">
      <c r="A14" s="25" t="s">
        <v>2104</v>
      </c>
      <c r="B14" s="26" t="s">
        <v>2105</v>
      </c>
      <c r="C14" s="27">
        <v>-51385677184</v>
      </c>
      <c r="D14" s="27">
        <v>28552315198</v>
      </c>
      <c r="E14" s="26" t="s">
        <v>2086</v>
      </c>
      <c r="F14" s="28"/>
    </row>
    <row r="15" spans="1:6">
      <c r="A15" s="25" t="s">
        <v>2106</v>
      </c>
      <c r="B15" s="26" t="s">
        <v>2107</v>
      </c>
      <c r="C15" s="27">
        <v>-325485637820</v>
      </c>
      <c r="D15" s="27">
        <v>-438524493957</v>
      </c>
      <c r="E15" s="26" t="s">
        <v>2086</v>
      </c>
      <c r="F15" s="28"/>
    </row>
    <row r="16" spans="1:6">
      <c r="A16" s="25" t="s">
        <v>2108</v>
      </c>
      <c r="B16" s="26" t="s">
        <v>2109</v>
      </c>
      <c r="C16" s="27">
        <v>-456800409565</v>
      </c>
      <c r="D16" s="27">
        <v>-796272456005</v>
      </c>
      <c r="E16" s="26" t="s">
        <v>2086</v>
      </c>
      <c r="F16" s="28"/>
    </row>
    <row r="17" spans="1:6">
      <c r="A17" s="25" t="s">
        <v>110</v>
      </c>
      <c r="B17" s="26" t="s">
        <v>2110</v>
      </c>
      <c r="C17" s="27">
        <v>2489525343429</v>
      </c>
      <c r="D17" s="27">
        <v>1193254573697</v>
      </c>
      <c r="E17" s="26" t="s">
        <v>2086</v>
      </c>
      <c r="F17" s="28"/>
    </row>
    <row r="18" spans="1:6">
      <c r="A18" s="25" t="s">
        <v>112</v>
      </c>
      <c r="B18" s="26" t="s">
        <v>2111</v>
      </c>
      <c r="C18" s="27">
        <v>-163054946249</v>
      </c>
      <c r="D18" s="27">
        <v>-350142572252</v>
      </c>
      <c r="E18" s="26" t="s">
        <v>2086</v>
      </c>
      <c r="F18" s="28"/>
    </row>
    <row r="19" spans="1:6">
      <c r="A19" s="25" t="s">
        <v>2112</v>
      </c>
      <c r="B19" s="26" t="s">
        <v>2113</v>
      </c>
      <c r="C19" s="27">
        <v>755077318</v>
      </c>
      <c r="D19" s="27">
        <v>1297577244</v>
      </c>
      <c r="E19" s="26" t="s">
        <v>2086</v>
      </c>
      <c r="F19" s="28"/>
    </row>
    <row r="20" spans="1:6">
      <c r="A20" s="25" t="s">
        <v>2114</v>
      </c>
      <c r="B20" s="26" t="s">
        <v>2115</v>
      </c>
      <c r="C20" s="27">
        <v>-12842790158451</v>
      </c>
      <c r="D20" s="27">
        <v>-10333984026816</v>
      </c>
      <c r="E20" s="26" t="s">
        <v>2086</v>
      </c>
      <c r="F20" s="28"/>
    </row>
    <row r="21" spans="1:6">
      <c r="A21" s="25" t="s">
        <v>2116</v>
      </c>
      <c r="B21" s="26" t="s">
        <v>2117</v>
      </c>
      <c r="C21" s="27">
        <v>8842431495252</v>
      </c>
      <c r="D21" s="27">
        <v>10310414167550</v>
      </c>
      <c r="E21" s="26" t="s">
        <v>2086</v>
      </c>
      <c r="F21" s="28"/>
    </row>
    <row r="22" spans="1:6">
      <c r="A22" s="25" t="s">
        <v>2118</v>
      </c>
      <c r="B22" s="26" t="s">
        <v>2119</v>
      </c>
      <c r="C22" s="27">
        <v>0</v>
      </c>
      <c r="D22" s="27">
        <v>-122390357255</v>
      </c>
      <c r="E22" s="26" t="s">
        <v>2086</v>
      </c>
      <c r="F22" s="28"/>
    </row>
    <row r="23" spans="1:6">
      <c r="A23" s="25" t="s">
        <v>2120</v>
      </c>
      <c r="B23" s="26" t="s">
        <v>2121</v>
      </c>
      <c r="C23" s="27">
        <v>465034250069</v>
      </c>
      <c r="D23" s="27">
        <v>684861139738</v>
      </c>
      <c r="E23" s="26" t="s">
        <v>2086</v>
      </c>
      <c r="F23" s="28"/>
    </row>
    <row r="24" spans="1:6">
      <c r="A24" s="25" t="s">
        <v>2122</v>
      </c>
      <c r="B24" s="26" t="s">
        <v>2123</v>
      </c>
      <c r="C24" s="27">
        <v>-277014740</v>
      </c>
      <c r="D24" s="27">
        <v>0</v>
      </c>
      <c r="E24" s="26" t="s">
        <v>2086</v>
      </c>
      <c r="F24" s="28"/>
    </row>
    <row r="25" spans="1:6">
      <c r="A25" s="25" t="s">
        <v>114</v>
      </c>
      <c r="B25" s="26" t="s">
        <v>2124</v>
      </c>
      <c r="C25" s="27">
        <v>-3697901296801</v>
      </c>
      <c r="D25" s="27">
        <v>190055928209</v>
      </c>
      <c r="E25" s="26" t="s">
        <v>2086</v>
      </c>
      <c r="F25" s="28"/>
    </row>
    <row r="26" spans="1:6">
      <c r="A26" s="25" t="s">
        <v>2125</v>
      </c>
      <c r="B26" s="26" t="s">
        <v>2126</v>
      </c>
      <c r="C26" s="27">
        <v>0</v>
      </c>
      <c r="D26" s="27">
        <v>-332340000</v>
      </c>
      <c r="E26" s="26" t="s">
        <v>2086</v>
      </c>
      <c r="F26" s="28"/>
    </row>
    <row r="27" spans="1:6">
      <c r="A27" s="25" t="s">
        <v>2127</v>
      </c>
      <c r="B27" s="26" t="s">
        <v>2128</v>
      </c>
      <c r="C27" s="27">
        <v>19644968702325</v>
      </c>
      <c r="D27" s="27">
        <v>27840348205836</v>
      </c>
      <c r="E27" s="26" t="s">
        <v>2086</v>
      </c>
      <c r="F27" s="28"/>
    </row>
    <row r="28" spans="1:6">
      <c r="A28" s="25" t="s">
        <v>2129</v>
      </c>
      <c r="B28" s="26" t="s">
        <v>2130</v>
      </c>
      <c r="C28" s="27">
        <v>-20675754394437</v>
      </c>
      <c r="D28" s="27">
        <v>-29670637998293</v>
      </c>
      <c r="E28" s="26" t="s">
        <v>2086</v>
      </c>
      <c r="F28" s="28"/>
    </row>
    <row r="29" spans="1:6" ht="28.5" customHeight="1">
      <c r="A29" s="25" t="s">
        <v>2131</v>
      </c>
      <c r="B29" s="26" t="s">
        <v>2132</v>
      </c>
      <c r="C29" s="27">
        <v>0</v>
      </c>
      <c r="D29" s="27">
        <v>0</v>
      </c>
      <c r="E29" s="26" t="s">
        <v>2133</v>
      </c>
      <c r="F29" s="28"/>
    </row>
    <row r="30" spans="1:6">
      <c r="A30" s="25" t="s">
        <v>122</v>
      </c>
      <c r="B30" s="26" t="s">
        <v>2134</v>
      </c>
      <c r="C30" s="27">
        <v>-1030785692112</v>
      </c>
      <c r="D30" s="27">
        <v>-1830622132457</v>
      </c>
      <c r="E30" s="26" t="s">
        <v>2086</v>
      </c>
      <c r="F30" s="28"/>
    </row>
    <row r="31" spans="1:6">
      <c r="A31" s="25" t="s">
        <v>2135</v>
      </c>
      <c r="B31" s="26" t="s">
        <v>2136</v>
      </c>
      <c r="C31" s="27">
        <v>-2239161645484</v>
      </c>
      <c r="D31" s="27">
        <v>-447311630551</v>
      </c>
      <c r="E31" s="26" t="s">
        <v>2086</v>
      </c>
      <c r="F31" s="28"/>
    </row>
    <row r="32" spans="1:6">
      <c r="A32" s="25" t="s">
        <v>2137</v>
      </c>
      <c r="B32" s="26" t="s">
        <v>2138</v>
      </c>
      <c r="C32" s="27">
        <v>4897331540730</v>
      </c>
      <c r="D32" s="27">
        <v>4999925717187</v>
      </c>
      <c r="E32" s="26" t="s">
        <v>2086</v>
      </c>
      <c r="F32" s="28"/>
    </row>
    <row r="33" spans="1:6">
      <c r="A33" s="25" t="s">
        <v>2139</v>
      </c>
      <c r="B33" s="26" t="s">
        <v>2140</v>
      </c>
      <c r="C33" s="27">
        <v>48240903</v>
      </c>
      <c r="D33" s="27">
        <v>1038495565</v>
      </c>
      <c r="E33" s="26" t="s">
        <v>2086</v>
      </c>
      <c r="F33" s="28"/>
    </row>
    <row r="34" spans="1:6">
      <c r="A34" s="29" t="s">
        <v>2141</v>
      </c>
      <c r="B34" s="30" t="s">
        <v>2142</v>
      </c>
      <c r="C34" s="31">
        <v>2658218136149</v>
      </c>
      <c r="D34" s="31">
        <v>4553652582201</v>
      </c>
      <c r="E34" s="30" t="s">
        <v>2086</v>
      </c>
      <c r="F34" s="32"/>
    </row>
  </sheetData>
  <mergeCells count="2">
    <mergeCell ref="A2:F2"/>
    <mergeCell ref="A1:F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160"/>
  <sheetViews>
    <sheetView showGridLines="0" workbookViewId="0">
      <selection sqref="A1:I1"/>
    </sheetView>
  </sheetViews>
  <sheetFormatPr defaultRowHeight="13.8"/>
  <cols>
    <col min="1" max="1" width="18" customWidth="1"/>
    <col min="2" max="2" width="34" customWidth="1"/>
    <col min="3" max="3" width="44" customWidth="1"/>
    <col min="4" max="4" width="18" customWidth="1"/>
    <col min="5" max="7" width="13" customWidth="1"/>
    <col min="8" max="8" width="30" customWidth="1"/>
    <col min="9" max="9" width="68" customWidth="1"/>
  </cols>
  <sheetData>
    <row r="1" spans="1:10" ht="15" customHeight="1">
      <c r="A1" s="455" t="s">
        <v>2143</v>
      </c>
      <c r="B1" s="452"/>
      <c r="C1" s="452"/>
      <c r="D1" s="452"/>
      <c r="E1" s="452"/>
      <c r="F1" s="452"/>
      <c r="G1" s="452"/>
      <c r="H1" s="452"/>
      <c r="I1" s="452"/>
    </row>
    <row r="2" spans="1:10" ht="14.4">
      <c r="A2" s="456" t="s">
        <v>2144</v>
      </c>
      <c r="B2" s="452"/>
      <c r="C2" s="452"/>
      <c r="D2" s="452"/>
      <c r="E2" s="452"/>
      <c r="F2" s="452"/>
      <c r="G2" s="452"/>
      <c r="H2" s="452"/>
      <c r="I2" s="452"/>
    </row>
    <row r="3" spans="1:10" ht="15" customHeight="1">
      <c r="A3" s="326" t="s">
        <v>2145</v>
      </c>
      <c r="B3" s="326" t="s">
        <v>2146</v>
      </c>
      <c r="C3" s="326" t="s">
        <v>2147</v>
      </c>
      <c r="D3" s="326" t="s">
        <v>4</v>
      </c>
      <c r="E3" s="326" t="s">
        <v>291</v>
      </c>
      <c r="F3" s="326" t="s">
        <v>637</v>
      </c>
      <c r="G3" s="326" t="s">
        <v>638</v>
      </c>
      <c r="H3" s="326" t="s">
        <v>150</v>
      </c>
      <c r="I3" s="326"/>
    </row>
    <row r="4" spans="1:10">
      <c r="A4" s="21" t="s">
        <v>2148</v>
      </c>
      <c r="B4" s="22" t="s">
        <v>2149</v>
      </c>
      <c r="C4" s="22" t="s">
        <v>2150</v>
      </c>
      <c r="D4" s="22" t="s">
        <v>238</v>
      </c>
      <c r="E4" s="23">
        <v>5</v>
      </c>
      <c r="F4" s="23">
        <v>5</v>
      </c>
      <c r="G4" s="23">
        <v>5</v>
      </c>
      <c r="H4" s="22" t="s">
        <v>1427</v>
      </c>
      <c r="I4" s="24"/>
    </row>
    <row r="5" spans="1:10">
      <c r="A5" s="25" t="s">
        <v>2148</v>
      </c>
      <c r="B5" s="26" t="s">
        <v>2151</v>
      </c>
      <c r="C5" s="26" t="s">
        <v>2152</v>
      </c>
      <c r="D5" s="26" t="s">
        <v>14</v>
      </c>
      <c r="E5" s="40">
        <v>79159</v>
      </c>
      <c r="F5" s="40">
        <v>79159</v>
      </c>
      <c r="G5" s="40">
        <v>79159</v>
      </c>
      <c r="H5" s="26" t="s">
        <v>1427</v>
      </c>
      <c r="I5" s="28"/>
      <c r="J5" s="61" t="s">
        <v>2153</v>
      </c>
    </row>
    <row r="6" spans="1:10">
      <c r="A6" s="25" t="s">
        <v>2148</v>
      </c>
      <c r="B6" s="26" t="s">
        <v>2154</v>
      </c>
      <c r="C6" s="26" t="s">
        <v>2155</v>
      </c>
      <c r="D6" s="26" t="s">
        <v>14</v>
      </c>
      <c r="E6" s="40">
        <v>61229</v>
      </c>
      <c r="F6" s="40">
        <v>61229</v>
      </c>
      <c r="G6" s="40">
        <v>61229</v>
      </c>
      <c r="H6" s="26" t="s">
        <v>1427</v>
      </c>
      <c r="I6" s="28"/>
    </row>
    <row r="7" spans="1:10">
      <c r="A7" s="25" t="s">
        <v>2148</v>
      </c>
      <c r="B7" s="26" t="s">
        <v>2156</v>
      </c>
      <c r="C7" s="26" t="s">
        <v>2157</v>
      </c>
      <c r="D7" s="26" t="s">
        <v>23</v>
      </c>
      <c r="E7" s="42">
        <v>0.22500000000000001</v>
      </c>
      <c r="F7" s="42">
        <v>0.22500000000000001</v>
      </c>
      <c r="G7" s="42">
        <v>0.22500000000000001</v>
      </c>
      <c r="H7" s="26" t="s">
        <v>1427</v>
      </c>
      <c r="I7" s="28"/>
    </row>
    <row r="8" spans="1:10">
      <c r="A8" s="25" t="s">
        <v>2148</v>
      </c>
      <c r="B8" s="26" t="s">
        <v>2158</v>
      </c>
      <c r="C8" s="26" t="s">
        <v>2159</v>
      </c>
      <c r="D8" s="26" t="s">
        <v>23</v>
      </c>
      <c r="E8" s="42">
        <v>0.46300000000000002</v>
      </c>
      <c r="F8" s="42">
        <v>0.46300000000000002</v>
      </c>
      <c r="G8" s="42">
        <v>0.46300000000000002</v>
      </c>
      <c r="H8" s="26" t="s">
        <v>1427</v>
      </c>
      <c r="I8" s="28"/>
    </row>
    <row r="9" spans="1:10">
      <c r="A9" s="25" t="s">
        <v>2148</v>
      </c>
      <c r="B9" s="26" t="s">
        <v>2160</v>
      </c>
      <c r="C9" s="26" t="s">
        <v>2161</v>
      </c>
      <c r="D9" s="26" t="s">
        <v>23</v>
      </c>
      <c r="E9" s="42">
        <v>0.29199999999999998</v>
      </c>
      <c r="F9" s="42">
        <v>0.29199999999999998</v>
      </c>
      <c r="G9" s="42">
        <v>0.29199999999999998</v>
      </c>
      <c r="H9" s="26" t="s">
        <v>1427</v>
      </c>
      <c r="I9" s="28"/>
    </row>
    <row r="10" spans="1:10">
      <c r="A10" s="25" t="s">
        <v>2148</v>
      </c>
      <c r="B10" s="26" t="s">
        <v>2162</v>
      </c>
      <c r="C10" s="26" t="s">
        <v>2163</v>
      </c>
      <c r="D10" s="26" t="s">
        <v>23</v>
      </c>
      <c r="E10" s="42">
        <v>0.02</v>
      </c>
      <c r="F10" s="42">
        <v>0.02</v>
      </c>
      <c r="G10" s="42">
        <v>0.02</v>
      </c>
      <c r="H10" s="26" t="s">
        <v>1427</v>
      </c>
      <c r="I10" s="28"/>
    </row>
    <row r="11" spans="1:10">
      <c r="A11" s="25" t="s">
        <v>2148</v>
      </c>
      <c r="B11" s="26" t="s">
        <v>2164</v>
      </c>
      <c r="C11" s="26" t="s">
        <v>2165</v>
      </c>
      <c r="D11" s="26" t="s">
        <v>14</v>
      </c>
      <c r="E11" s="40">
        <v>54500</v>
      </c>
      <c r="F11" s="40">
        <v>54500</v>
      </c>
      <c r="G11" s="40">
        <v>54500</v>
      </c>
      <c r="H11" s="26" t="s">
        <v>1427</v>
      </c>
      <c r="I11" s="28"/>
    </row>
    <row r="12" spans="1:10">
      <c r="A12" s="25" t="s">
        <v>2148</v>
      </c>
      <c r="B12" s="26" t="s">
        <v>2166</v>
      </c>
      <c r="C12" s="26" t="s">
        <v>2167</v>
      </c>
      <c r="D12" s="26" t="s">
        <v>23</v>
      </c>
      <c r="E12" s="42">
        <v>0.33</v>
      </c>
      <c r="F12" s="42">
        <v>0.33</v>
      </c>
      <c r="G12" s="42">
        <v>0.33</v>
      </c>
      <c r="H12" s="26" t="s">
        <v>1427</v>
      </c>
      <c r="I12" s="28"/>
    </row>
    <row r="13" spans="1:10" ht="28.5" customHeight="1">
      <c r="A13" s="25" t="s">
        <v>2148</v>
      </c>
      <c r="B13" s="26" t="s">
        <v>2168</v>
      </c>
      <c r="C13" s="26" t="s">
        <v>2169</v>
      </c>
      <c r="D13" s="26" t="s">
        <v>14</v>
      </c>
      <c r="E13" s="40">
        <v>23000</v>
      </c>
      <c r="F13" s="40">
        <v>23000</v>
      </c>
      <c r="G13" s="40">
        <v>23000</v>
      </c>
      <c r="H13" s="26" t="s">
        <v>1427</v>
      </c>
      <c r="I13" s="28"/>
    </row>
    <row r="14" spans="1:10">
      <c r="A14" s="25" t="s">
        <v>2148</v>
      </c>
      <c r="B14" s="26" t="s">
        <v>2170</v>
      </c>
      <c r="C14" s="26" t="s">
        <v>2171</v>
      </c>
      <c r="D14" s="26" t="s">
        <v>23</v>
      </c>
      <c r="E14" s="42">
        <v>0.22500000000000001</v>
      </c>
      <c r="F14" s="42">
        <v>0.22500000000000001</v>
      </c>
      <c r="G14" s="42">
        <v>0.22500000000000001</v>
      </c>
      <c r="H14" s="26" t="s">
        <v>1427</v>
      </c>
      <c r="I14" s="28"/>
    </row>
    <row r="15" spans="1:10">
      <c r="A15" s="25" t="s">
        <v>2148</v>
      </c>
      <c r="B15" s="26" t="s">
        <v>2172</v>
      </c>
      <c r="C15" s="26" t="s">
        <v>2173</v>
      </c>
      <c r="D15" s="26" t="s">
        <v>261</v>
      </c>
      <c r="E15" s="27">
        <v>532</v>
      </c>
      <c r="F15" s="27">
        <v>532</v>
      </c>
      <c r="G15" s="27">
        <v>532</v>
      </c>
      <c r="H15" s="26" t="s">
        <v>1427</v>
      </c>
      <c r="I15" s="28"/>
    </row>
    <row r="16" spans="1:10">
      <c r="A16" s="25" t="s">
        <v>2148</v>
      </c>
      <c r="B16" s="26" t="s">
        <v>2174</v>
      </c>
      <c r="C16" s="26" t="s">
        <v>2175</v>
      </c>
      <c r="D16" s="26" t="s">
        <v>287</v>
      </c>
      <c r="E16" s="40">
        <v>1560</v>
      </c>
      <c r="F16" s="40">
        <v>1560</v>
      </c>
      <c r="G16" s="40">
        <v>1560</v>
      </c>
      <c r="H16" s="26" t="s">
        <v>1427</v>
      </c>
      <c r="I16" s="28"/>
    </row>
    <row r="17" spans="1:9">
      <c r="A17" s="25" t="s">
        <v>2148</v>
      </c>
      <c r="B17" s="26" t="s">
        <v>2176</v>
      </c>
      <c r="C17" s="26" t="s">
        <v>2177</v>
      </c>
      <c r="D17" s="26" t="s">
        <v>261</v>
      </c>
      <c r="E17" s="27">
        <v>64</v>
      </c>
      <c r="F17" s="27">
        <v>64</v>
      </c>
      <c r="G17" s="27">
        <v>64</v>
      </c>
      <c r="H17" s="26" t="s">
        <v>1427</v>
      </c>
      <c r="I17" s="28"/>
    </row>
    <row r="18" spans="1:9">
      <c r="A18" s="25" t="s">
        <v>2148</v>
      </c>
      <c r="B18" s="26" t="s">
        <v>2178</v>
      </c>
      <c r="C18" s="26" t="s">
        <v>2179</v>
      </c>
      <c r="D18" s="26" t="s">
        <v>23</v>
      </c>
      <c r="E18" s="42">
        <v>0.19</v>
      </c>
      <c r="F18" s="42">
        <v>0.19</v>
      </c>
      <c r="G18" s="42">
        <v>0.19</v>
      </c>
      <c r="H18" s="26" t="s">
        <v>1427</v>
      </c>
      <c r="I18" s="28"/>
    </row>
    <row r="19" spans="1:9">
      <c r="A19" s="25" t="s">
        <v>2148</v>
      </c>
      <c r="B19" s="26" t="s">
        <v>2180</v>
      </c>
      <c r="C19" s="26" t="s">
        <v>2181</v>
      </c>
      <c r="D19" s="26" t="s">
        <v>261</v>
      </c>
      <c r="E19" s="27">
        <v>1012</v>
      </c>
      <c r="F19" s="27">
        <v>1012</v>
      </c>
      <c r="G19" s="27">
        <v>1012</v>
      </c>
      <c r="H19" s="26" t="s">
        <v>1427</v>
      </c>
      <c r="I19" s="28"/>
    </row>
    <row r="20" spans="1:9">
      <c r="A20" s="25" t="s">
        <v>2148</v>
      </c>
      <c r="B20" s="26" t="s">
        <v>2182</v>
      </c>
      <c r="C20" s="26" t="s">
        <v>2183</v>
      </c>
      <c r="D20" s="26" t="s">
        <v>261</v>
      </c>
      <c r="E20" s="27">
        <v>2004</v>
      </c>
      <c r="F20" s="27">
        <v>2004</v>
      </c>
      <c r="G20" s="27">
        <v>2004</v>
      </c>
      <c r="H20" s="26" t="s">
        <v>1427</v>
      </c>
      <c r="I20" s="28"/>
    </row>
    <row r="21" spans="1:9">
      <c r="A21" s="25" t="s">
        <v>2148</v>
      </c>
      <c r="B21" s="26" t="s">
        <v>2184</v>
      </c>
      <c r="C21" s="26" t="s">
        <v>2185</v>
      </c>
      <c r="D21" s="26" t="s">
        <v>261</v>
      </c>
      <c r="E21" s="27">
        <v>3051</v>
      </c>
      <c r="F21" s="27">
        <v>3051</v>
      </c>
      <c r="G21" s="27">
        <v>3051</v>
      </c>
      <c r="H21" s="26" t="s">
        <v>1427</v>
      </c>
      <c r="I21" s="28"/>
    </row>
    <row r="22" spans="1:9">
      <c r="A22" s="25" t="s">
        <v>2148</v>
      </c>
      <c r="B22" s="26" t="s">
        <v>2186</v>
      </c>
      <c r="C22" s="26" t="s">
        <v>2187</v>
      </c>
      <c r="D22" s="26" t="s">
        <v>261</v>
      </c>
      <c r="E22" s="27">
        <v>416</v>
      </c>
      <c r="F22" s="27">
        <v>416</v>
      </c>
      <c r="G22" s="27">
        <v>416</v>
      </c>
      <c r="H22" s="26" t="s">
        <v>1427</v>
      </c>
      <c r="I22" s="28"/>
    </row>
    <row r="23" spans="1:9">
      <c r="A23" s="25" t="s">
        <v>2148</v>
      </c>
      <c r="B23" s="26" t="s">
        <v>2188</v>
      </c>
      <c r="C23" s="26" t="s">
        <v>2189</v>
      </c>
      <c r="D23" s="26" t="s">
        <v>261</v>
      </c>
      <c r="E23" s="27">
        <v>95</v>
      </c>
      <c r="F23" s="27">
        <v>95</v>
      </c>
      <c r="G23" s="27">
        <v>95</v>
      </c>
      <c r="H23" s="26" t="s">
        <v>1427</v>
      </c>
      <c r="I23" s="28"/>
    </row>
    <row r="24" spans="1:9">
      <c r="A24" s="25" t="s">
        <v>2148</v>
      </c>
      <c r="B24" s="26" t="s">
        <v>2190</v>
      </c>
      <c r="C24" s="26" t="s">
        <v>2191</v>
      </c>
      <c r="D24" s="26" t="s">
        <v>261</v>
      </c>
      <c r="E24" s="27">
        <v>245</v>
      </c>
      <c r="F24" s="27">
        <v>245</v>
      </c>
      <c r="G24" s="27">
        <v>245</v>
      </c>
      <c r="H24" s="26" t="s">
        <v>1427</v>
      </c>
      <c r="I24" s="28"/>
    </row>
    <row r="25" spans="1:9" ht="28.5" customHeight="1">
      <c r="A25" s="25" t="s">
        <v>2192</v>
      </c>
      <c r="B25" s="26" t="s">
        <v>1298</v>
      </c>
      <c r="C25" s="26" t="s">
        <v>2193</v>
      </c>
      <c r="D25" s="26" t="s">
        <v>14</v>
      </c>
      <c r="E25" s="40">
        <v>185000</v>
      </c>
      <c r="F25" s="40">
        <v>192000</v>
      </c>
      <c r="G25" s="40">
        <v>176000</v>
      </c>
      <c r="H25" s="26" t="s">
        <v>1479</v>
      </c>
      <c r="I25" s="28"/>
    </row>
    <row r="26" spans="1:9" ht="28.5" customHeight="1">
      <c r="A26" s="25" t="s">
        <v>2192</v>
      </c>
      <c r="B26" s="26" t="s">
        <v>1306</v>
      </c>
      <c r="C26" s="26" t="s">
        <v>1303</v>
      </c>
      <c r="D26" s="26" t="s">
        <v>14</v>
      </c>
      <c r="E26" s="40">
        <v>9200</v>
      </c>
      <c r="F26" s="40">
        <v>9800</v>
      </c>
      <c r="G26" s="40">
        <v>8400</v>
      </c>
      <c r="H26" s="26" t="s">
        <v>1479</v>
      </c>
      <c r="I26" s="28"/>
    </row>
    <row r="27" spans="1:9" ht="28.5" customHeight="1">
      <c r="A27" s="25" t="s">
        <v>2192</v>
      </c>
      <c r="B27" s="26" t="s">
        <v>1314</v>
      </c>
      <c r="C27" s="26" t="s">
        <v>1485</v>
      </c>
      <c r="D27" s="26" t="s">
        <v>23</v>
      </c>
      <c r="E27" s="42">
        <v>0.65</v>
      </c>
      <c r="F27" s="42">
        <v>0.66</v>
      </c>
      <c r="G27" s="42">
        <v>0.64</v>
      </c>
      <c r="H27" s="26" t="s">
        <v>1479</v>
      </c>
      <c r="I27" s="28"/>
    </row>
    <row r="28" spans="1:9" ht="28.5" customHeight="1">
      <c r="A28" s="25" t="s">
        <v>2192</v>
      </c>
      <c r="B28" s="26" t="s">
        <v>1340</v>
      </c>
      <c r="C28" s="26" t="s">
        <v>1489</v>
      </c>
      <c r="D28" s="26" t="s">
        <v>23</v>
      </c>
      <c r="E28" s="42">
        <v>0.3</v>
      </c>
      <c r="F28" s="42">
        <v>0.31</v>
      </c>
      <c r="G28" s="42">
        <v>0.28999999999999998</v>
      </c>
      <c r="H28" s="26" t="s">
        <v>1479</v>
      </c>
      <c r="I28" s="28"/>
    </row>
    <row r="29" spans="1:9" ht="28.5" customHeight="1">
      <c r="A29" s="25" t="s">
        <v>2192</v>
      </c>
      <c r="B29" s="26" t="s">
        <v>1323</v>
      </c>
      <c r="C29" s="26" t="s">
        <v>1493</v>
      </c>
      <c r="D29" s="26" t="s">
        <v>23</v>
      </c>
      <c r="E29" s="42">
        <v>0.15</v>
      </c>
      <c r="F29" s="42">
        <v>0.18</v>
      </c>
      <c r="G29" s="42">
        <v>0.1</v>
      </c>
      <c r="H29" s="26" t="s">
        <v>1479</v>
      </c>
      <c r="I29" s="28"/>
    </row>
    <row r="30" spans="1:9" ht="28.5" customHeight="1">
      <c r="A30" s="25" t="s">
        <v>2192</v>
      </c>
      <c r="B30" s="26" t="s">
        <v>2194</v>
      </c>
      <c r="C30" s="26" t="s">
        <v>1497</v>
      </c>
      <c r="D30" s="26" t="s">
        <v>23</v>
      </c>
      <c r="E30" s="42">
        <v>0.2</v>
      </c>
      <c r="F30" s="42">
        <v>0.25</v>
      </c>
      <c r="G30" s="42">
        <v>0.15</v>
      </c>
      <c r="H30" s="26" t="s">
        <v>1479</v>
      </c>
      <c r="I30" s="28"/>
    </row>
    <row r="31" spans="1:9" ht="28.5" customHeight="1">
      <c r="A31" s="25" t="s">
        <v>2192</v>
      </c>
      <c r="B31" s="26" t="s">
        <v>2195</v>
      </c>
      <c r="C31" s="26" t="s">
        <v>2196</v>
      </c>
      <c r="D31" s="26" t="s">
        <v>261</v>
      </c>
      <c r="E31" s="27">
        <v>1000</v>
      </c>
      <c r="F31" s="27">
        <v>1100</v>
      </c>
      <c r="G31" s="27">
        <v>850</v>
      </c>
      <c r="H31" s="26" t="s">
        <v>2197</v>
      </c>
      <c r="I31" s="28"/>
    </row>
    <row r="32" spans="1:9">
      <c r="A32" s="25" t="s">
        <v>2192</v>
      </c>
      <c r="B32" s="26" t="s">
        <v>2198</v>
      </c>
      <c r="C32" s="26" t="s">
        <v>2199</v>
      </c>
      <c r="D32" s="26" t="s">
        <v>270</v>
      </c>
      <c r="E32" s="40">
        <v>1</v>
      </c>
      <c r="F32" s="40">
        <v>1.1000000000000001</v>
      </c>
      <c r="G32" s="40">
        <v>0.85</v>
      </c>
      <c r="H32" s="26" t="s">
        <v>2200</v>
      </c>
      <c r="I32" s="28"/>
    </row>
    <row r="33" spans="1:9" ht="28.5" customHeight="1">
      <c r="A33" s="25" t="s">
        <v>2192</v>
      </c>
      <c r="B33" s="26" t="s">
        <v>2201</v>
      </c>
      <c r="C33" s="26" t="s">
        <v>2202</v>
      </c>
      <c r="D33" s="26" t="s">
        <v>23</v>
      </c>
      <c r="E33" s="42">
        <v>0.3</v>
      </c>
      <c r="F33" s="42">
        <v>0.35</v>
      </c>
      <c r="G33" s="42">
        <v>0.2</v>
      </c>
      <c r="H33" s="26" t="s">
        <v>1479</v>
      </c>
      <c r="I33" s="28"/>
    </row>
    <row r="34" spans="1:9" ht="28.5" customHeight="1">
      <c r="A34" s="25" t="s">
        <v>2192</v>
      </c>
      <c r="B34" s="26" t="s">
        <v>2203</v>
      </c>
      <c r="C34" s="26" t="s">
        <v>2204</v>
      </c>
      <c r="D34" s="26" t="s">
        <v>261</v>
      </c>
      <c r="E34" s="27">
        <v>100</v>
      </c>
      <c r="F34" s="27">
        <v>120</v>
      </c>
      <c r="G34" s="27">
        <v>60</v>
      </c>
      <c r="H34" s="26" t="s">
        <v>1479</v>
      </c>
      <c r="I34" s="28"/>
    </row>
    <row r="35" spans="1:9" ht="28.5" customHeight="1">
      <c r="A35" s="25" t="s">
        <v>2192</v>
      </c>
      <c r="B35" s="26" t="s">
        <v>1366</v>
      </c>
      <c r="C35" s="26" t="s">
        <v>2205</v>
      </c>
      <c r="D35" s="26" t="s">
        <v>23</v>
      </c>
      <c r="E35" s="42">
        <v>0.2</v>
      </c>
      <c r="F35" s="42">
        <v>0.25</v>
      </c>
      <c r="G35" s="42">
        <v>0.1</v>
      </c>
      <c r="H35" s="26" t="s">
        <v>1479</v>
      </c>
      <c r="I35" s="28"/>
    </row>
    <row r="36" spans="1:9" ht="28.5" customHeight="1">
      <c r="A36" s="25" t="s">
        <v>2192</v>
      </c>
      <c r="B36" s="26" t="s">
        <v>2206</v>
      </c>
      <c r="C36" s="26" t="s">
        <v>2207</v>
      </c>
      <c r="D36" s="26" t="s">
        <v>261</v>
      </c>
      <c r="E36" s="27">
        <v>300</v>
      </c>
      <c r="F36" s="27">
        <v>330</v>
      </c>
      <c r="G36" s="27">
        <v>280</v>
      </c>
      <c r="H36" s="26" t="s">
        <v>1479</v>
      </c>
      <c r="I36" s="28"/>
    </row>
    <row r="37" spans="1:9" ht="28.5" customHeight="1">
      <c r="A37" s="25" t="s">
        <v>2192</v>
      </c>
      <c r="B37" s="26" t="s">
        <v>2208</v>
      </c>
      <c r="C37" s="26" t="s">
        <v>2209</v>
      </c>
      <c r="D37" s="26" t="s">
        <v>23</v>
      </c>
      <c r="E37" s="42">
        <v>0.3</v>
      </c>
      <c r="F37" s="42">
        <v>0.4</v>
      </c>
      <c r="G37" s="42">
        <v>0.2</v>
      </c>
      <c r="H37" s="26" t="s">
        <v>1479</v>
      </c>
      <c r="I37" s="28"/>
    </row>
    <row r="38" spans="1:9" ht="28.5" customHeight="1">
      <c r="A38" s="25" t="s">
        <v>2210</v>
      </c>
      <c r="B38" s="26" t="s">
        <v>2211</v>
      </c>
      <c r="C38" s="26" t="s">
        <v>2212</v>
      </c>
      <c r="D38" s="26" t="s">
        <v>23</v>
      </c>
      <c r="E38" s="42">
        <v>7.0000000000000007E-2</v>
      </c>
      <c r="F38" s="42">
        <v>0.08</v>
      </c>
      <c r="G38" s="42">
        <v>0.06</v>
      </c>
      <c r="H38" s="26" t="s">
        <v>744</v>
      </c>
      <c r="I38" s="28"/>
    </row>
    <row r="39" spans="1:9" ht="28.5" customHeight="1">
      <c r="A39" s="25" t="s">
        <v>2210</v>
      </c>
      <c r="B39" s="26" t="s">
        <v>2213</v>
      </c>
      <c r="C39" s="26" t="s">
        <v>2214</v>
      </c>
      <c r="D39" s="26" t="s">
        <v>23</v>
      </c>
      <c r="E39" s="42">
        <v>7.4999999999999997E-2</v>
      </c>
      <c r="F39" s="42">
        <v>0.09</v>
      </c>
      <c r="G39" s="42">
        <v>0.06</v>
      </c>
      <c r="H39" s="26" t="s">
        <v>744</v>
      </c>
      <c r="I39" s="28"/>
    </row>
    <row r="40" spans="1:9" ht="28.5" customHeight="1">
      <c r="A40" s="25" t="s">
        <v>2210</v>
      </c>
      <c r="B40" s="26" t="s">
        <v>2215</v>
      </c>
      <c r="C40" s="26" t="s">
        <v>2216</v>
      </c>
      <c r="D40" s="26" t="s">
        <v>23</v>
      </c>
      <c r="E40" s="42">
        <v>0.08</v>
      </c>
      <c r="F40" s="42">
        <v>0.1</v>
      </c>
      <c r="G40" s="42">
        <v>6.5000000000000002E-2</v>
      </c>
      <c r="H40" s="26" t="s">
        <v>744</v>
      </c>
      <c r="I40" s="28"/>
    </row>
    <row r="41" spans="1:9" ht="28.5" customHeight="1">
      <c r="A41" s="25" t="s">
        <v>2210</v>
      </c>
      <c r="B41" s="26" t="s">
        <v>2217</v>
      </c>
      <c r="C41" s="26" t="s">
        <v>2218</v>
      </c>
      <c r="D41" s="26" t="s">
        <v>23</v>
      </c>
      <c r="E41" s="42">
        <v>8.5000000000000006E-2</v>
      </c>
      <c r="F41" s="42">
        <v>0.11</v>
      </c>
      <c r="G41" s="42">
        <v>7.0000000000000007E-2</v>
      </c>
      <c r="H41" s="26" t="s">
        <v>744</v>
      </c>
      <c r="I41" s="28"/>
    </row>
    <row r="42" spans="1:9" ht="28.5" customHeight="1">
      <c r="A42" s="25" t="s">
        <v>2210</v>
      </c>
      <c r="B42" s="26" t="s">
        <v>2219</v>
      </c>
      <c r="C42" s="26" t="s">
        <v>2220</v>
      </c>
      <c r="D42" s="26" t="s">
        <v>23</v>
      </c>
      <c r="E42" s="42">
        <v>0.09</v>
      </c>
      <c r="F42" s="42">
        <v>0.12</v>
      </c>
      <c r="G42" s="42">
        <v>7.4999999999999997E-2</v>
      </c>
      <c r="H42" s="26" t="s">
        <v>744</v>
      </c>
      <c r="I42" s="28"/>
    </row>
    <row r="43" spans="1:9">
      <c r="A43" s="25" t="s">
        <v>2148</v>
      </c>
      <c r="B43" s="26" t="s">
        <v>2221</v>
      </c>
      <c r="C43" s="26" t="s">
        <v>2222</v>
      </c>
      <c r="D43" s="26" t="s">
        <v>23</v>
      </c>
      <c r="E43" s="42">
        <v>0.21</v>
      </c>
      <c r="F43" s="42">
        <v>0.21</v>
      </c>
      <c r="G43" s="42">
        <v>0.21</v>
      </c>
      <c r="H43" s="26" t="s">
        <v>1427</v>
      </c>
      <c r="I43" s="28"/>
    </row>
    <row r="44" spans="1:9">
      <c r="A44" s="25" t="s">
        <v>2148</v>
      </c>
      <c r="B44" s="26" t="s">
        <v>2223</v>
      </c>
      <c r="C44" s="26" t="s">
        <v>2224</v>
      </c>
      <c r="D44" s="26" t="s">
        <v>23</v>
      </c>
      <c r="E44" s="42">
        <v>0.2</v>
      </c>
      <c r="F44" s="42">
        <v>0.2</v>
      </c>
      <c r="G44" s="42">
        <v>0.2</v>
      </c>
      <c r="H44" s="26" t="s">
        <v>1427</v>
      </c>
      <c r="I44" s="28"/>
    </row>
    <row r="45" spans="1:9" ht="28.5" customHeight="1">
      <c r="A45" s="25" t="s">
        <v>2225</v>
      </c>
      <c r="B45" s="26" t="s">
        <v>2226</v>
      </c>
      <c r="C45" s="26" t="s">
        <v>2227</v>
      </c>
      <c r="D45" s="26" t="s">
        <v>23</v>
      </c>
      <c r="E45" s="42">
        <v>0.08</v>
      </c>
      <c r="F45" s="42">
        <v>0.12</v>
      </c>
      <c r="G45" s="42">
        <v>-0.05</v>
      </c>
      <c r="H45" s="26" t="s">
        <v>744</v>
      </c>
      <c r="I45" s="28"/>
    </row>
    <row r="46" spans="1:9" ht="28.5" customHeight="1">
      <c r="A46" s="25" t="s">
        <v>2225</v>
      </c>
      <c r="B46" s="26" t="s">
        <v>2228</v>
      </c>
      <c r="C46" s="26" t="s">
        <v>2229</v>
      </c>
      <c r="D46" s="26" t="s">
        <v>23</v>
      </c>
      <c r="E46" s="42">
        <v>0.06</v>
      </c>
      <c r="F46" s="42">
        <v>0.1</v>
      </c>
      <c r="G46" s="42">
        <v>0</v>
      </c>
      <c r="H46" s="26" t="s">
        <v>744</v>
      </c>
      <c r="I46" s="28"/>
    </row>
    <row r="47" spans="1:9" ht="28.5" customHeight="1">
      <c r="A47" s="25" t="s">
        <v>2225</v>
      </c>
      <c r="B47" s="26" t="s">
        <v>2230</v>
      </c>
      <c r="C47" s="26" t="s">
        <v>2231</v>
      </c>
      <c r="D47" s="26" t="s">
        <v>23</v>
      </c>
      <c r="E47" s="42">
        <v>0.05</v>
      </c>
      <c r="F47" s="42">
        <v>0.08</v>
      </c>
      <c r="G47" s="42">
        <v>0.01</v>
      </c>
      <c r="H47" s="26" t="s">
        <v>744</v>
      </c>
      <c r="I47" s="28"/>
    </row>
    <row r="48" spans="1:9" ht="28.5" customHeight="1">
      <c r="A48" s="25" t="s">
        <v>2225</v>
      </c>
      <c r="B48" s="26" t="s">
        <v>2232</v>
      </c>
      <c r="C48" s="26" t="s">
        <v>2233</v>
      </c>
      <c r="D48" s="26" t="s">
        <v>23</v>
      </c>
      <c r="E48" s="42">
        <v>0.04</v>
      </c>
      <c r="F48" s="42">
        <v>0.06</v>
      </c>
      <c r="G48" s="42">
        <v>0.02</v>
      </c>
      <c r="H48" s="26" t="s">
        <v>744</v>
      </c>
      <c r="I48" s="28"/>
    </row>
    <row r="49" spans="1:9" ht="28.5" customHeight="1">
      <c r="A49" s="25" t="s">
        <v>2225</v>
      </c>
      <c r="B49" s="26" t="s">
        <v>2234</v>
      </c>
      <c r="C49" s="26" t="s">
        <v>2235</v>
      </c>
      <c r="D49" s="26" t="s">
        <v>261</v>
      </c>
      <c r="E49" s="27">
        <v>0</v>
      </c>
      <c r="F49" s="27">
        <v>20</v>
      </c>
      <c r="G49" s="27">
        <v>-10</v>
      </c>
      <c r="H49" s="26" t="s">
        <v>744</v>
      </c>
      <c r="I49" s="28"/>
    </row>
    <row r="50" spans="1:9" ht="28.5" customHeight="1">
      <c r="A50" s="25" t="s">
        <v>2225</v>
      </c>
      <c r="B50" s="26" t="s">
        <v>2236</v>
      </c>
      <c r="C50" s="26" t="s">
        <v>2237</v>
      </c>
      <c r="D50" s="26" t="s">
        <v>261</v>
      </c>
      <c r="E50" s="27">
        <v>0</v>
      </c>
      <c r="F50" s="27">
        <v>20</v>
      </c>
      <c r="G50" s="27">
        <v>-10</v>
      </c>
      <c r="H50" s="26" t="s">
        <v>744</v>
      </c>
      <c r="I50" s="28"/>
    </row>
    <row r="51" spans="1:9" ht="28.5" customHeight="1">
      <c r="A51" s="25" t="s">
        <v>2225</v>
      </c>
      <c r="B51" s="26" t="s">
        <v>2238</v>
      </c>
      <c r="C51" s="26" t="s">
        <v>2239</v>
      </c>
      <c r="D51" s="26" t="s">
        <v>261</v>
      </c>
      <c r="E51" s="27">
        <v>0</v>
      </c>
      <c r="F51" s="27">
        <v>20</v>
      </c>
      <c r="G51" s="27">
        <v>-10</v>
      </c>
      <c r="H51" s="26" t="s">
        <v>744</v>
      </c>
      <c r="I51" s="28"/>
    </row>
    <row r="52" spans="1:9" ht="28.5" customHeight="1">
      <c r="A52" s="25" t="s">
        <v>2225</v>
      </c>
      <c r="B52" s="26" t="s">
        <v>2240</v>
      </c>
      <c r="C52" s="26" t="s">
        <v>2241</v>
      </c>
      <c r="D52" s="26" t="s">
        <v>261</v>
      </c>
      <c r="E52" s="27">
        <v>0</v>
      </c>
      <c r="F52" s="27">
        <v>20</v>
      </c>
      <c r="G52" s="27">
        <v>-10</v>
      </c>
      <c r="H52" s="26" t="s">
        <v>744</v>
      </c>
      <c r="I52" s="28"/>
    </row>
    <row r="53" spans="1:9" ht="28.5" customHeight="1">
      <c r="A53" s="25" t="s">
        <v>2225</v>
      </c>
      <c r="B53" s="26" t="s">
        <v>2242</v>
      </c>
      <c r="C53" s="26" t="s">
        <v>2243</v>
      </c>
      <c r="D53" s="26" t="s">
        <v>23</v>
      </c>
      <c r="E53" s="42">
        <v>0.04</v>
      </c>
      <c r="F53" s="42">
        <v>0.06</v>
      </c>
      <c r="G53" s="42">
        <v>0.01</v>
      </c>
      <c r="H53" s="26" t="s">
        <v>744</v>
      </c>
      <c r="I53" s="28"/>
    </row>
    <row r="54" spans="1:9" ht="28.5" customHeight="1">
      <c r="A54" s="25" t="s">
        <v>2225</v>
      </c>
      <c r="B54" s="26" t="s">
        <v>2244</v>
      </c>
      <c r="C54" s="26" t="s">
        <v>2245</v>
      </c>
      <c r="D54" s="26" t="s">
        <v>23</v>
      </c>
      <c r="E54" s="42">
        <v>0.03</v>
      </c>
      <c r="F54" s="42">
        <v>0.05</v>
      </c>
      <c r="G54" s="42">
        <v>0.01</v>
      </c>
      <c r="H54" s="26" t="s">
        <v>744</v>
      </c>
      <c r="I54" s="28"/>
    </row>
    <row r="55" spans="1:9" ht="28.5" customHeight="1">
      <c r="A55" s="25" t="s">
        <v>2225</v>
      </c>
      <c r="B55" s="26" t="s">
        <v>2246</v>
      </c>
      <c r="C55" s="26" t="s">
        <v>2247</v>
      </c>
      <c r="D55" s="26" t="s">
        <v>23</v>
      </c>
      <c r="E55" s="42">
        <v>0.03</v>
      </c>
      <c r="F55" s="42">
        <v>0.04</v>
      </c>
      <c r="G55" s="42">
        <v>0.01</v>
      </c>
      <c r="H55" s="26" t="s">
        <v>744</v>
      </c>
      <c r="I55" s="28"/>
    </row>
    <row r="56" spans="1:9" ht="28.5" customHeight="1">
      <c r="A56" s="25" t="s">
        <v>2225</v>
      </c>
      <c r="B56" s="26" t="s">
        <v>2248</v>
      </c>
      <c r="C56" s="26" t="s">
        <v>2249</v>
      </c>
      <c r="D56" s="26" t="s">
        <v>23</v>
      </c>
      <c r="E56" s="42">
        <v>2.5000000000000001E-2</v>
      </c>
      <c r="F56" s="42">
        <v>0.03</v>
      </c>
      <c r="G56" s="42">
        <v>0.01</v>
      </c>
      <c r="H56" s="26" t="s">
        <v>744</v>
      </c>
      <c r="I56" s="28"/>
    </row>
    <row r="57" spans="1:9" ht="28.5" customHeight="1">
      <c r="A57" s="25" t="s">
        <v>2225</v>
      </c>
      <c r="B57" s="26" t="s">
        <v>2250</v>
      </c>
      <c r="C57" s="26" t="s">
        <v>2251</v>
      </c>
      <c r="D57" s="26" t="s">
        <v>261</v>
      </c>
      <c r="E57" s="27">
        <v>0</v>
      </c>
      <c r="F57" s="27">
        <v>20</v>
      </c>
      <c r="G57" s="27">
        <v>-10</v>
      </c>
      <c r="H57" s="26" t="s">
        <v>744</v>
      </c>
      <c r="I57" s="28"/>
    </row>
    <row r="58" spans="1:9" ht="28.5" customHeight="1">
      <c r="A58" s="25" t="s">
        <v>2225</v>
      </c>
      <c r="B58" s="26" t="s">
        <v>2252</v>
      </c>
      <c r="C58" s="26" t="s">
        <v>2253</v>
      </c>
      <c r="D58" s="26" t="s">
        <v>261</v>
      </c>
      <c r="E58" s="27">
        <v>0</v>
      </c>
      <c r="F58" s="27">
        <v>20</v>
      </c>
      <c r="G58" s="27">
        <v>-10</v>
      </c>
      <c r="H58" s="26" t="s">
        <v>744</v>
      </c>
      <c r="I58" s="28"/>
    </row>
    <row r="59" spans="1:9" ht="28.5" customHeight="1">
      <c r="A59" s="25" t="s">
        <v>2225</v>
      </c>
      <c r="B59" s="26" t="s">
        <v>2254</v>
      </c>
      <c r="C59" s="26" t="s">
        <v>2255</v>
      </c>
      <c r="D59" s="26" t="s">
        <v>261</v>
      </c>
      <c r="E59" s="27">
        <v>0</v>
      </c>
      <c r="F59" s="27">
        <v>20</v>
      </c>
      <c r="G59" s="27">
        <v>-10</v>
      </c>
      <c r="H59" s="26" t="s">
        <v>744</v>
      </c>
      <c r="I59" s="28"/>
    </row>
    <row r="60" spans="1:9" ht="28.5" customHeight="1">
      <c r="A60" s="25" t="s">
        <v>2225</v>
      </c>
      <c r="B60" s="26" t="s">
        <v>2256</v>
      </c>
      <c r="C60" s="26" t="s">
        <v>2257</v>
      </c>
      <c r="D60" s="26" t="s">
        <v>261</v>
      </c>
      <c r="E60" s="27">
        <v>0</v>
      </c>
      <c r="F60" s="27">
        <v>20</v>
      </c>
      <c r="G60" s="27">
        <v>-10</v>
      </c>
      <c r="H60" s="26" t="s">
        <v>744</v>
      </c>
      <c r="I60" s="28"/>
    </row>
    <row r="61" spans="1:9" ht="28.5" customHeight="1">
      <c r="A61" s="25" t="s">
        <v>2225</v>
      </c>
      <c r="B61" s="26" t="s">
        <v>2258</v>
      </c>
      <c r="C61" s="26" t="s">
        <v>2259</v>
      </c>
      <c r="D61" s="26" t="s">
        <v>23</v>
      </c>
      <c r="E61" s="42">
        <v>0.06</v>
      </c>
      <c r="F61" s="42">
        <v>0.08</v>
      </c>
      <c r="G61" s="42">
        <v>0.02</v>
      </c>
      <c r="H61" s="26" t="s">
        <v>744</v>
      </c>
      <c r="I61" s="28"/>
    </row>
    <row r="62" spans="1:9" ht="28.5" customHeight="1">
      <c r="A62" s="25" t="s">
        <v>2225</v>
      </c>
      <c r="B62" s="26" t="s">
        <v>2260</v>
      </c>
      <c r="C62" s="26" t="s">
        <v>2261</v>
      </c>
      <c r="D62" s="26" t="s">
        <v>23</v>
      </c>
      <c r="E62" s="42">
        <v>0.05</v>
      </c>
      <c r="F62" s="42">
        <v>7.0000000000000007E-2</v>
      </c>
      <c r="G62" s="42">
        <v>0.02</v>
      </c>
      <c r="H62" s="26" t="s">
        <v>744</v>
      </c>
      <c r="I62" s="28"/>
    </row>
    <row r="63" spans="1:9" ht="28.5" customHeight="1">
      <c r="A63" s="25" t="s">
        <v>2225</v>
      </c>
      <c r="B63" s="26" t="s">
        <v>2262</v>
      </c>
      <c r="C63" s="26" t="s">
        <v>2263</v>
      </c>
      <c r="D63" s="26" t="s">
        <v>23</v>
      </c>
      <c r="E63" s="42">
        <v>0.04</v>
      </c>
      <c r="F63" s="42">
        <v>0.05</v>
      </c>
      <c r="G63" s="42">
        <v>0.02</v>
      </c>
      <c r="H63" s="26" t="s">
        <v>744</v>
      </c>
      <c r="I63" s="28"/>
    </row>
    <row r="64" spans="1:9" ht="28.5" customHeight="1">
      <c r="A64" s="25" t="s">
        <v>2225</v>
      </c>
      <c r="B64" s="26" t="s">
        <v>2264</v>
      </c>
      <c r="C64" s="26" t="s">
        <v>2265</v>
      </c>
      <c r="D64" s="26" t="s">
        <v>23</v>
      </c>
      <c r="E64" s="42">
        <v>0.03</v>
      </c>
      <c r="F64" s="42">
        <v>0.04</v>
      </c>
      <c r="G64" s="42">
        <v>0.01</v>
      </c>
      <c r="H64" s="26" t="s">
        <v>744</v>
      </c>
      <c r="I64" s="28"/>
    </row>
    <row r="65" spans="1:9" ht="28.5" customHeight="1">
      <c r="A65" s="25" t="s">
        <v>2225</v>
      </c>
      <c r="B65" s="26" t="s">
        <v>2266</v>
      </c>
      <c r="C65" s="26" t="s">
        <v>2267</v>
      </c>
      <c r="D65" s="26" t="s">
        <v>261</v>
      </c>
      <c r="E65" s="27">
        <v>600</v>
      </c>
      <c r="F65" s="27">
        <v>700</v>
      </c>
      <c r="G65" s="27">
        <v>350</v>
      </c>
      <c r="H65" s="26" t="s">
        <v>744</v>
      </c>
      <c r="I65" s="28"/>
    </row>
    <row r="66" spans="1:9" ht="28.5" customHeight="1">
      <c r="A66" s="25" t="s">
        <v>2225</v>
      </c>
      <c r="B66" s="26" t="s">
        <v>2268</v>
      </c>
      <c r="C66" s="26" t="s">
        <v>2269</v>
      </c>
      <c r="D66" s="26" t="s">
        <v>261</v>
      </c>
      <c r="E66" s="27">
        <v>500</v>
      </c>
      <c r="F66" s="27">
        <v>650</v>
      </c>
      <c r="G66" s="27">
        <v>300</v>
      </c>
      <c r="H66" s="26" t="s">
        <v>744</v>
      </c>
      <c r="I66" s="28"/>
    </row>
    <row r="67" spans="1:9" ht="28.5" customHeight="1">
      <c r="A67" s="25" t="s">
        <v>2225</v>
      </c>
      <c r="B67" s="26" t="s">
        <v>2270</v>
      </c>
      <c r="C67" s="26" t="s">
        <v>2271</v>
      </c>
      <c r="D67" s="26" t="s">
        <v>261</v>
      </c>
      <c r="E67" s="27">
        <v>400</v>
      </c>
      <c r="F67" s="27">
        <v>500</v>
      </c>
      <c r="G67" s="27">
        <v>250</v>
      </c>
      <c r="H67" s="26" t="s">
        <v>744</v>
      </c>
      <c r="I67" s="28"/>
    </row>
    <row r="68" spans="1:9" ht="28.5" customHeight="1">
      <c r="A68" s="25" t="s">
        <v>2225</v>
      </c>
      <c r="B68" s="26" t="s">
        <v>2272</v>
      </c>
      <c r="C68" s="26" t="s">
        <v>2273</v>
      </c>
      <c r="D68" s="26" t="s">
        <v>261</v>
      </c>
      <c r="E68" s="27">
        <v>300</v>
      </c>
      <c r="F68" s="27">
        <v>400</v>
      </c>
      <c r="G68" s="27">
        <v>200</v>
      </c>
      <c r="H68" s="26" t="s">
        <v>744</v>
      </c>
      <c r="I68" s="28"/>
    </row>
    <row r="69" spans="1:9" ht="28.5" customHeight="1">
      <c r="A69" s="25" t="s">
        <v>2225</v>
      </c>
      <c r="B69" s="26" t="s">
        <v>2274</v>
      </c>
      <c r="C69" s="26" t="s">
        <v>2275</v>
      </c>
      <c r="D69" s="26" t="s">
        <v>23</v>
      </c>
      <c r="E69" s="42">
        <v>0.05</v>
      </c>
      <c r="F69" s="42">
        <v>7.0000000000000007E-2</v>
      </c>
      <c r="G69" s="42">
        <v>0.02</v>
      </c>
      <c r="H69" s="26" t="s">
        <v>744</v>
      </c>
      <c r="I69" s="28"/>
    </row>
    <row r="70" spans="1:9">
      <c r="A70" s="25" t="s">
        <v>2225</v>
      </c>
      <c r="B70" s="26" t="s">
        <v>2276</v>
      </c>
      <c r="C70" s="26" t="s">
        <v>2277</v>
      </c>
      <c r="D70" s="26" t="s">
        <v>23</v>
      </c>
      <c r="E70" s="42">
        <v>0.05</v>
      </c>
      <c r="F70" s="42">
        <v>0.06</v>
      </c>
      <c r="G70" s="42">
        <v>0.02</v>
      </c>
      <c r="H70" s="26" t="s">
        <v>744</v>
      </c>
      <c r="I70" s="28"/>
    </row>
    <row r="71" spans="1:9">
      <c r="A71" s="25" t="s">
        <v>2225</v>
      </c>
      <c r="B71" s="26" t="s">
        <v>2278</v>
      </c>
      <c r="C71" s="26" t="s">
        <v>2279</v>
      </c>
      <c r="D71" s="26" t="s">
        <v>23</v>
      </c>
      <c r="E71" s="42">
        <v>0.04</v>
      </c>
      <c r="F71" s="42">
        <v>0.05</v>
      </c>
      <c r="G71" s="42">
        <v>0.02</v>
      </c>
      <c r="H71" s="26" t="s">
        <v>744</v>
      </c>
      <c r="I71" s="28"/>
    </row>
    <row r="72" spans="1:9" ht="28.5" customHeight="1">
      <c r="A72" s="25" t="s">
        <v>2225</v>
      </c>
      <c r="B72" s="26" t="s">
        <v>2280</v>
      </c>
      <c r="C72" s="26" t="s">
        <v>2281</v>
      </c>
      <c r="D72" s="26" t="s">
        <v>23</v>
      </c>
      <c r="E72" s="42">
        <v>0.04</v>
      </c>
      <c r="F72" s="42">
        <v>0.05</v>
      </c>
      <c r="G72" s="42">
        <v>0.02</v>
      </c>
      <c r="H72" s="26" t="s">
        <v>744</v>
      </c>
      <c r="I72" s="28"/>
    </row>
    <row r="73" spans="1:9" ht="28.5" customHeight="1">
      <c r="A73" s="25" t="s">
        <v>2225</v>
      </c>
      <c r="B73" s="26" t="s">
        <v>2282</v>
      </c>
      <c r="C73" s="26" t="s">
        <v>2283</v>
      </c>
      <c r="D73" s="26" t="s">
        <v>261</v>
      </c>
      <c r="E73" s="27">
        <v>60</v>
      </c>
      <c r="F73" s="27">
        <v>80</v>
      </c>
      <c r="G73" s="27">
        <v>20</v>
      </c>
      <c r="H73" s="26" t="s">
        <v>744</v>
      </c>
      <c r="I73" s="28"/>
    </row>
    <row r="74" spans="1:9" ht="28.5" customHeight="1">
      <c r="A74" s="25" t="s">
        <v>2225</v>
      </c>
      <c r="B74" s="26" t="s">
        <v>2284</v>
      </c>
      <c r="C74" s="26" t="s">
        <v>2285</v>
      </c>
      <c r="D74" s="26" t="s">
        <v>261</v>
      </c>
      <c r="E74" s="27">
        <v>50</v>
      </c>
      <c r="F74" s="27">
        <v>70</v>
      </c>
      <c r="G74" s="27">
        <v>20</v>
      </c>
      <c r="H74" s="26" t="s">
        <v>744</v>
      </c>
      <c r="I74" s="28"/>
    </row>
    <row r="75" spans="1:9" ht="28.5" customHeight="1">
      <c r="A75" s="25" t="s">
        <v>2225</v>
      </c>
      <c r="B75" s="26" t="s">
        <v>2286</v>
      </c>
      <c r="C75" s="26" t="s">
        <v>2287</v>
      </c>
      <c r="D75" s="26" t="s">
        <v>261</v>
      </c>
      <c r="E75" s="27">
        <v>40</v>
      </c>
      <c r="F75" s="27">
        <v>50</v>
      </c>
      <c r="G75" s="27">
        <v>10</v>
      </c>
      <c r="H75" s="26" t="s">
        <v>744</v>
      </c>
      <c r="I75" s="28"/>
    </row>
    <row r="76" spans="1:9" ht="28.5" customHeight="1">
      <c r="A76" s="25" t="s">
        <v>2225</v>
      </c>
      <c r="B76" s="26" t="s">
        <v>2288</v>
      </c>
      <c r="C76" s="26" t="s">
        <v>2289</v>
      </c>
      <c r="D76" s="26" t="s">
        <v>261</v>
      </c>
      <c r="E76" s="27">
        <v>30</v>
      </c>
      <c r="F76" s="27">
        <v>40</v>
      </c>
      <c r="G76" s="27">
        <v>10</v>
      </c>
      <c r="H76" s="26" t="s">
        <v>744</v>
      </c>
      <c r="I76" s="28"/>
    </row>
    <row r="77" spans="1:9" ht="28.5" customHeight="1">
      <c r="A77" s="25" t="s">
        <v>2225</v>
      </c>
      <c r="B77" s="26" t="s">
        <v>2290</v>
      </c>
      <c r="C77" s="26" t="s">
        <v>2291</v>
      </c>
      <c r="D77" s="26" t="s">
        <v>23</v>
      </c>
      <c r="E77" s="42">
        <v>0.04</v>
      </c>
      <c r="F77" s="42">
        <v>0.06</v>
      </c>
      <c r="G77" s="42">
        <v>0</v>
      </c>
      <c r="H77" s="26" t="s">
        <v>744</v>
      </c>
      <c r="I77" s="28"/>
    </row>
    <row r="78" spans="1:9">
      <c r="A78" s="25" t="s">
        <v>2225</v>
      </c>
      <c r="B78" s="26" t="s">
        <v>2292</v>
      </c>
      <c r="C78" s="26" t="s">
        <v>2293</v>
      </c>
      <c r="D78" s="26" t="s">
        <v>23</v>
      </c>
      <c r="E78" s="42">
        <v>0.04</v>
      </c>
      <c r="F78" s="42">
        <v>0.05</v>
      </c>
      <c r="G78" s="42">
        <v>0.01</v>
      </c>
      <c r="H78" s="26" t="s">
        <v>744</v>
      </c>
      <c r="I78" s="28"/>
    </row>
    <row r="79" spans="1:9">
      <c r="A79" s="25" t="s">
        <v>2225</v>
      </c>
      <c r="B79" s="26" t="s">
        <v>2294</v>
      </c>
      <c r="C79" s="26" t="s">
        <v>2295</v>
      </c>
      <c r="D79" s="26" t="s">
        <v>23</v>
      </c>
      <c r="E79" s="42">
        <v>0.03</v>
      </c>
      <c r="F79" s="42">
        <v>0.04</v>
      </c>
      <c r="G79" s="42">
        <v>0.01</v>
      </c>
      <c r="H79" s="26" t="s">
        <v>744</v>
      </c>
      <c r="I79" s="28"/>
    </row>
    <row r="80" spans="1:9" ht="28.5" customHeight="1">
      <c r="A80" s="25" t="s">
        <v>2225</v>
      </c>
      <c r="B80" s="26" t="s">
        <v>2296</v>
      </c>
      <c r="C80" s="26" t="s">
        <v>2297</v>
      </c>
      <c r="D80" s="26" t="s">
        <v>23</v>
      </c>
      <c r="E80" s="42">
        <v>0.03</v>
      </c>
      <c r="F80" s="42">
        <v>0.04</v>
      </c>
      <c r="G80" s="42">
        <v>0.01</v>
      </c>
      <c r="H80" s="26" t="s">
        <v>744</v>
      </c>
      <c r="I80" s="28"/>
    </row>
    <row r="81" spans="1:9" ht="28.5" customHeight="1">
      <c r="A81" s="25" t="s">
        <v>2225</v>
      </c>
      <c r="B81" s="26" t="s">
        <v>2298</v>
      </c>
      <c r="C81" s="26" t="s">
        <v>2299</v>
      </c>
      <c r="D81" s="26" t="s">
        <v>261</v>
      </c>
      <c r="E81" s="27">
        <v>10</v>
      </c>
      <c r="F81" s="27">
        <v>15</v>
      </c>
      <c r="G81" s="27">
        <v>0</v>
      </c>
      <c r="H81" s="26" t="s">
        <v>744</v>
      </c>
      <c r="I81" s="28"/>
    </row>
    <row r="82" spans="1:9" ht="28.5" customHeight="1">
      <c r="A82" s="25" t="s">
        <v>2225</v>
      </c>
      <c r="B82" s="26" t="s">
        <v>2300</v>
      </c>
      <c r="C82" s="26" t="s">
        <v>2301</v>
      </c>
      <c r="D82" s="26" t="s">
        <v>261</v>
      </c>
      <c r="E82" s="27">
        <v>10</v>
      </c>
      <c r="F82" s="27">
        <v>15</v>
      </c>
      <c r="G82" s="27">
        <v>5</v>
      </c>
      <c r="H82" s="26" t="s">
        <v>744</v>
      </c>
      <c r="I82" s="28"/>
    </row>
    <row r="83" spans="1:9" ht="28.5" customHeight="1">
      <c r="A83" s="25" t="s">
        <v>2225</v>
      </c>
      <c r="B83" s="26" t="s">
        <v>2302</v>
      </c>
      <c r="C83" s="26" t="s">
        <v>2303</v>
      </c>
      <c r="D83" s="26" t="s">
        <v>261</v>
      </c>
      <c r="E83" s="27">
        <v>10</v>
      </c>
      <c r="F83" s="27">
        <v>15</v>
      </c>
      <c r="G83" s="27">
        <v>5</v>
      </c>
      <c r="H83" s="26" t="s">
        <v>744</v>
      </c>
      <c r="I83" s="28"/>
    </row>
    <row r="84" spans="1:9" ht="28.5" customHeight="1">
      <c r="A84" s="25" t="s">
        <v>2225</v>
      </c>
      <c r="B84" s="26" t="s">
        <v>2304</v>
      </c>
      <c r="C84" s="26" t="s">
        <v>2305</v>
      </c>
      <c r="D84" s="26" t="s">
        <v>261</v>
      </c>
      <c r="E84" s="27">
        <v>10</v>
      </c>
      <c r="F84" s="27">
        <v>15</v>
      </c>
      <c r="G84" s="27">
        <v>5</v>
      </c>
      <c r="H84" s="26" t="s">
        <v>744</v>
      </c>
      <c r="I84" s="28"/>
    </row>
    <row r="85" spans="1:9" ht="28.5" customHeight="1">
      <c r="A85" s="25" t="s">
        <v>2225</v>
      </c>
      <c r="B85" s="26" t="s">
        <v>2306</v>
      </c>
      <c r="C85" s="26" t="s">
        <v>2307</v>
      </c>
      <c r="D85" s="26" t="s">
        <v>23</v>
      </c>
      <c r="E85" s="42">
        <v>0.05</v>
      </c>
      <c r="F85" s="42">
        <v>7.0000000000000007E-2</v>
      </c>
      <c r="G85" s="42">
        <v>0.01</v>
      </c>
      <c r="H85" s="26" t="s">
        <v>744</v>
      </c>
      <c r="I85" s="28"/>
    </row>
    <row r="86" spans="1:9">
      <c r="A86" s="25" t="s">
        <v>2225</v>
      </c>
      <c r="B86" s="26" t="s">
        <v>2308</v>
      </c>
      <c r="C86" s="26" t="s">
        <v>2309</v>
      </c>
      <c r="D86" s="26" t="s">
        <v>23</v>
      </c>
      <c r="E86" s="42">
        <v>0.04</v>
      </c>
      <c r="F86" s="42">
        <v>0.06</v>
      </c>
      <c r="G86" s="42">
        <v>0.01</v>
      </c>
      <c r="H86" s="26" t="s">
        <v>744</v>
      </c>
      <c r="I86" s="28"/>
    </row>
    <row r="87" spans="1:9">
      <c r="A87" s="25" t="s">
        <v>2225</v>
      </c>
      <c r="B87" s="26" t="s">
        <v>2310</v>
      </c>
      <c r="C87" s="26" t="s">
        <v>2311</v>
      </c>
      <c r="D87" s="26" t="s">
        <v>23</v>
      </c>
      <c r="E87" s="42">
        <v>0.04</v>
      </c>
      <c r="F87" s="42">
        <v>0.05</v>
      </c>
      <c r="G87" s="42">
        <v>0.01</v>
      </c>
      <c r="H87" s="26" t="s">
        <v>744</v>
      </c>
      <c r="I87" s="28"/>
    </row>
    <row r="88" spans="1:9" ht="28.5" customHeight="1">
      <c r="A88" s="25" t="s">
        <v>2225</v>
      </c>
      <c r="B88" s="26" t="s">
        <v>2312</v>
      </c>
      <c r="C88" s="26" t="s">
        <v>2313</v>
      </c>
      <c r="D88" s="26" t="s">
        <v>23</v>
      </c>
      <c r="E88" s="42">
        <v>0.03</v>
      </c>
      <c r="F88" s="42">
        <v>0.04</v>
      </c>
      <c r="G88" s="42">
        <v>0.01</v>
      </c>
      <c r="H88" s="26" t="s">
        <v>744</v>
      </c>
      <c r="I88" s="28"/>
    </row>
    <row r="89" spans="1:9" ht="28.5" customHeight="1">
      <c r="A89" s="25" t="s">
        <v>2314</v>
      </c>
      <c r="B89" s="26" t="s">
        <v>2315</v>
      </c>
      <c r="C89" s="26" t="s">
        <v>2316</v>
      </c>
      <c r="D89" s="26" t="s">
        <v>261</v>
      </c>
      <c r="E89" s="27">
        <v>120</v>
      </c>
      <c r="F89" s="27">
        <v>160</v>
      </c>
      <c r="G89" s="27">
        <v>80</v>
      </c>
      <c r="H89" s="26" t="s">
        <v>744</v>
      </c>
      <c r="I89" s="28"/>
    </row>
    <row r="90" spans="1:9" ht="28.5" customHeight="1">
      <c r="A90" s="25" t="s">
        <v>2314</v>
      </c>
      <c r="B90" s="26" t="s">
        <v>2317</v>
      </c>
      <c r="C90" s="26" t="s">
        <v>2318</v>
      </c>
      <c r="D90" s="26" t="s">
        <v>261</v>
      </c>
      <c r="E90" s="27">
        <v>130</v>
      </c>
      <c r="F90" s="27">
        <v>160</v>
      </c>
      <c r="G90" s="27">
        <v>90</v>
      </c>
      <c r="H90" s="26" t="s">
        <v>744</v>
      </c>
      <c r="I90" s="28"/>
    </row>
    <row r="91" spans="1:9" ht="28.5" customHeight="1">
      <c r="A91" s="67" t="s">
        <v>2314</v>
      </c>
      <c r="B91" s="49" t="s">
        <v>2319</v>
      </c>
      <c r="C91" s="49" t="s">
        <v>2320</v>
      </c>
      <c r="D91" s="49" t="s">
        <v>261</v>
      </c>
      <c r="E91" s="68">
        <v>150</v>
      </c>
      <c r="F91" s="68">
        <v>180</v>
      </c>
      <c r="G91" s="68">
        <v>100</v>
      </c>
      <c r="H91" s="49" t="s">
        <v>744</v>
      </c>
      <c r="I91" s="69"/>
    </row>
    <row r="92" spans="1:9" ht="28.5" customHeight="1">
      <c r="A92" s="70" t="s">
        <v>2314</v>
      </c>
      <c r="B92" s="71" t="s">
        <v>2321</v>
      </c>
      <c r="C92" s="71" t="s">
        <v>2322</v>
      </c>
      <c r="D92" s="71" t="s">
        <v>261</v>
      </c>
      <c r="E92" s="73">
        <v>150</v>
      </c>
      <c r="F92" s="73">
        <v>200</v>
      </c>
      <c r="G92" s="73">
        <v>100</v>
      </c>
      <c r="H92" s="71" t="s">
        <v>744</v>
      </c>
      <c r="I92" s="72"/>
    </row>
    <row r="93" spans="1:9">
      <c r="A93" s="74" t="s">
        <v>2148</v>
      </c>
      <c r="B93" s="74" t="s">
        <v>2323</v>
      </c>
      <c r="C93" s="74" t="s">
        <v>2324</v>
      </c>
      <c r="D93" s="74" t="s">
        <v>14</v>
      </c>
      <c r="E93" s="14">
        <v>6000</v>
      </c>
      <c r="F93" s="14">
        <v>6000</v>
      </c>
      <c r="G93" s="14">
        <v>6000</v>
      </c>
      <c r="H93" s="74" t="s">
        <v>1427</v>
      </c>
      <c r="I93" s="74"/>
    </row>
    <row r="94" spans="1:9">
      <c r="E94" s="41"/>
      <c r="F94" s="41"/>
      <c r="G94" s="41"/>
    </row>
    <row r="95" spans="1:9">
      <c r="E95" s="41"/>
      <c r="F95" s="41"/>
      <c r="G95" s="41"/>
    </row>
    <row r="96" spans="1:9">
      <c r="E96" s="41"/>
      <c r="F96" s="41"/>
      <c r="G96" s="41"/>
    </row>
    <row r="97" spans="5:7">
      <c r="E97" s="41"/>
      <c r="F97" s="41"/>
      <c r="G97" s="41"/>
    </row>
    <row r="98" spans="5:7">
      <c r="E98" s="41"/>
      <c r="F98" s="41"/>
      <c r="G98" s="41"/>
    </row>
    <row r="99" spans="5:7">
      <c r="E99" s="41"/>
      <c r="F99" s="41"/>
      <c r="G99" s="41"/>
    </row>
    <row r="100" spans="5:7">
      <c r="E100" s="41"/>
      <c r="F100" s="41"/>
      <c r="G100" s="41"/>
    </row>
    <row r="101" spans="5:7">
      <c r="E101" s="41"/>
      <c r="F101" s="41"/>
      <c r="G101" s="41"/>
    </row>
    <row r="102" spans="5:7">
      <c r="E102" s="41"/>
      <c r="F102" s="41"/>
      <c r="G102" s="41"/>
    </row>
    <row r="103" spans="5:7">
      <c r="E103" s="41"/>
      <c r="F103" s="41"/>
      <c r="G103" s="41"/>
    </row>
    <row r="104" spans="5:7">
      <c r="E104" s="41"/>
      <c r="F104" s="41"/>
      <c r="G104" s="41"/>
    </row>
    <row r="105" spans="5:7">
      <c r="E105" s="41"/>
      <c r="F105" s="41"/>
      <c r="G105" s="41"/>
    </row>
    <row r="106" spans="5:7">
      <c r="E106" s="41"/>
      <c r="F106" s="41"/>
      <c r="G106" s="41"/>
    </row>
    <row r="107" spans="5:7">
      <c r="E107" s="41"/>
      <c r="F107" s="41"/>
      <c r="G107" s="41"/>
    </row>
    <row r="108" spans="5:7">
      <c r="E108" s="41"/>
      <c r="F108" s="41"/>
      <c r="G108" s="41"/>
    </row>
    <row r="109" spans="5:7">
      <c r="E109" s="41"/>
      <c r="F109" s="41"/>
      <c r="G109" s="41"/>
    </row>
    <row r="110" spans="5:7">
      <c r="E110" s="41"/>
      <c r="F110" s="41"/>
      <c r="G110" s="41"/>
    </row>
    <row r="111" spans="5:7">
      <c r="E111" s="41"/>
      <c r="F111" s="41"/>
      <c r="G111" s="41"/>
    </row>
    <row r="112" spans="5:7">
      <c r="E112" s="41"/>
      <c r="F112" s="41"/>
      <c r="G112" s="41"/>
    </row>
    <row r="113" spans="5:7">
      <c r="E113" s="41"/>
      <c r="F113" s="41"/>
      <c r="G113" s="41"/>
    </row>
    <row r="114" spans="5:7">
      <c r="E114" s="41"/>
      <c r="F114" s="41"/>
      <c r="G114" s="41"/>
    </row>
    <row r="115" spans="5:7">
      <c r="E115" s="41"/>
      <c r="F115" s="41"/>
      <c r="G115" s="41"/>
    </row>
    <row r="116" spans="5:7">
      <c r="E116" s="41"/>
      <c r="F116" s="41"/>
      <c r="G116" s="41"/>
    </row>
    <row r="117" spans="5:7">
      <c r="E117" s="41"/>
      <c r="F117" s="41"/>
      <c r="G117" s="41"/>
    </row>
    <row r="118" spans="5:7">
      <c r="E118" s="41"/>
      <c r="F118" s="41"/>
      <c r="G118" s="41"/>
    </row>
    <row r="119" spans="5:7">
      <c r="E119" s="41"/>
      <c r="F119" s="41"/>
      <c r="G119" s="41"/>
    </row>
    <row r="120" spans="5:7">
      <c r="E120" s="41"/>
      <c r="F120" s="41"/>
      <c r="G120" s="41"/>
    </row>
    <row r="121" spans="5:7">
      <c r="E121" s="41"/>
      <c r="F121" s="41"/>
      <c r="G121" s="41"/>
    </row>
    <row r="122" spans="5:7">
      <c r="E122" s="41"/>
      <c r="F122" s="41"/>
      <c r="G122" s="41"/>
    </row>
    <row r="123" spans="5:7">
      <c r="E123" s="41"/>
      <c r="F123" s="41"/>
      <c r="G123" s="41"/>
    </row>
    <row r="124" spans="5:7">
      <c r="E124" s="41"/>
      <c r="F124" s="41"/>
      <c r="G124" s="41"/>
    </row>
    <row r="125" spans="5:7">
      <c r="E125" s="41"/>
      <c r="F125" s="41"/>
      <c r="G125" s="41"/>
    </row>
    <row r="126" spans="5:7">
      <c r="E126" s="41"/>
      <c r="F126" s="41"/>
      <c r="G126" s="41"/>
    </row>
    <row r="127" spans="5:7">
      <c r="E127" s="41"/>
      <c r="F127" s="41"/>
      <c r="G127" s="41"/>
    </row>
    <row r="128" spans="5:7">
      <c r="E128" s="41"/>
      <c r="F128" s="41"/>
      <c r="G128" s="41"/>
    </row>
    <row r="129" spans="5:7">
      <c r="E129" s="41"/>
      <c r="F129" s="41"/>
      <c r="G129" s="41"/>
    </row>
    <row r="130" spans="5:7">
      <c r="E130" s="41"/>
      <c r="F130" s="41"/>
      <c r="G130" s="41"/>
    </row>
    <row r="131" spans="5:7">
      <c r="E131" s="41"/>
      <c r="F131" s="41"/>
      <c r="G131" s="41"/>
    </row>
    <row r="132" spans="5:7">
      <c r="E132" s="41"/>
      <c r="F132" s="41"/>
      <c r="G132" s="41"/>
    </row>
    <row r="133" spans="5:7">
      <c r="E133" s="41"/>
      <c r="F133" s="41"/>
      <c r="G133" s="41"/>
    </row>
    <row r="134" spans="5:7">
      <c r="E134" s="41"/>
      <c r="F134" s="41"/>
      <c r="G134" s="41"/>
    </row>
    <row r="135" spans="5:7">
      <c r="E135" s="41"/>
      <c r="F135" s="41"/>
      <c r="G135" s="41"/>
    </row>
    <row r="136" spans="5:7">
      <c r="E136" s="41"/>
      <c r="F136" s="41"/>
      <c r="G136" s="41"/>
    </row>
    <row r="137" spans="5:7">
      <c r="E137" s="41"/>
      <c r="F137" s="41"/>
      <c r="G137" s="41"/>
    </row>
    <row r="138" spans="5:7">
      <c r="E138" s="41"/>
      <c r="F138" s="41"/>
      <c r="G138" s="41"/>
    </row>
    <row r="139" spans="5:7">
      <c r="E139" s="41"/>
      <c r="F139" s="41"/>
      <c r="G139" s="41"/>
    </row>
    <row r="140" spans="5:7">
      <c r="E140" s="41"/>
      <c r="F140" s="41"/>
      <c r="G140" s="41"/>
    </row>
    <row r="141" spans="5:7">
      <c r="E141" s="41"/>
      <c r="F141" s="41"/>
      <c r="G141" s="41"/>
    </row>
    <row r="142" spans="5:7">
      <c r="E142" s="41"/>
      <c r="F142" s="41"/>
      <c r="G142" s="41"/>
    </row>
    <row r="143" spans="5:7">
      <c r="E143" s="41"/>
      <c r="F143" s="41"/>
      <c r="G143" s="41"/>
    </row>
    <row r="144" spans="5:7">
      <c r="E144" s="41"/>
      <c r="F144" s="41"/>
      <c r="G144" s="41"/>
    </row>
    <row r="145" spans="5:7">
      <c r="E145" s="41"/>
      <c r="F145" s="41"/>
      <c r="G145" s="41"/>
    </row>
    <row r="146" spans="5:7">
      <c r="E146" s="41"/>
      <c r="F146" s="41"/>
      <c r="G146" s="41"/>
    </row>
    <row r="147" spans="5:7">
      <c r="E147" s="41"/>
      <c r="F147" s="41"/>
      <c r="G147" s="41"/>
    </row>
    <row r="148" spans="5:7">
      <c r="E148" s="41"/>
      <c r="F148" s="41"/>
      <c r="G148" s="41"/>
    </row>
    <row r="149" spans="5:7">
      <c r="E149" s="41"/>
      <c r="F149" s="41"/>
      <c r="G149" s="41"/>
    </row>
    <row r="150" spans="5:7">
      <c r="E150" s="41"/>
      <c r="F150" s="41"/>
      <c r="G150" s="41"/>
    </row>
    <row r="151" spans="5:7">
      <c r="E151" s="41"/>
      <c r="F151" s="41"/>
      <c r="G151" s="41"/>
    </row>
    <row r="152" spans="5:7">
      <c r="E152" s="41"/>
      <c r="F152" s="41"/>
      <c r="G152" s="41"/>
    </row>
    <row r="153" spans="5:7">
      <c r="E153" s="41"/>
      <c r="F153" s="41"/>
      <c r="G153" s="41"/>
    </row>
    <row r="154" spans="5:7">
      <c r="E154" s="41"/>
      <c r="F154" s="41"/>
      <c r="G154" s="41"/>
    </row>
    <row r="155" spans="5:7">
      <c r="E155" s="41"/>
      <c r="F155" s="41"/>
      <c r="G155" s="41"/>
    </row>
    <row r="156" spans="5:7">
      <c r="E156" s="41"/>
      <c r="F156" s="41"/>
      <c r="G156" s="41"/>
    </row>
    <row r="157" spans="5:7">
      <c r="E157" s="41"/>
      <c r="F157" s="41"/>
      <c r="G157" s="41"/>
    </row>
    <row r="158" spans="5:7">
      <c r="E158" s="41"/>
      <c r="F158" s="41"/>
      <c r="G158" s="41"/>
    </row>
    <row r="159" spans="5:7">
      <c r="E159" s="41"/>
      <c r="F159" s="41"/>
      <c r="G159" s="41"/>
    </row>
    <row r="160" spans="5:7">
      <c r="E160" s="41"/>
      <c r="F160" s="41"/>
      <c r="G160" s="41"/>
    </row>
  </sheetData>
  <mergeCells count="2">
    <mergeCell ref="A1:I1"/>
    <mergeCell ref="A2:I2"/>
  </mergeCells>
  <hyperlinks>
    <hyperlink ref="J5" location="'05_Revenue_Drivers'!A1" display="07_Revenue_Drivers'!A1"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379"/>
  <sheetViews>
    <sheetView showGridLines="0" workbookViewId="0">
      <selection sqref="A1:I1"/>
    </sheetView>
  </sheetViews>
  <sheetFormatPr defaultRowHeight="13.8"/>
  <cols>
    <col min="1" max="2" width="12" customWidth="1"/>
    <col min="3" max="3" width="20" customWidth="1"/>
    <col min="4" max="4" width="34" customWidth="1"/>
    <col min="5" max="5" width="36" customWidth="1"/>
    <col min="6" max="6" width="44" customWidth="1"/>
    <col min="7" max="7" width="25.69921875" customWidth="1"/>
    <col min="8" max="8" width="16" customWidth="1"/>
    <col min="9" max="9" width="32" customWidth="1"/>
  </cols>
  <sheetData>
    <row r="1" spans="1:9" ht="27.9" customHeight="1">
      <c r="A1" s="473" t="s">
        <v>2325</v>
      </c>
      <c r="B1" s="452"/>
      <c r="C1" s="452"/>
      <c r="D1" s="452"/>
      <c r="E1" s="452"/>
      <c r="F1" s="452"/>
      <c r="G1" s="452"/>
      <c r="H1" s="452"/>
      <c r="I1" s="452"/>
    </row>
    <row r="2" spans="1:9">
      <c r="A2" s="476" t="s">
        <v>2326</v>
      </c>
      <c r="B2" s="452"/>
      <c r="C2" s="452"/>
      <c r="D2" s="452"/>
      <c r="E2" s="452"/>
      <c r="F2" s="452"/>
      <c r="G2" s="452"/>
      <c r="H2" s="452"/>
      <c r="I2" s="452"/>
    </row>
    <row r="4" spans="1:9" ht="15" customHeight="1">
      <c r="A4" s="360" t="s">
        <v>551</v>
      </c>
      <c r="B4" s="360" t="s">
        <v>1149</v>
      </c>
      <c r="C4" s="360" t="s">
        <v>2327</v>
      </c>
      <c r="D4" s="360" t="s">
        <v>2328</v>
      </c>
      <c r="E4" s="360" t="s">
        <v>2329</v>
      </c>
      <c r="F4" s="360" t="s">
        <v>2330</v>
      </c>
      <c r="G4" s="360" t="s">
        <v>2331</v>
      </c>
      <c r="H4" s="360" t="s">
        <v>2332</v>
      </c>
      <c r="I4" s="360" t="s">
        <v>150</v>
      </c>
    </row>
    <row r="5" spans="1:9">
      <c r="A5" s="93" t="s">
        <v>602</v>
      </c>
      <c r="B5" s="94" t="s">
        <v>2333</v>
      </c>
      <c r="C5" s="94" t="s">
        <v>1239</v>
      </c>
      <c r="D5" s="94" t="s">
        <v>2334</v>
      </c>
      <c r="E5" s="94" t="s">
        <v>2335</v>
      </c>
      <c r="F5" s="94" t="s">
        <v>2336</v>
      </c>
      <c r="G5" s="87">
        <v>156836115054975</v>
      </c>
      <c r="H5" s="90">
        <v>156836.115054975</v>
      </c>
      <c r="I5" s="99" t="s">
        <v>2337</v>
      </c>
    </row>
    <row r="6" spans="1:9">
      <c r="A6" s="95" t="s">
        <v>602</v>
      </c>
      <c r="B6" s="96" t="s">
        <v>2333</v>
      </c>
      <c r="C6" s="96" t="s">
        <v>1239</v>
      </c>
      <c r="D6" s="96" t="s">
        <v>2338</v>
      </c>
      <c r="E6" s="96" t="s">
        <v>2339</v>
      </c>
      <c r="F6" s="96" t="s">
        <v>2340</v>
      </c>
      <c r="G6" s="88">
        <v>-907969435608</v>
      </c>
      <c r="H6" s="91">
        <v>-907.96943560800003</v>
      </c>
      <c r="I6" s="100" t="s">
        <v>2337</v>
      </c>
    </row>
    <row r="7" spans="1:9">
      <c r="A7" s="95" t="s">
        <v>602</v>
      </c>
      <c r="B7" s="96" t="s">
        <v>2333</v>
      </c>
      <c r="C7" s="96" t="s">
        <v>1239</v>
      </c>
      <c r="D7" s="96" t="s">
        <v>2341</v>
      </c>
      <c r="E7" s="96" t="s">
        <v>2342</v>
      </c>
      <c r="F7" s="96" t="s">
        <v>2343</v>
      </c>
      <c r="G7" s="88">
        <v>155928145619367</v>
      </c>
      <c r="H7" s="91">
        <v>155928.14561936699</v>
      </c>
      <c r="I7" s="100" t="s">
        <v>2337</v>
      </c>
    </row>
    <row r="8" spans="1:9">
      <c r="A8" s="95" t="s">
        <v>602</v>
      </c>
      <c r="B8" s="96" t="s">
        <v>2333</v>
      </c>
      <c r="C8" s="96" t="s">
        <v>1239</v>
      </c>
      <c r="D8" s="96" t="s">
        <v>2344</v>
      </c>
      <c r="E8" s="96" t="s">
        <v>2345</v>
      </c>
      <c r="F8" s="96" t="s">
        <v>2346</v>
      </c>
      <c r="G8" s="88">
        <v>-124926268219546</v>
      </c>
      <c r="H8" s="91">
        <v>-124926.26821954599</v>
      </c>
      <c r="I8" s="100" t="s">
        <v>2337</v>
      </c>
    </row>
    <row r="9" spans="1:9">
      <c r="A9" s="95" t="s">
        <v>602</v>
      </c>
      <c r="B9" s="96" t="s">
        <v>2333</v>
      </c>
      <c r="C9" s="96" t="s">
        <v>1239</v>
      </c>
      <c r="D9" s="96" t="s">
        <v>21</v>
      </c>
      <c r="E9" s="96" t="s">
        <v>20</v>
      </c>
      <c r="F9" s="96" t="s">
        <v>2347</v>
      </c>
      <c r="G9" s="88">
        <v>31001877399821</v>
      </c>
      <c r="H9" s="91">
        <v>31001.877399821002</v>
      </c>
      <c r="I9" s="100" t="s">
        <v>2337</v>
      </c>
    </row>
    <row r="10" spans="1:9">
      <c r="A10" s="95" t="s">
        <v>602</v>
      </c>
      <c r="B10" s="96" t="s">
        <v>2333</v>
      </c>
      <c r="C10" s="96" t="s">
        <v>1239</v>
      </c>
      <c r="D10" s="96" t="s">
        <v>26</v>
      </c>
      <c r="E10" s="96" t="s">
        <v>2348</v>
      </c>
      <c r="F10" s="96" t="s">
        <v>2349</v>
      </c>
      <c r="G10" s="88">
        <v>3107348733939</v>
      </c>
      <c r="H10" s="91">
        <v>3107.3487339389999</v>
      </c>
      <c r="I10" s="100" t="s">
        <v>2337</v>
      </c>
    </row>
    <row r="11" spans="1:9">
      <c r="A11" s="95" t="s">
        <v>602</v>
      </c>
      <c r="B11" s="96" t="s">
        <v>2333</v>
      </c>
      <c r="C11" s="96" t="s">
        <v>1239</v>
      </c>
      <c r="D11" s="96" t="s">
        <v>2350</v>
      </c>
      <c r="E11" s="96" t="s">
        <v>2351</v>
      </c>
      <c r="F11" s="96" t="s">
        <v>2352</v>
      </c>
      <c r="G11" s="88">
        <v>-1542518673463</v>
      </c>
      <c r="H11" s="91">
        <v>-1542.5186734629999</v>
      </c>
      <c r="I11" s="100" t="s">
        <v>2337</v>
      </c>
    </row>
    <row r="12" spans="1:9">
      <c r="A12" s="95" t="s">
        <v>602</v>
      </c>
      <c r="B12" s="96" t="s">
        <v>2333</v>
      </c>
      <c r="C12" s="96" t="s">
        <v>1239</v>
      </c>
      <c r="D12" s="96" t="s">
        <v>2353</v>
      </c>
      <c r="E12" s="96" t="s">
        <v>2354</v>
      </c>
      <c r="F12" s="96" t="s">
        <v>2355</v>
      </c>
      <c r="G12" s="88">
        <v>-1470675593604</v>
      </c>
      <c r="H12" s="91">
        <v>-1470.6755936039999</v>
      </c>
      <c r="I12" s="100" t="s">
        <v>2337</v>
      </c>
    </row>
    <row r="13" spans="1:9">
      <c r="A13" s="95" t="s">
        <v>602</v>
      </c>
      <c r="B13" s="96" t="s">
        <v>2333</v>
      </c>
      <c r="C13" s="96" t="s">
        <v>1239</v>
      </c>
      <c r="D13" s="96" t="s">
        <v>32</v>
      </c>
      <c r="E13" s="96" t="s">
        <v>2356</v>
      </c>
      <c r="F13" s="96" t="s">
        <v>2357</v>
      </c>
      <c r="G13" s="88">
        <v>-19330903536858</v>
      </c>
      <c r="H13" s="91">
        <v>-19330.903536858001</v>
      </c>
      <c r="I13" s="100" t="s">
        <v>2337</v>
      </c>
    </row>
    <row r="14" spans="1:9">
      <c r="A14" s="95" t="s">
        <v>602</v>
      </c>
      <c r="B14" s="96" t="s">
        <v>2333</v>
      </c>
      <c r="C14" s="96" t="s">
        <v>1239</v>
      </c>
      <c r="D14" s="96" t="s">
        <v>2358</v>
      </c>
      <c r="E14" s="96" t="s">
        <v>2359</v>
      </c>
      <c r="F14" s="96" t="s">
        <v>2360</v>
      </c>
      <c r="G14" s="88">
        <v>-4596074513172</v>
      </c>
      <c r="H14" s="91">
        <v>-4596.0745131719996</v>
      </c>
      <c r="I14" s="100" t="s">
        <v>2337</v>
      </c>
    </row>
    <row r="15" spans="1:9">
      <c r="A15" s="95" t="s">
        <v>602</v>
      </c>
      <c r="B15" s="96" t="s">
        <v>2333</v>
      </c>
      <c r="C15" s="96" t="s">
        <v>1239</v>
      </c>
      <c r="D15" s="96" t="s">
        <v>2361</v>
      </c>
      <c r="E15" s="96" t="s">
        <v>2362</v>
      </c>
      <c r="F15" s="96" t="s">
        <v>2363</v>
      </c>
      <c r="G15" s="88">
        <v>8664080489454</v>
      </c>
      <c r="H15" s="91">
        <v>8664.0804894539997</v>
      </c>
      <c r="I15" s="100" t="s">
        <v>2337</v>
      </c>
    </row>
    <row r="16" spans="1:9">
      <c r="A16" s="95" t="s">
        <v>602</v>
      </c>
      <c r="B16" s="96" t="s">
        <v>2333</v>
      </c>
      <c r="C16" s="96" t="s">
        <v>1239</v>
      </c>
      <c r="D16" s="96" t="s">
        <v>2364</v>
      </c>
      <c r="E16" s="96" t="s">
        <v>2365</v>
      </c>
      <c r="F16" s="96" t="s">
        <v>2366</v>
      </c>
      <c r="G16" s="88">
        <v>52777770887</v>
      </c>
      <c r="H16" s="91">
        <v>52.777770887000003</v>
      </c>
      <c r="I16" s="100" t="s">
        <v>2337</v>
      </c>
    </row>
    <row r="17" spans="1:9">
      <c r="A17" s="95" t="s">
        <v>602</v>
      </c>
      <c r="B17" s="96" t="s">
        <v>2333</v>
      </c>
      <c r="C17" s="96" t="s">
        <v>1239</v>
      </c>
      <c r="D17" s="96" t="s">
        <v>1690</v>
      </c>
      <c r="E17" s="96" t="s">
        <v>2367</v>
      </c>
      <c r="F17" s="96" t="s">
        <v>2368</v>
      </c>
      <c r="G17" s="88">
        <v>-83790676915</v>
      </c>
      <c r="H17" s="91">
        <v>-83.790676915000006</v>
      </c>
      <c r="I17" s="100" t="s">
        <v>2337</v>
      </c>
    </row>
    <row r="18" spans="1:9">
      <c r="A18" s="95" t="s">
        <v>602</v>
      </c>
      <c r="B18" s="96" t="s">
        <v>2333</v>
      </c>
      <c r="C18" s="96" t="s">
        <v>1239</v>
      </c>
      <c r="D18" s="96" t="s">
        <v>2369</v>
      </c>
      <c r="E18" s="96" t="s">
        <v>2370</v>
      </c>
      <c r="F18" s="96" t="s">
        <v>2371</v>
      </c>
      <c r="G18" s="88">
        <v>-31012906028</v>
      </c>
      <c r="H18" s="91">
        <v>-31.012906028</v>
      </c>
      <c r="I18" s="100" t="s">
        <v>2337</v>
      </c>
    </row>
    <row r="19" spans="1:9">
      <c r="A19" s="95" t="s">
        <v>602</v>
      </c>
      <c r="B19" s="96" t="s">
        <v>2333</v>
      </c>
      <c r="C19" s="96" t="s">
        <v>1239</v>
      </c>
      <c r="D19" s="96" t="s">
        <v>2372</v>
      </c>
      <c r="E19" s="96" t="s">
        <v>2373</v>
      </c>
      <c r="F19" s="96" t="s">
        <v>2374</v>
      </c>
      <c r="G19" s="88">
        <v>0</v>
      </c>
      <c r="H19" s="91">
        <v>0</v>
      </c>
      <c r="I19" s="100" t="s">
        <v>2337</v>
      </c>
    </row>
    <row r="20" spans="1:9">
      <c r="A20" s="95" t="s">
        <v>602</v>
      </c>
      <c r="B20" s="96" t="s">
        <v>2333</v>
      </c>
      <c r="C20" s="96" t="s">
        <v>1239</v>
      </c>
      <c r="D20" s="96" t="s">
        <v>2375</v>
      </c>
      <c r="E20" s="96" t="s">
        <v>2376</v>
      </c>
      <c r="F20" s="96" t="s">
        <v>2377</v>
      </c>
      <c r="G20" s="88">
        <v>8633067583426</v>
      </c>
      <c r="H20" s="91">
        <v>8633.0675834260001</v>
      </c>
      <c r="I20" s="100" t="s">
        <v>2337</v>
      </c>
    </row>
    <row r="21" spans="1:9">
      <c r="A21" s="95" t="s">
        <v>602</v>
      </c>
      <c r="B21" s="96" t="s">
        <v>2333</v>
      </c>
      <c r="C21" s="96" t="s">
        <v>1239</v>
      </c>
      <c r="D21" s="96" t="s">
        <v>2378</v>
      </c>
      <c r="E21" s="96" t="s">
        <v>2379</v>
      </c>
      <c r="F21" s="96" t="s">
        <v>2380</v>
      </c>
      <c r="G21" s="88">
        <v>-1721559523168</v>
      </c>
      <c r="H21" s="91">
        <v>-1721.5595231679999</v>
      </c>
      <c r="I21" s="100" t="s">
        <v>2337</v>
      </c>
    </row>
    <row r="22" spans="1:9">
      <c r="A22" s="95" t="s">
        <v>602</v>
      </c>
      <c r="B22" s="96" t="s">
        <v>2333</v>
      </c>
      <c r="C22" s="96" t="s">
        <v>1239</v>
      </c>
      <c r="D22" s="96" t="s">
        <v>2381</v>
      </c>
      <c r="E22" s="96" t="s">
        <v>2382</v>
      </c>
      <c r="F22" s="96" t="s">
        <v>2383</v>
      </c>
      <c r="G22" s="88">
        <v>161114825617</v>
      </c>
      <c r="H22" s="91">
        <v>161.11482561700001</v>
      </c>
      <c r="I22" s="100" t="s">
        <v>2337</v>
      </c>
    </row>
    <row r="23" spans="1:9">
      <c r="A23" s="95" t="s">
        <v>602</v>
      </c>
      <c r="B23" s="96" t="s">
        <v>2333</v>
      </c>
      <c r="C23" s="96" t="s">
        <v>1239</v>
      </c>
      <c r="D23" s="96" t="s">
        <v>2384</v>
      </c>
      <c r="E23" s="96" t="s">
        <v>2385</v>
      </c>
      <c r="F23" s="96" t="s">
        <v>2386</v>
      </c>
      <c r="G23" s="88">
        <v>-1560444697551</v>
      </c>
      <c r="H23" s="91">
        <v>-1560.444697551</v>
      </c>
      <c r="I23" s="100" t="s">
        <v>2337</v>
      </c>
    </row>
    <row r="24" spans="1:9">
      <c r="A24" s="95" t="s">
        <v>602</v>
      </c>
      <c r="B24" s="96" t="s">
        <v>2333</v>
      </c>
      <c r="C24" s="96" t="s">
        <v>1239</v>
      </c>
      <c r="D24" s="96" t="s">
        <v>2387</v>
      </c>
      <c r="E24" s="96" t="s">
        <v>2388</v>
      </c>
      <c r="F24" s="96" t="s">
        <v>2389</v>
      </c>
      <c r="G24" s="88">
        <v>7072622885875</v>
      </c>
      <c r="H24" s="91">
        <v>7072.6228858750001</v>
      </c>
      <c r="I24" s="100" t="s">
        <v>2337</v>
      </c>
    </row>
    <row r="25" spans="1:9">
      <c r="A25" s="95" t="s">
        <v>602</v>
      </c>
      <c r="B25" s="96" t="s">
        <v>2333</v>
      </c>
      <c r="C25" s="96" t="s">
        <v>1239</v>
      </c>
      <c r="D25" s="96" t="s">
        <v>2390</v>
      </c>
      <c r="E25" s="96" t="s">
        <v>2391</v>
      </c>
      <c r="F25" s="96" t="s">
        <v>1631</v>
      </c>
      <c r="G25" s="88">
        <v>38892115706</v>
      </c>
      <c r="H25" s="91">
        <v>38.892115705999998</v>
      </c>
      <c r="I25" s="100" t="s">
        <v>2337</v>
      </c>
    </row>
    <row r="26" spans="1:9">
      <c r="A26" s="95" t="s">
        <v>602</v>
      </c>
      <c r="B26" s="96" t="s">
        <v>2333</v>
      </c>
      <c r="C26" s="96" t="s">
        <v>1239</v>
      </c>
      <c r="D26" s="96" t="s">
        <v>2392</v>
      </c>
      <c r="E26" s="96" t="s">
        <v>2393</v>
      </c>
      <c r="F26" s="96" t="s">
        <v>2394</v>
      </c>
      <c r="G26" s="88">
        <v>7033730770169</v>
      </c>
      <c r="H26" s="91">
        <v>7033.7307701689997</v>
      </c>
      <c r="I26" s="100" t="s">
        <v>2337</v>
      </c>
    </row>
    <row r="27" spans="1:9">
      <c r="A27" s="95" t="s">
        <v>602</v>
      </c>
      <c r="B27" s="96" t="s">
        <v>2333</v>
      </c>
      <c r="C27" s="96" t="s">
        <v>1239</v>
      </c>
      <c r="D27" s="96" t="s">
        <v>2395</v>
      </c>
      <c r="E27" s="96" t="s">
        <v>2396</v>
      </c>
      <c r="F27" s="96" t="s">
        <v>2397</v>
      </c>
      <c r="G27" s="88">
        <v>4774</v>
      </c>
      <c r="H27" s="91">
        <v>4.7740000000000004E-6</v>
      </c>
      <c r="I27" s="100" t="s">
        <v>2337</v>
      </c>
    </row>
    <row r="28" spans="1:9">
      <c r="A28" s="95" t="s">
        <v>602</v>
      </c>
      <c r="B28" s="96" t="s">
        <v>2333</v>
      </c>
      <c r="C28" s="96" t="s">
        <v>1239</v>
      </c>
      <c r="D28" s="96" t="s">
        <v>2398</v>
      </c>
      <c r="E28" s="96" t="s">
        <v>2399</v>
      </c>
      <c r="F28" s="96" t="s">
        <v>2400</v>
      </c>
      <c r="G28" s="88">
        <v>4774</v>
      </c>
      <c r="H28" s="91">
        <v>4.7740000000000004E-6</v>
      </c>
      <c r="I28" s="100" t="s">
        <v>2337</v>
      </c>
    </row>
    <row r="29" spans="1:9">
      <c r="A29" s="95" t="s">
        <v>602</v>
      </c>
      <c r="B29" s="96" t="s">
        <v>2333</v>
      </c>
      <c r="C29" s="96" t="s">
        <v>1239</v>
      </c>
      <c r="D29" s="96" t="s">
        <v>2401</v>
      </c>
      <c r="E29" s="96" t="s">
        <v>2402</v>
      </c>
      <c r="F29" s="96" t="s">
        <v>2403</v>
      </c>
      <c r="G29" s="88">
        <v>24351079187</v>
      </c>
      <c r="H29" s="91">
        <v>24.351079187</v>
      </c>
      <c r="I29" s="100" t="s">
        <v>2337</v>
      </c>
    </row>
    <row r="30" spans="1:9">
      <c r="A30" s="95" t="s">
        <v>602</v>
      </c>
      <c r="B30" s="96" t="s">
        <v>2404</v>
      </c>
      <c r="C30" s="96" t="s">
        <v>1239</v>
      </c>
      <c r="D30" s="96" t="s">
        <v>2334</v>
      </c>
      <c r="E30" s="96" t="s">
        <v>2335</v>
      </c>
      <c r="F30" s="96" t="s">
        <v>2336</v>
      </c>
      <c r="G30" s="88">
        <v>36332913479242</v>
      </c>
      <c r="H30" s="91">
        <v>36332.913479242001</v>
      </c>
      <c r="I30" s="100" t="s">
        <v>2405</v>
      </c>
    </row>
    <row r="31" spans="1:9">
      <c r="A31" s="95" t="s">
        <v>602</v>
      </c>
      <c r="B31" s="96" t="s">
        <v>2404</v>
      </c>
      <c r="C31" s="96" t="s">
        <v>1239</v>
      </c>
      <c r="D31" s="96" t="s">
        <v>2338</v>
      </c>
      <c r="E31" s="96" t="s">
        <v>2339</v>
      </c>
      <c r="F31" s="96" t="s">
        <v>2340</v>
      </c>
      <c r="G31" s="88">
        <v>-197955061033</v>
      </c>
      <c r="H31" s="91">
        <v>-197.95506103299999</v>
      </c>
      <c r="I31" s="100" t="s">
        <v>2405</v>
      </c>
    </row>
    <row r="32" spans="1:9">
      <c r="A32" s="95" t="s">
        <v>602</v>
      </c>
      <c r="B32" s="96" t="s">
        <v>2404</v>
      </c>
      <c r="C32" s="96" t="s">
        <v>1239</v>
      </c>
      <c r="D32" s="96" t="s">
        <v>2341</v>
      </c>
      <c r="E32" s="96" t="s">
        <v>2342</v>
      </c>
      <c r="F32" s="96" t="s">
        <v>2343</v>
      </c>
      <c r="G32" s="88">
        <v>36134958418209</v>
      </c>
      <c r="H32" s="91">
        <v>36134.958418208997</v>
      </c>
      <c r="I32" s="100" t="s">
        <v>2405</v>
      </c>
    </row>
    <row r="33" spans="1:9">
      <c r="A33" s="95" t="s">
        <v>602</v>
      </c>
      <c r="B33" s="96" t="s">
        <v>2404</v>
      </c>
      <c r="C33" s="96" t="s">
        <v>1239</v>
      </c>
      <c r="D33" s="96" t="s">
        <v>2344</v>
      </c>
      <c r="E33" s="96" t="s">
        <v>2345</v>
      </c>
      <c r="F33" s="96" t="s">
        <v>2346</v>
      </c>
      <c r="G33" s="88">
        <v>-28934547803004</v>
      </c>
      <c r="H33" s="91">
        <v>-28934.547803003999</v>
      </c>
      <c r="I33" s="100" t="s">
        <v>2405</v>
      </c>
    </row>
    <row r="34" spans="1:9">
      <c r="A34" s="95" t="s">
        <v>602</v>
      </c>
      <c r="B34" s="96" t="s">
        <v>2404</v>
      </c>
      <c r="C34" s="96" t="s">
        <v>1239</v>
      </c>
      <c r="D34" s="96" t="s">
        <v>21</v>
      </c>
      <c r="E34" s="96" t="s">
        <v>20</v>
      </c>
      <c r="F34" s="96" t="s">
        <v>2347</v>
      </c>
      <c r="G34" s="88">
        <v>7200410615205</v>
      </c>
      <c r="H34" s="91">
        <v>7200.4106152049999</v>
      </c>
      <c r="I34" s="100" t="s">
        <v>2405</v>
      </c>
    </row>
    <row r="35" spans="1:9">
      <c r="A35" s="95" t="s">
        <v>602</v>
      </c>
      <c r="B35" s="96" t="s">
        <v>2404</v>
      </c>
      <c r="C35" s="96" t="s">
        <v>1239</v>
      </c>
      <c r="D35" s="96" t="s">
        <v>26</v>
      </c>
      <c r="E35" s="96" t="s">
        <v>2348</v>
      </c>
      <c r="F35" s="96" t="s">
        <v>2349</v>
      </c>
      <c r="G35" s="88">
        <v>693293667931</v>
      </c>
      <c r="H35" s="91">
        <v>693.29366793099996</v>
      </c>
      <c r="I35" s="100" t="s">
        <v>2405</v>
      </c>
    </row>
    <row r="36" spans="1:9">
      <c r="A36" s="95" t="s">
        <v>602</v>
      </c>
      <c r="B36" s="96" t="s">
        <v>2404</v>
      </c>
      <c r="C36" s="96" t="s">
        <v>1239</v>
      </c>
      <c r="D36" s="96" t="s">
        <v>2350</v>
      </c>
      <c r="E36" s="96" t="s">
        <v>2351</v>
      </c>
      <c r="F36" s="96" t="s">
        <v>2352</v>
      </c>
      <c r="G36" s="88">
        <v>-339023162705</v>
      </c>
      <c r="H36" s="91">
        <v>-339.023162705</v>
      </c>
      <c r="I36" s="100" t="s">
        <v>2405</v>
      </c>
    </row>
    <row r="37" spans="1:9">
      <c r="A37" s="95" t="s">
        <v>602</v>
      </c>
      <c r="B37" s="96" t="s">
        <v>2404</v>
      </c>
      <c r="C37" s="96" t="s">
        <v>1239</v>
      </c>
      <c r="D37" s="96" t="s">
        <v>2353</v>
      </c>
      <c r="E37" s="96" t="s">
        <v>2354</v>
      </c>
      <c r="F37" s="96" t="s">
        <v>2355</v>
      </c>
      <c r="G37" s="88">
        <v>-322792850500</v>
      </c>
      <c r="H37" s="91">
        <v>-322.79285049999999</v>
      </c>
      <c r="I37" s="100" t="s">
        <v>2405</v>
      </c>
    </row>
    <row r="38" spans="1:9">
      <c r="A38" s="95" t="s">
        <v>602</v>
      </c>
      <c r="B38" s="96" t="s">
        <v>2404</v>
      </c>
      <c r="C38" s="96" t="s">
        <v>1239</v>
      </c>
      <c r="D38" s="96" t="s">
        <v>32</v>
      </c>
      <c r="E38" s="96" t="s">
        <v>2356</v>
      </c>
      <c r="F38" s="96" t="s">
        <v>2357</v>
      </c>
      <c r="G38" s="88">
        <v>-4403006343750</v>
      </c>
      <c r="H38" s="91">
        <v>-4403.0063437500003</v>
      </c>
      <c r="I38" s="100" t="s">
        <v>2405</v>
      </c>
    </row>
    <row r="39" spans="1:9">
      <c r="A39" s="95" t="s">
        <v>602</v>
      </c>
      <c r="B39" s="96" t="s">
        <v>2404</v>
      </c>
      <c r="C39" s="96" t="s">
        <v>1239</v>
      </c>
      <c r="D39" s="96" t="s">
        <v>2358</v>
      </c>
      <c r="E39" s="96" t="s">
        <v>2359</v>
      </c>
      <c r="F39" s="96" t="s">
        <v>2360</v>
      </c>
      <c r="G39" s="88">
        <v>-1214599786616</v>
      </c>
      <c r="H39" s="91">
        <v>-1214.5997866160001</v>
      </c>
      <c r="I39" s="100" t="s">
        <v>2405</v>
      </c>
    </row>
    <row r="40" spans="1:9">
      <c r="A40" s="95" t="s">
        <v>602</v>
      </c>
      <c r="B40" s="96" t="s">
        <v>2404</v>
      </c>
      <c r="C40" s="96" t="s">
        <v>1239</v>
      </c>
      <c r="D40" s="96" t="s">
        <v>2361</v>
      </c>
      <c r="E40" s="96" t="s">
        <v>2362</v>
      </c>
      <c r="F40" s="96" t="s">
        <v>2363</v>
      </c>
      <c r="G40" s="88">
        <v>1940204764365</v>
      </c>
      <c r="H40" s="91">
        <v>1940.2047643650001</v>
      </c>
      <c r="I40" s="100" t="s">
        <v>2405</v>
      </c>
    </row>
    <row r="41" spans="1:9">
      <c r="A41" s="95" t="s">
        <v>602</v>
      </c>
      <c r="B41" s="96" t="s">
        <v>2404</v>
      </c>
      <c r="C41" s="96" t="s">
        <v>1239</v>
      </c>
      <c r="D41" s="96" t="s">
        <v>2364</v>
      </c>
      <c r="E41" s="96" t="s">
        <v>2365</v>
      </c>
      <c r="F41" s="96" t="s">
        <v>2366</v>
      </c>
      <c r="G41" s="88">
        <v>12087549570</v>
      </c>
      <c r="H41" s="91">
        <v>12.08754957</v>
      </c>
      <c r="I41" s="100" t="s">
        <v>2405</v>
      </c>
    </row>
    <row r="42" spans="1:9">
      <c r="A42" s="95" t="s">
        <v>602</v>
      </c>
      <c r="B42" s="96" t="s">
        <v>2404</v>
      </c>
      <c r="C42" s="96" t="s">
        <v>1239</v>
      </c>
      <c r="D42" s="96" t="s">
        <v>1690</v>
      </c>
      <c r="E42" s="96" t="s">
        <v>2367</v>
      </c>
      <c r="F42" s="96" t="s">
        <v>2368</v>
      </c>
      <c r="G42" s="88">
        <v>-17630926715</v>
      </c>
      <c r="H42" s="91">
        <v>-17.630926715000001</v>
      </c>
      <c r="I42" s="100" t="s">
        <v>2405</v>
      </c>
    </row>
    <row r="43" spans="1:9">
      <c r="A43" s="95" t="s">
        <v>602</v>
      </c>
      <c r="B43" s="96" t="s">
        <v>2404</v>
      </c>
      <c r="C43" s="96" t="s">
        <v>1239</v>
      </c>
      <c r="D43" s="96" t="s">
        <v>2369</v>
      </c>
      <c r="E43" s="96" t="s">
        <v>2370</v>
      </c>
      <c r="F43" s="96" t="s">
        <v>2371</v>
      </c>
      <c r="G43" s="88">
        <v>-5543377145</v>
      </c>
      <c r="H43" s="91">
        <v>-5.543377145</v>
      </c>
      <c r="I43" s="100" t="s">
        <v>2405</v>
      </c>
    </row>
    <row r="44" spans="1:9">
      <c r="A44" s="95" t="s">
        <v>602</v>
      </c>
      <c r="B44" s="96" t="s">
        <v>2404</v>
      </c>
      <c r="C44" s="96" t="s">
        <v>1239</v>
      </c>
      <c r="D44" s="96" t="s">
        <v>2372</v>
      </c>
      <c r="E44" s="96" t="s">
        <v>2373</v>
      </c>
      <c r="F44" s="96" t="s">
        <v>2374</v>
      </c>
      <c r="G44" s="88">
        <v>0</v>
      </c>
      <c r="H44" s="91">
        <v>0</v>
      </c>
      <c r="I44" s="100" t="s">
        <v>2405</v>
      </c>
    </row>
    <row r="45" spans="1:9">
      <c r="A45" s="95" t="s">
        <v>602</v>
      </c>
      <c r="B45" s="96" t="s">
        <v>2404</v>
      </c>
      <c r="C45" s="96" t="s">
        <v>1239</v>
      </c>
      <c r="D45" s="96" t="s">
        <v>2375</v>
      </c>
      <c r="E45" s="96" t="s">
        <v>2376</v>
      </c>
      <c r="F45" s="96" t="s">
        <v>2377</v>
      </c>
      <c r="G45" s="88">
        <v>1934661387220</v>
      </c>
      <c r="H45" s="91">
        <v>1934.6613872200001</v>
      </c>
      <c r="I45" s="100" t="s">
        <v>2405</v>
      </c>
    </row>
    <row r="46" spans="1:9">
      <c r="A46" s="95" t="s">
        <v>602</v>
      </c>
      <c r="B46" s="96" t="s">
        <v>2404</v>
      </c>
      <c r="C46" s="96" t="s">
        <v>1239</v>
      </c>
      <c r="D46" s="96" t="s">
        <v>2378</v>
      </c>
      <c r="E46" s="96" t="s">
        <v>2379</v>
      </c>
      <c r="F46" s="96" t="s">
        <v>2380</v>
      </c>
      <c r="G46" s="88">
        <v>-397722415583</v>
      </c>
      <c r="H46" s="91">
        <v>-397.72241558299999</v>
      </c>
      <c r="I46" s="100" t="s">
        <v>2405</v>
      </c>
    </row>
    <row r="47" spans="1:9">
      <c r="A47" s="95" t="s">
        <v>602</v>
      </c>
      <c r="B47" s="96" t="s">
        <v>2404</v>
      </c>
      <c r="C47" s="96" t="s">
        <v>1239</v>
      </c>
      <c r="D47" s="96" t="s">
        <v>2381</v>
      </c>
      <c r="E47" s="96" t="s">
        <v>2382</v>
      </c>
      <c r="F47" s="96" t="s">
        <v>2383</v>
      </c>
      <c r="G47" s="88">
        <v>10894797039</v>
      </c>
      <c r="H47" s="91">
        <v>10.894797039</v>
      </c>
      <c r="I47" s="100" t="s">
        <v>2405</v>
      </c>
    </row>
    <row r="48" spans="1:9">
      <c r="A48" s="95" t="s">
        <v>602</v>
      </c>
      <c r="B48" s="96" t="s">
        <v>2404</v>
      </c>
      <c r="C48" s="96" t="s">
        <v>1239</v>
      </c>
      <c r="D48" s="96" t="s">
        <v>2384</v>
      </c>
      <c r="E48" s="96" t="s">
        <v>2385</v>
      </c>
      <c r="F48" s="96" t="s">
        <v>2386</v>
      </c>
      <c r="G48" s="88">
        <v>-386827618544</v>
      </c>
      <c r="H48" s="91">
        <v>-386.82761854400002</v>
      </c>
      <c r="I48" s="100" t="s">
        <v>2405</v>
      </c>
    </row>
    <row r="49" spans="1:9">
      <c r="A49" s="95" t="s">
        <v>602</v>
      </c>
      <c r="B49" s="96" t="s">
        <v>2404</v>
      </c>
      <c r="C49" s="96" t="s">
        <v>1239</v>
      </c>
      <c r="D49" s="96" t="s">
        <v>2387</v>
      </c>
      <c r="E49" s="96" t="s">
        <v>2388</v>
      </c>
      <c r="F49" s="96" t="s">
        <v>2389</v>
      </c>
      <c r="G49" s="88">
        <v>1547833768676</v>
      </c>
      <c r="H49" s="91">
        <v>1547.8337686760001</v>
      </c>
      <c r="I49" s="100" t="s">
        <v>2405</v>
      </c>
    </row>
    <row r="50" spans="1:9">
      <c r="A50" s="95" t="s">
        <v>602</v>
      </c>
      <c r="B50" s="96" t="s">
        <v>2404</v>
      </c>
      <c r="C50" s="96" t="s">
        <v>1239</v>
      </c>
      <c r="D50" s="96" t="s">
        <v>2390</v>
      </c>
      <c r="E50" s="96" t="s">
        <v>2391</v>
      </c>
      <c r="F50" s="96" t="s">
        <v>1631</v>
      </c>
      <c r="G50" s="88">
        <v>1896677735</v>
      </c>
      <c r="H50" s="91">
        <v>1.8966777349999999</v>
      </c>
      <c r="I50" s="100" t="s">
        <v>2405</v>
      </c>
    </row>
    <row r="51" spans="1:9">
      <c r="A51" s="95" t="s">
        <v>602</v>
      </c>
      <c r="B51" s="96" t="s">
        <v>2404</v>
      </c>
      <c r="C51" s="96" t="s">
        <v>1239</v>
      </c>
      <c r="D51" s="96" t="s">
        <v>2392</v>
      </c>
      <c r="E51" s="96" t="s">
        <v>2393</v>
      </c>
      <c r="F51" s="96" t="s">
        <v>2394</v>
      </c>
      <c r="G51" s="88">
        <v>1545937090941</v>
      </c>
      <c r="H51" s="91">
        <v>1545.937090941</v>
      </c>
      <c r="I51" s="100" t="s">
        <v>2405</v>
      </c>
    </row>
    <row r="52" spans="1:9">
      <c r="A52" s="95" t="s">
        <v>602</v>
      </c>
      <c r="B52" s="96" t="s">
        <v>2404</v>
      </c>
      <c r="C52" s="96" t="s">
        <v>1239</v>
      </c>
      <c r="D52" s="96" t="s">
        <v>2395</v>
      </c>
      <c r="E52" s="96" t="s">
        <v>2396</v>
      </c>
      <c r="F52" s="96" t="s">
        <v>2397</v>
      </c>
      <c r="G52" s="88">
        <v>1058</v>
      </c>
      <c r="H52" s="91">
        <v>1.0580000000000001E-6</v>
      </c>
      <c r="I52" s="100" t="s">
        <v>2405</v>
      </c>
    </row>
    <row r="53" spans="1:9">
      <c r="A53" s="95" t="s">
        <v>602</v>
      </c>
      <c r="B53" s="96" t="s">
        <v>2404</v>
      </c>
      <c r="C53" s="96" t="s">
        <v>1239</v>
      </c>
      <c r="D53" s="96" t="s">
        <v>2398</v>
      </c>
      <c r="E53" s="96" t="s">
        <v>2399</v>
      </c>
      <c r="F53" s="96" t="s">
        <v>2400</v>
      </c>
      <c r="G53" s="88">
        <v>1058</v>
      </c>
      <c r="H53" s="91">
        <v>1.0580000000000001E-6</v>
      </c>
      <c r="I53" s="100" t="s">
        <v>2405</v>
      </c>
    </row>
    <row r="54" spans="1:9">
      <c r="A54" s="95" t="s">
        <v>602</v>
      </c>
      <c r="B54" s="96" t="s">
        <v>2404</v>
      </c>
      <c r="C54" s="96" t="s">
        <v>1239</v>
      </c>
      <c r="D54" s="96" t="s">
        <v>2401</v>
      </c>
      <c r="E54" s="96" t="s">
        <v>2402</v>
      </c>
      <c r="F54" s="96" t="s">
        <v>2403</v>
      </c>
      <c r="G54" s="88">
        <v>3129774300</v>
      </c>
      <c r="H54" s="91">
        <v>3.1297742999999998</v>
      </c>
      <c r="I54" s="100" t="s">
        <v>2405</v>
      </c>
    </row>
    <row r="55" spans="1:9">
      <c r="A55" s="95" t="s">
        <v>602</v>
      </c>
      <c r="B55" s="96" t="s">
        <v>1034</v>
      </c>
      <c r="C55" s="96" t="s">
        <v>1239</v>
      </c>
      <c r="D55" s="96" t="s">
        <v>2334</v>
      </c>
      <c r="E55" s="96" t="s">
        <v>2335</v>
      </c>
      <c r="F55" s="96" t="s">
        <v>2336</v>
      </c>
      <c r="G55" s="88">
        <v>46709163270992</v>
      </c>
      <c r="H55" s="91">
        <v>46709.163270992001</v>
      </c>
      <c r="I55" s="100" t="s">
        <v>2405</v>
      </c>
    </row>
    <row r="56" spans="1:9">
      <c r="A56" s="95" t="s">
        <v>602</v>
      </c>
      <c r="B56" s="96" t="s">
        <v>1034</v>
      </c>
      <c r="C56" s="96" t="s">
        <v>1239</v>
      </c>
      <c r="D56" s="96" t="s">
        <v>2338</v>
      </c>
      <c r="E56" s="96" t="s">
        <v>2339</v>
      </c>
      <c r="F56" s="96" t="s">
        <v>2340</v>
      </c>
      <c r="G56" s="88">
        <v>-247211244219</v>
      </c>
      <c r="H56" s="91">
        <v>-247.21124421900001</v>
      </c>
      <c r="I56" s="100" t="s">
        <v>2405</v>
      </c>
    </row>
    <row r="57" spans="1:9">
      <c r="A57" s="95" t="s">
        <v>602</v>
      </c>
      <c r="B57" s="96" t="s">
        <v>1034</v>
      </c>
      <c r="C57" s="96" t="s">
        <v>1239</v>
      </c>
      <c r="D57" s="96" t="s">
        <v>2341</v>
      </c>
      <c r="E57" s="96" t="s">
        <v>2342</v>
      </c>
      <c r="F57" s="96" t="s">
        <v>2343</v>
      </c>
      <c r="G57" s="88">
        <v>46461952026773</v>
      </c>
      <c r="H57" s="91">
        <v>46461.952026772997</v>
      </c>
      <c r="I57" s="100" t="s">
        <v>2405</v>
      </c>
    </row>
    <row r="58" spans="1:9">
      <c r="A58" s="95" t="s">
        <v>602</v>
      </c>
      <c r="B58" s="96" t="s">
        <v>1034</v>
      </c>
      <c r="C58" s="96" t="s">
        <v>1239</v>
      </c>
      <c r="D58" s="96" t="s">
        <v>2344</v>
      </c>
      <c r="E58" s="96" t="s">
        <v>2345</v>
      </c>
      <c r="F58" s="96" t="s">
        <v>2346</v>
      </c>
      <c r="G58" s="88">
        <v>-36751850587457</v>
      </c>
      <c r="H58" s="91">
        <v>-36751.850587456996</v>
      </c>
      <c r="I58" s="100" t="s">
        <v>2405</v>
      </c>
    </row>
    <row r="59" spans="1:9">
      <c r="A59" s="95" t="s">
        <v>602</v>
      </c>
      <c r="B59" s="96" t="s">
        <v>1034</v>
      </c>
      <c r="C59" s="96" t="s">
        <v>1239</v>
      </c>
      <c r="D59" s="96" t="s">
        <v>21</v>
      </c>
      <c r="E59" s="96" t="s">
        <v>20</v>
      </c>
      <c r="F59" s="96" t="s">
        <v>2347</v>
      </c>
      <c r="G59" s="88">
        <v>9710101439316</v>
      </c>
      <c r="H59" s="91">
        <v>9710.1014393160003</v>
      </c>
      <c r="I59" s="100" t="s">
        <v>2405</v>
      </c>
    </row>
    <row r="60" spans="1:9">
      <c r="A60" s="95" t="s">
        <v>602</v>
      </c>
      <c r="B60" s="96" t="s">
        <v>1034</v>
      </c>
      <c r="C60" s="96" t="s">
        <v>1239</v>
      </c>
      <c r="D60" s="96" t="s">
        <v>26</v>
      </c>
      <c r="E60" s="96" t="s">
        <v>2348</v>
      </c>
      <c r="F60" s="96" t="s">
        <v>2349</v>
      </c>
      <c r="G60" s="88">
        <v>857866587527</v>
      </c>
      <c r="H60" s="91">
        <v>857.86658752699998</v>
      </c>
      <c r="I60" s="100" t="s">
        <v>2405</v>
      </c>
    </row>
    <row r="61" spans="1:9">
      <c r="A61" s="95" t="s">
        <v>602</v>
      </c>
      <c r="B61" s="96" t="s">
        <v>1034</v>
      </c>
      <c r="C61" s="96" t="s">
        <v>1239</v>
      </c>
      <c r="D61" s="96" t="s">
        <v>2350</v>
      </c>
      <c r="E61" s="96" t="s">
        <v>2351</v>
      </c>
      <c r="F61" s="96" t="s">
        <v>2352</v>
      </c>
      <c r="G61" s="88">
        <v>-421767358286</v>
      </c>
      <c r="H61" s="91">
        <v>-421.76735828599999</v>
      </c>
      <c r="I61" s="100" t="s">
        <v>2405</v>
      </c>
    </row>
    <row r="62" spans="1:9">
      <c r="A62" s="95" t="s">
        <v>602</v>
      </c>
      <c r="B62" s="96" t="s">
        <v>1034</v>
      </c>
      <c r="C62" s="96" t="s">
        <v>1239</v>
      </c>
      <c r="D62" s="96" t="s">
        <v>2353</v>
      </c>
      <c r="E62" s="96" t="s">
        <v>2354</v>
      </c>
      <c r="F62" s="96" t="s">
        <v>2355</v>
      </c>
      <c r="G62" s="88">
        <v>-415448904085</v>
      </c>
      <c r="H62" s="91">
        <v>-415.44890408499998</v>
      </c>
      <c r="I62" s="100" t="s">
        <v>2405</v>
      </c>
    </row>
    <row r="63" spans="1:9">
      <c r="A63" s="95" t="s">
        <v>602</v>
      </c>
      <c r="B63" s="96" t="s">
        <v>1034</v>
      </c>
      <c r="C63" s="96" t="s">
        <v>1239</v>
      </c>
      <c r="D63" s="96" t="s">
        <v>32</v>
      </c>
      <c r="E63" s="96" t="s">
        <v>2356</v>
      </c>
      <c r="F63" s="96" t="s">
        <v>2357</v>
      </c>
      <c r="G63" s="88">
        <v>-5284908877085</v>
      </c>
      <c r="H63" s="91">
        <v>-5284.9088770850003</v>
      </c>
      <c r="I63" s="100" t="s">
        <v>2405</v>
      </c>
    </row>
    <row r="64" spans="1:9">
      <c r="A64" s="95" t="s">
        <v>602</v>
      </c>
      <c r="B64" s="96" t="s">
        <v>1034</v>
      </c>
      <c r="C64" s="96" t="s">
        <v>1239</v>
      </c>
      <c r="D64" s="96" t="s">
        <v>2358</v>
      </c>
      <c r="E64" s="96" t="s">
        <v>2359</v>
      </c>
      <c r="F64" s="96" t="s">
        <v>2360</v>
      </c>
      <c r="G64" s="88">
        <v>-1523180115533</v>
      </c>
      <c r="H64" s="91">
        <v>-1523.1801155329999</v>
      </c>
      <c r="I64" s="100" t="s">
        <v>2405</v>
      </c>
    </row>
    <row r="65" spans="1:9">
      <c r="A65" s="95" t="s">
        <v>602</v>
      </c>
      <c r="B65" s="96" t="s">
        <v>1034</v>
      </c>
      <c r="C65" s="96" t="s">
        <v>1239</v>
      </c>
      <c r="D65" s="96" t="s">
        <v>2361</v>
      </c>
      <c r="E65" s="96" t="s">
        <v>2362</v>
      </c>
      <c r="F65" s="96" t="s">
        <v>2363</v>
      </c>
      <c r="G65" s="88">
        <v>3347123417867</v>
      </c>
      <c r="H65" s="91">
        <v>3347.1234178670002</v>
      </c>
      <c r="I65" s="100" t="s">
        <v>2405</v>
      </c>
    </row>
    <row r="66" spans="1:9">
      <c r="A66" s="95" t="s">
        <v>602</v>
      </c>
      <c r="B66" s="96" t="s">
        <v>1034</v>
      </c>
      <c r="C66" s="96" t="s">
        <v>1239</v>
      </c>
      <c r="D66" s="96" t="s">
        <v>2364</v>
      </c>
      <c r="E66" s="96" t="s">
        <v>2365</v>
      </c>
      <c r="F66" s="96" t="s">
        <v>2366</v>
      </c>
      <c r="G66" s="88">
        <v>12428594028</v>
      </c>
      <c r="H66" s="91">
        <v>12.428594027999999</v>
      </c>
      <c r="I66" s="100" t="s">
        <v>2405</v>
      </c>
    </row>
    <row r="67" spans="1:9">
      <c r="A67" s="95" t="s">
        <v>602</v>
      </c>
      <c r="B67" s="96" t="s">
        <v>1034</v>
      </c>
      <c r="C67" s="96" t="s">
        <v>1239</v>
      </c>
      <c r="D67" s="96" t="s">
        <v>1690</v>
      </c>
      <c r="E67" s="96" t="s">
        <v>2367</v>
      </c>
      <c r="F67" s="96" t="s">
        <v>2368</v>
      </c>
      <c r="G67" s="88">
        <v>-31967712004</v>
      </c>
      <c r="H67" s="91">
        <v>-31.967712003999999</v>
      </c>
      <c r="I67" s="100" t="s">
        <v>2405</v>
      </c>
    </row>
    <row r="68" spans="1:9">
      <c r="A68" s="95" t="s">
        <v>602</v>
      </c>
      <c r="B68" s="96" t="s">
        <v>1034</v>
      </c>
      <c r="C68" s="96" t="s">
        <v>1239</v>
      </c>
      <c r="D68" s="96" t="s">
        <v>2369</v>
      </c>
      <c r="E68" s="96" t="s">
        <v>2370</v>
      </c>
      <c r="F68" s="96" t="s">
        <v>2371</v>
      </c>
      <c r="G68" s="88">
        <v>-19539117976</v>
      </c>
      <c r="H68" s="91">
        <v>-19.539117976</v>
      </c>
      <c r="I68" s="100" t="s">
        <v>2405</v>
      </c>
    </row>
    <row r="69" spans="1:9">
      <c r="A69" s="95" t="s">
        <v>602</v>
      </c>
      <c r="B69" s="96" t="s">
        <v>1034</v>
      </c>
      <c r="C69" s="96" t="s">
        <v>1239</v>
      </c>
      <c r="D69" s="96" t="s">
        <v>2372</v>
      </c>
      <c r="E69" s="96" t="s">
        <v>2373</v>
      </c>
      <c r="F69" s="96" t="s">
        <v>2374</v>
      </c>
      <c r="G69" s="88">
        <v>0</v>
      </c>
      <c r="H69" s="91">
        <v>0</v>
      </c>
      <c r="I69" s="100" t="s">
        <v>2405</v>
      </c>
    </row>
    <row r="70" spans="1:9">
      <c r="A70" s="95" t="s">
        <v>602</v>
      </c>
      <c r="B70" s="96" t="s">
        <v>1034</v>
      </c>
      <c r="C70" s="96" t="s">
        <v>1239</v>
      </c>
      <c r="D70" s="96" t="s">
        <v>2375</v>
      </c>
      <c r="E70" s="96" t="s">
        <v>2376</v>
      </c>
      <c r="F70" s="96" t="s">
        <v>2377</v>
      </c>
      <c r="G70" s="88">
        <v>3327584299891</v>
      </c>
      <c r="H70" s="91">
        <v>3327.5842998909998</v>
      </c>
      <c r="I70" s="100" t="s">
        <v>2405</v>
      </c>
    </row>
    <row r="71" spans="1:9">
      <c r="A71" s="95" t="s">
        <v>602</v>
      </c>
      <c r="B71" s="96" t="s">
        <v>1034</v>
      </c>
      <c r="C71" s="96" t="s">
        <v>1239</v>
      </c>
      <c r="D71" s="96" t="s">
        <v>2378</v>
      </c>
      <c r="E71" s="96" t="s">
        <v>2379</v>
      </c>
      <c r="F71" s="96" t="s">
        <v>2380</v>
      </c>
      <c r="G71" s="88">
        <v>-797012204332</v>
      </c>
      <c r="H71" s="91">
        <v>-797.01220433200001</v>
      </c>
      <c r="I71" s="100" t="s">
        <v>2405</v>
      </c>
    </row>
    <row r="72" spans="1:9">
      <c r="A72" s="95" t="s">
        <v>602</v>
      </c>
      <c r="B72" s="96" t="s">
        <v>1034</v>
      </c>
      <c r="C72" s="96" t="s">
        <v>1239</v>
      </c>
      <c r="D72" s="96" t="s">
        <v>2381</v>
      </c>
      <c r="E72" s="96" t="s">
        <v>2382</v>
      </c>
      <c r="F72" s="96" t="s">
        <v>2383</v>
      </c>
      <c r="G72" s="88">
        <v>226984924968</v>
      </c>
      <c r="H72" s="91">
        <v>226.984924968</v>
      </c>
      <c r="I72" s="100" t="s">
        <v>2405</v>
      </c>
    </row>
    <row r="73" spans="1:9">
      <c r="A73" s="95" t="s">
        <v>602</v>
      </c>
      <c r="B73" s="96" t="s">
        <v>1034</v>
      </c>
      <c r="C73" s="96" t="s">
        <v>1239</v>
      </c>
      <c r="D73" s="96" t="s">
        <v>2384</v>
      </c>
      <c r="E73" s="96" t="s">
        <v>2385</v>
      </c>
      <c r="F73" s="96" t="s">
        <v>2386</v>
      </c>
      <c r="G73" s="88">
        <v>-570027279364</v>
      </c>
      <c r="H73" s="91">
        <v>-570.02727936400004</v>
      </c>
      <c r="I73" s="100" t="s">
        <v>2405</v>
      </c>
    </row>
    <row r="74" spans="1:9">
      <c r="A74" s="95" t="s">
        <v>602</v>
      </c>
      <c r="B74" s="96" t="s">
        <v>1034</v>
      </c>
      <c r="C74" s="96" t="s">
        <v>1239</v>
      </c>
      <c r="D74" s="96" t="s">
        <v>2387</v>
      </c>
      <c r="E74" s="96" t="s">
        <v>2388</v>
      </c>
      <c r="F74" s="96" t="s">
        <v>2389</v>
      </c>
      <c r="G74" s="88">
        <v>2757557020527</v>
      </c>
      <c r="H74" s="91">
        <v>2757.5570205270001</v>
      </c>
      <c r="I74" s="100" t="s">
        <v>2405</v>
      </c>
    </row>
    <row r="75" spans="1:9">
      <c r="A75" s="95" t="s">
        <v>602</v>
      </c>
      <c r="B75" s="96" t="s">
        <v>1034</v>
      </c>
      <c r="C75" s="96" t="s">
        <v>1239</v>
      </c>
      <c r="D75" s="96" t="s">
        <v>2390</v>
      </c>
      <c r="E75" s="96" t="s">
        <v>2391</v>
      </c>
      <c r="F75" s="96" t="s">
        <v>1631</v>
      </c>
      <c r="G75" s="88">
        <v>43126168421</v>
      </c>
      <c r="H75" s="91">
        <v>43.126168421000003</v>
      </c>
      <c r="I75" s="100" t="s">
        <v>2405</v>
      </c>
    </row>
    <row r="76" spans="1:9">
      <c r="A76" s="95" t="s">
        <v>602</v>
      </c>
      <c r="B76" s="96" t="s">
        <v>1034</v>
      </c>
      <c r="C76" s="96" t="s">
        <v>1239</v>
      </c>
      <c r="D76" s="96" t="s">
        <v>2392</v>
      </c>
      <c r="E76" s="96" t="s">
        <v>2393</v>
      </c>
      <c r="F76" s="96" t="s">
        <v>2394</v>
      </c>
      <c r="G76" s="88">
        <v>2714430852106</v>
      </c>
      <c r="H76" s="91">
        <v>2714.4308521060002</v>
      </c>
      <c r="I76" s="100" t="s">
        <v>2405</v>
      </c>
    </row>
    <row r="77" spans="1:9">
      <c r="A77" s="95" t="s">
        <v>602</v>
      </c>
      <c r="B77" s="96" t="s">
        <v>1034</v>
      </c>
      <c r="C77" s="96" t="s">
        <v>1239</v>
      </c>
      <c r="D77" s="96" t="s">
        <v>2395</v>
      </c>
      <c r="E77" s="96" t="s">
        <v>2396</v>
      </c>
      <c r="F77" s="96" t="s">
        <v>2397</v>
      </c>
      <c r="G77" s="88">
        <v>1849</v>
      </c>
      <c r="H77" s="91">
        <v>1.849E-6</v>
      </c>
      <c r="I77" s="100" t="s">
        <v>2405</v>
      </c>
    </row>
    <row r="78" spans="1:9">
      <c r="A78" s="95" t="s">
        <v>602</v>
      </c>
      <c r="B78" s="96" t="s">
        <v>1034</v>
      </c>
      <c r="C78" s="96" t="s">
        <v>1239</v>
      </c>
      <c r="D78" s="96" t="s">
        <v>2398</v>
      </c>
      <c r="E78" s="96" t="s">
        <v>2399</v>
      </c>
      <c r="F78" s="96" t="s">
        <v>2400</v>
      </c>
      <c r="G78" s="88">
        <v>1849</v>
      </c>
      <c r="H78" s="91">
        <v>1.849E-6</v>
      </c>
      <c r="I78" s="100" t="s">
        <v>2405</v>
      </c>
    </row>
    <row r="79" spans="1:9">
      <c r="A79" s="95" t="s">
        <v>602</v>
      </c>
      <c r="B79" s="96" t="s">
        <v>1034</v>
      </c>
      <c r="C79" s="96" t="s">
        <v>1239</v>
      </c>
      <c r="D79" s="96" t="s">
        <v>2401</v>
      </c>
      <c r="E79" s="96" t="s">
        <v>2402</v>
      </c>
      <c r="F79" s="96" t="s">
        <v>2403</v>
      </c>
      <c r="G79" s="88">
        <v>9011741928</v>
      </c>
      <c r="H79" s="91">
        <v>9.0117419279999993</v>
      </c>
      <c r="I79" s="100" t="s">
        <v>2405</v>
      </c>
    </row>
    <row r="80" spans="1:9">
      <c r="A80" s="95" t="s">
        <v>2406</v>
      </c>
      <c r="B80" s="96" t="s">
        <v>2333</v>
      </c>
      <c r="C80" s="96" t="s">
        <v>1239</v>
      </c>
      <c r="D80" s="96" t="s">
        <v>2334</v>
      </c>
      <c r="E80" s="96" t="s">
        <v>2335</v>
      </c>
      <c r="F80" s="96" t="s">
        <v>2336</v>
      </c>
      <c r="G80" s="88">
        <v>51232049640567</v>
      </c>
      <c r="H80" s="91">
        <v>51232.049640566998</v>
      </c>
      <c r="I80" s="100" t="s">
        <v>2337</v>
      </c>
    </row>
    <row r="81" spans="1:9">
      <c r="A81" s="95" t="s">
        <v>2406</v>
      </c>
      <c r="B81" s="96" t="s">
        <v>2333</v>
      </c>
      <c r="C81" s="96" t="s">
        <v>1239</v>
      </c>
      <c r="D81" s="96" t="s">
        <v>2338</v>
      </c>
      <c r="E81" s="96" t="s">
        <v>2339</v>
      </c>
      <c r="F81" s="96" t="s">
        <v>2340</v>
      </c>
      <c r="G81" s="88">
        <v>-149181195799</v>
      </c>
      <c r="H81" s="91">
        <v>-149.18119579899999</v>
      </c>
      <c r="I81" s="100" t="s">
        <v>2337</v>
      </c>
    </row>
    <row r="82" spans="1:9">
      <c r="A82" s="95" t="s">
        <v>2406</v>
      </c>
      <c r="B82" s="96" t="s">
        <v>2333</v>
      </c>
      <c r="C82" s="96" t="s">
        <v>1239</v>
      </c>
      <c r="D82" s="96" t="s">
        <v>2341</v>
      </c>
      <c r="E82" s="96" t="s">
        <v>2342</v>
      </c>
      <c r="F82" s="96" t="s">
        <v>2343</v>
      </c>
      <c r="G82" s="88">
        <v>51082868444768</v>
      </c>
      <c r="H82" s="91">
        <v>51082.868444767999</v>
      </c>
      <c r="I82" s="100" t="s">
        <v>2337</v>
      </c>
    </row>
    <row r="83" spans="1:9">
      <c r="A83" s="95" t="s">
        <v>2406</v>
      </c>
      <c r="B83" s="96" t="s">
        <v>2333</v>
      </c>
      <c r="C83" s="96" t="s">
        <v>1239</v>
      </c>
      <c r="D83" s="96" t="s">
        <v>2344</v>
      </c>
      <c r="E83" s="96" t="s">
        <v>2345</v>
      </c>
      <c r="F83" s="96" t="s">
        <v>2346</v>
      </c>
      <c r="G83" s="88">
        <v>-41073163986683</v>
      </c>
      <c r="H83" s="91">
        <v>-41073.163986683001</v>
      </c>
      <c r="I83" s="100" t="s">
        <v>2337</v>
      </c>
    </row>
    <row r="84" spans="1:9">
      <c r="A84" s="95" t="s">
        <v>2406</v>
      </c>
      <c r="B84" s="96" t="s">
        <v>2333</v>
      </c>
      <c r="C84" s="96" t="s">
        <v>1239</v>
      </c>
      <c r="D84" s="96" t="s">
        <v>21</v>
      </c>
      <c r="E84" s="96" t="s">
        <v>20</v>
      </c>
      <c r="F84" s="96" t="s">
        <v>2347</v>
      </c>
      <c r="G84" s="88">
        <v>10009704458085</v>
      </c>
      <c r="H84" s="91">
        <v>10009.704458085</v>
      </c>
      <c r="I84" s="100" t="s">
        <v>2337</v>
      </c>
    </row>
    <row r="85" spans="1:9">
      <c r="A85" s="95" t="s">
        <v>2406</v>
      </c>
      <c r="B85" s="96" t="s">
        <v>2333</v>
      </c>
      <c r="C85" s="96" t="s">
        <v>1239</v>
      </c>
      <c r="D85" s="96" t="s">
        <v>26</v>
      </c>
      <c r="E85" s="96" t="s">
        <v>2348</v>
      </c>
      <c r="F85" s="96" t="s">
        <v>2349</v>
      </c>
      <c r="G85" s="88">
        <v>287764741779</v>
      </c>
      <c r="H85" s="91">
        <v>287.76474177900002</v>
      </c>
      <c r="I85" s="100" t="s">
        <v>2337</v>
      </c>
    </row>
    <row r="86" spans="1:9">
      <c r="A86" s="95" t="s">
        <v>2406</v>
      </c>
      <c r="B86" s="96" t="s">
        <v>2333</v>
      </c>
      <c r="C86" s="96" t="s">
        <v>1239</v>
      </c>
      <c r="D86" s="96" t="s">
        <v>2350</v>
      </c>
      <c r="E86" s="96" t="s">
        <v>2351</v>
      </c>
      <c r="F86" s="96" t="s">
        <v>2352</v>
      </c>
      <c r="G86" s="88">
        <v>-388683187751</v>
      </c>
      <c r="H86" s="91">
        <v>-388.68318775099999</v>
      </c>
      <c r="I86" s="100" t="s">
        <v>2337</v>
      </c>
    </row>
    <row r="87" spans="1:9">
      <c r="A87" s="95" t="s">
        <v>2406</v>
      </c>
      <c r="B87" s="96" t="s">
        <v>2333</v>
      </c>
      <c r="C87" s="96" t="s">
        <v>1239</v>
      </c>
      <c r="D87" s="96" t="s">
        <v>2353</v>
      </c>
      <c r="E87" s="96" t="s">
        <v>2354</v>
      </c>
      <c r="F87" s="96" t="s">
        <v>2355</v>
      </c>
      <c r="G87" s="88">
        <v>-388595922369</v>
      </c>
      <c r="H87" s="91">
        <v>-388.59592236899999</v>
      </c>
      <c r="I87" s="100" t="s">
        <v>2337</v>
      </c>
    </row>
    <row r="88" spans="1:9">
      <c r="A88" s="95" t="s">
        <v>2406</v>
      </c>
      <c r="B88" s="96" t="s">
        <v>2333</v>
      </c>
      <c r="C88" s="96" t="s">
        <v>1239</v>
      </c>
      <c r="D88" s="96" t="s">
        <v>32</v>
      </c>
      <c r="E88" s="96" t="s">
        <v>2356</v>
      </c>
      <c r="F88" s="96" t="s">
        <v>2357</v>
      </c>
      <c r="G88" s="88">
        <v>-7018206246026</v>
      </c>
      <c r="H88" s="91">
        <v>-7018.2062460260004</v>
      </c>
      <c r="I88" s="100" t="s">
        <v>2337</v>
      </c>
    </row>
    <row r="89" spans="1:9">
      <c r="A89" s="95" t="s">
        <v>2406</v>
      </c>
      <c r="B89" s="96" t="s">
        <v>2333</v>
      </c>
      <c r="C89" s="96" t="s">
        <v>1239</v>
      </c>
      <c r="D89" s="96" t="s">
        <v>2358</v>
      </c>
      <c r="E89" s="96" t="s">
        <v>2359</v>
      </c>
      <c r="F89" s="96" t="s">
        <v>2360</v>
      </c>
      <c r="G89" s="88">
        <v>-1677744619772</v>
      </c>
      <c r="H89" s="91">
        <v>-1677.7446197720001</v>
      </c>
      <c r="I89" s="100" t="s">
        <v>2337</v>
      </c>
    </row>
    <row r="90" spans="1:9">
      <c r="A90" s="95" t="s">
        <v>2406</v>
      </c>
      <c r="B90" s="96" t="s">
        <v>2333</v>
      </c>
      <c r="C90" s="96" t="s">
        <v>1239</v>
      </c>
      <c r="D90" s="96" t="s">
        <v>2361</v>
      </c>
      <c r="E90" s="96" t="s">
        <v>2362</v>
      </c>
      <c r="F90" s="96" t="s">
        <v>2363</v>
      </c>
      <c r="G90" s="88">
        <v>1212835146315</v>
      </c>
      <c r="H90" s="91">
        <v>1212.835146315</v>
      </c>
      <c r="I90" s="100" t="s">
        <v>2337</v>
      </c>
    </row>
    <row r="91" spans="1:9">
      <c r="A91" s="95" t="s">
        <v>2406</v>
      </c>
      <c r="B91" s="96" t="s">
        <v>2333</v>
      </c>
      <c r="C91" s="96" t="s">
        <v>1239</v>
      </c>
      <c r="D91" s="96" t="s">
        <v>2364</v>
      </c>
      <c r="E91" s="96" t="s">
        <v>2365</v>
      </c>
      <c r="F91" s="96" t="s">
        <v>2366</v>
      </c>
      <c r="G91" s="88">
        <v>29912692698</v>
      </c>
      <c r="H91" s="91">
        <v>29.912692698000001</v>
      </c>
      <c r="I91" s="100" t="s">
        <v>2337</v>
      </c>
    </row>
    <row r="92" spans="1:9">
      <c r="A92" s="95" t="s">
        <v>2406</v>
      </c>
      <c r="B92" s="96" t="s">
        <v>2333</v>
      </c>
      <c r="C92" s="96" t="s">
        <v>1239</v>
      </c>
      <c r="D92" s="96" t="s">
        <v>1690</v>
      </c>
      <c r="E92" s="96" t="s">
        <v>2367</v>
      </c>
      <c r="F92" s="96" t="s">
        <v>2368</v>
      </c>
      <c r="G92" s="88">
        <v>-23630336340</v>
      </c>
      <c r="H92" s="91">
        <v>-23.630336339999999</v>
      </c>
      <c r="I92" s="100" t="s">
        <v>2337</v>
      </c>
    </row>
    <row r="93" spans="1:9">
      <c r="A93" s="95" t="s">
        <v>2406</v>
      </c>
      <c r="B93" s="96" t="s">
        <v>2333</v>
      </c>
      <c r="C93" s="96" t="s">
        <v>1239</v>
      </c>
      <c r="D93" s="96" t="s">
        <v>2369</v>
      </c>
      <c r="E93" s="96" t="s">
        <v>2370</v>
      </c>
      <c r="F93" s="96" t="s">
        <v>2371</v>
      </c>
      <c r="G93" s="88">
        <v>6282356358</v>
      </c>
      <c r="H93" s="91">
        <v>6.2823563580000004</v>
      </c>
      <c r="I93" s="100" t="s">
        <v>2337</v>
      </c>
    </row>
    <row r="94" spans="1:9">
      <c r="A94" s="95" t="s">
        <v>2406</v>
      </c>
      <c r="B94" s="96" t="s">
        <v>2333</v>
      </c>
      <c r="C94" s="96" t="s">
        <v>1239</v>
      </c>
      <c r="D94" s="96" t="s">
        <v>2372</v>
      </c>
      <c r="E94" s="96" t="s">
        <v>2373</v>
      </c>
      <c r="F94" s="96" t="s">
        <v>2374</v>
      </c>
      <c r="G94" s="88">
        <v>0</v>
      </c>
      <c r="H94" s="91">
        <v>0</v>
      </c>
      <c r="I94" s="100" t="s">
        <v>2337</v>
      </c>
    </row>
    <row r="95" spans="1:9">
      <c r="A95" s="95" t="s">
        <v>2406</v>
      </c>
      <c r="B95" s="96" t="s">
        <v>2333</v>
      </c>
      <c r="C95" s="96" t="s">
        <v>1239</v>
      </c>
      <c r="D95" s="96" t="s">
        <v>2375</v>
      </c>
      <c r="E95" s="96" t="s">
        <v>2376</v>
      </c>
      <c r="F95" s="96" t="s">
        <v>2377</v>
      </c>
      <c r="G95" s="88">
        <v>1219117502673</v>
      </c>
      <c r="H95" s="91">
        <v>1219.117502673</v>
      </c>
      <c r="I95" s="100" t="s">
        <v>2337</v>
      </c>
    </row>
    <row r="96" spans="1:9">
      <c r="A96" s="95" t="s">
        <v>2406</v>
      </c>
      <c r="B96" s="96" t="s">
        <v>2333</v>
      </c>
      <c r="C96" s="96" t="s">
        <v>1239</v>
      </c>
      <c r="D96" s="96" t="s">
        <v>2378</v>
      </c>
      <c r="E96" s="96" t="s">
        <v>2379</v>
      </c>
      <c r="F96" s="96" t="s">
        <v>2380</v>
      </c>
      <c r="G96" s="88">
        <v>-234877775599</v>
      </c>
      <c r="H96" s="91">
        <v>-234.87777559899999</v>
      </c>
      <c r="I96" s="100" t="s">
        <v>2337</v>
      </c>
    </row>
    <row r="97" spans="1:9">
      <c r="A97" s="95" t="s">
        <v>2406</v>
      </c>
      <c r="B97" s="96" t="s">
        <v>2333</v>
      </c>
      <c r="C97" s="96" t="s">
        <v>1239</v>
      </c>
      <c r="D97" s="96" t="s">
        <v>2381</v>
      </c>
      <c r="E97" s="96" t="s">
        <v>2382</v>
      </c>
      <c r="F97" s="96" t="s">
        <v>2383</v>
      </c>
      <c r="G97" s="88">
        <v>0</v>
      </c>
      <c r="H97" s="91">
        <v>0</v>
      </c>
      <c r="I97" s="100" t="s">
        <v>2337</v>
      </c>
    </row>
    <row r="98" spans="1:9">
      <c r="A98" s="95" t="s">
        <v>2406</v>
      </c>
      <c r="B98" s="96" t="s">
        <v>2333</v>
      </c>
      <c r="C98" s="96" t="s">
        <v>1239</v>
      </c>
      <c r="D98" s="96" t="s">
        <v>2384</v>
      </c>
      <c r="E98" s="96" t="s">
        <v>2385</v>
      </c>
      <c r="F98" s="96" t="s">
        <v>2386</v>
      </c>
      <c r="G98" s="88">
        <v>-234877775599</v>
      </c>
      <c r="H98" s="91">
        <v>-234.87777559899999</v>
      </c>
      <c r="I98" s="100" t="s">
        <v>2337</v>
      </c>
    </row>
    <row r="99" spans="1:9">
      <c r="A99" s="95" t="s">
        <v>2406</v>
      </c>
      <c r="B99" s="96" t="s">
        <v>2333</v>
      </c>
      <c r="C99" s="96" t="s">
        <v>1239</v>
      </c>
      <c r="D99" s="96" t="s">
        <v>2387</v>
      </c>
      <c r="E99" s="96" t="s">
        <v>2388</v>
      </c>
      <c r="F99" s="96" t="s">
        <v>2389</v>
      </c>
      <c r="G99" s="88">
        <v>984239727074</v>
      </c>
      <c r="H99" s="91">
        <v>984.23972707400003</v>
      </c>
      <c r="I99" s="100" t="s">
        <v>2337</v>
      </c>
    </row>
    <row r="100" spans="1:9">
      <c r="A100" s="95" t="s">
        <v>2406</v>
      </c>
      <c r="B100" s="96" t="s">
        <v>2333</v>
      </c>
      <c r="C100" s="96" t="s">
        <v>1239</v>
      </c>
      <c r="D100" s="96" t="s">
        <v>2390</v>
      </c>
      <c r="E100" s="96" t="s">
        <v>2391</v>
      </c>
      <c r="F100" s="96" t="s">
        <v>1631</v>
      </c>
      <c r="G100" s="88">
        <v>189374783523</v>
      </c>
      <c r="H100" s="91">
        <v>189.37478352299999</v>
      </c>
      <c r="I100" s="100" t="s">
        <v>2337</v>
      </c>
    </row>
    <row r="101" spans="1:9">
      <c r="A101" s="95" t="s">
        <v>2406</v>
      </c>
      <c r="B101" s="96" t="s">
        <v>2333</v>
      </c>
      <c r="C101" s="96" t="s">
        <v>1239</v>
      </c>
      <c r="D101" s="96" t="s">
        <v>2392</v>
      </c>
      <c r="E101" s="96" t="s">
        <v>2393</v>
      </c>
      <c r="F101" s="96" t="s">
        <v>2394</v>
      </c>
      <c r="G101" s="88">
        <v>794864943551</v>
      </c>
      <c r="H101" s="91">
        <v>794.86494355100001</v>
      </c>
      <c r="I101" s="100" t="s">
        <v>2337</v>
      </c>
    </row>
    <row r="102" spans="1:9">
      <c r="A102" s="95" t="s">
        <v>2406</v>
      </c>
      <c r="B102" s="96" t="s">
        <v>2333</v>
      </c>
      <c r="C102" s="96" t="s">
        <v>1239</v>
      </c>
      <c r="D102" s="96" t="s">
        <v>2395</v>
      </c>
      <c r="E102" s="96" t="s">
        <v>2396</v>
      </c>
      <c r="F102" s="96" t="s">
        <v>2397</v>
      </c>
      <c r="G102" s="88">
        <v>4653</v>
      </c>
      <c r="H102" s="91">
        <v>4.6530000000000002E-6</v>
      </c>
      <c r="I102" s="100" t="s">
        <v>2337</v>
      </c>
    </row>
    <row r="103" spans="1:9">
      <c r="A103" s="95" t="s">
        <v>2406</v>
      </c>
      <c r="B103" s="96" t="s">
        <v>2333</v>
      </c>
      <c r="C103" s="96" t="s">
        <v>1239</v>
      </c>
      <c r="D103" s="96" t="s">
        <v>2398</v>
      </c>
      <c r="E103" s="96" t="s">
        <v>2399</v>
      </c>
      <c r="F103" s="96" t="s">
        <v>2400</v>
      </c>
      <c r="G103" s="88">
        <v>4653</v>
      </c>
      <c r="H103" s="91">
        <v>4.6530000000000002E-6</v>
      </c>
      <c r="I103" s="100" t="s">
        <v>2337</v>
      </c>
    </row>
    <row r="104" spans="1:9">
      <c r="A104" s="95" t="s">
        <v>2406</v>
      </c>
      <c r="B104" s="96" t="s">
        <v>2333</v>
      </c>
      <c r="C104" s="96" t="s">
        <v>1239</v>
      </c>
      <c r="D104" s="96" t="s">
        <v>2401</v>
      </c>
      <c r="E104" s="96" t="s">
        <v>2402</v>
      </c>
      <c r="F104" s="96" t="s">
        <v>2403</v>
      </c>
      <c r="G104" s="88">
        <v>0</v>
      </c>
      <c r="H104" s="91">
        <v>0</v>
      </c>
      <c r="I104" s="100" t="s">
        <v>2337</v>
      </c>
    </row>
    <row r="105" spans="1:9">
      <c r="A105" s="95" t="s">
        <v>2406</v>
      </c>
      <c r="B105" s="96" t="s">
        <v>2404</v>
      </c>
      <c r="C105" s="96" t="s">
        <v>1239</v>
      </c>
      <c r="D105" s="96" t="s">
        <v>2334</v>
      </c>
      <c r="E105" s="96" t="s">
        <v>2335</v>
      </c>
      <c r="F105" s="96" t="s">
        <v>2336</v>
      </c>
      <c r="G105" s="88">
        <v>11699603508367</v>
      </c>
      <c r="H105" s="91">
        <v>11699.603508366999</v>
      </c>
      <c r="I105" s="100" t="s">
        <v>2405</v>
      </c>
    </row>
    <row r="106" spans="1:9">
      <c r="A106" s="95" t="s">
        <v>2406</v>
      </c>
      <c r="B106" s="96" t="s">
        <v>2404</v>
      </c>
      <c r="C106" s="96" t="s">
        <v>1239</v>
      </c>
      <c r="D106" s="96" t="s">
        <v>2338</v>
      </c>
      <c r="E106" s="96" t="s">
        <v>2339</v>
      </c>
      <c r="F106" s="96" t="s">
        <v>2340</v>
      </c>
      <c r="G106" s="88">
        <v>-29758054020</v>
      </c>
      <c r="H106" s="91">
        <v>-29.758054019999999</v>
      </c>
      <c r="I106" s="100" t="s">
        <v>2405</v>
      </c>
    </row>
    <row r="107" spans="1:9">
      <c r="A107" s="95" t="s">
        <v>2406</v>
      </c>
      <c r="B107" s="96" t="s">
        <v>2404</v>
      </c>
      <c r="C107" s="96" t="s">
        <v>1239</v>
      </c>
      <c r="D107" s="96" t="s">
        <v>2341</v>
      </c>
      <c r="E107" s="96" t="s">
        <v>2342</v>
      </c>
      <c r="F107" s="96" t="s">
        <v>2343</v>
      </c>
      <c r="G107" s="88">
        <v>11669845454347</v>
      </c>
      <c r="H107" s="91">
        <v>11669.845454347</v>
      </c>
      <c r="I107" s="100" t="s">
        <v>2405</v>
      </c>
    </row>
    <row r="108" spans="1:9">
      <c r="A108" s="95" t="s">
        <v>2406</v>
      </c>
      <c r="B108" s="96" t="s">
        <v>2404</v>
      </c>
      <c r="C108" s="96" t="s">
        <v>1239</v>
      </c>
      <c r="D108" s="96" t="s">
        <v>2344</v>
      </c>
      <c r="E108" s="96" t="s">
        <v>2345</v>
      </c>
      <c r="F108" s="96" t="s">
        <v>2346</v>
      </c>
      <c r="G108" s="88">
        <v>-9345344170911</v>
      </c>
      <c r="H108" s="91">
        <v>-9345.3441709109993</v>
      </c>
      <c r="I108" s="100" t="s">
        <v>2405</v>
      </c>
    </row>
    <row r="109" spans="1:9">
      <c r="A109" s="95" t="s">
        <v>2406</v>
      </c>
      <c r="B109" s="96" t="s">
        <v>2404</v>
      </c>
      <c r="C109" s="96" t="s">
        <v>1239</v>
      </c>
      <c r="D109" s="96" t="s">
        <v>21</v>
      </c>
      <c r="E109" s="96" t="s">
        <v>20</v>
      </c>
      <c r="F109" s="96" t="s">
        <v>2347</v>
      </c>
      <c r="G109" s="88">
        <v>2324501283436</v>
      </c>
      <c r="H109" s="91">
        <v>2324.501283436</v>
      </c>
      <c r="I109" s="100" t="s">
        <v>2405</v>
      </c>
    </row>
    <row r="110" spans="1:9">
      <c r="A110" s="95" t="s">
        <v>2406</v>
      </c>
      <c r="B110" s="96" t="s">
        <v>2404</v>
      </c>
      <c r="C110" s="96" t="s">
        <v>1239</v>
      </c>
      <c r="D110" s="96" t="s">
        <v>26</v>
      </c>
      <c r="E110" s="96" t="s">
        <v>2348</v>
      </c>
      <c r="F110" s="96" t="s">
        <v>2349</v>
      </c>
      <c r="G110" s="88">
        <v>37867028926</v>
      </c>
      <c r="H110" s="91">
        <v>37.867028926000003</v>
      </c>
      <c r="I110" s="100" t="s">
        <v>2405</v>
      </c>
    </row>
    <row r="111" spans="1:9">
      <c r="A111" s="95" t="s">
        <v>2406</v>
      </c>
      <c r="B111" s="96" t="s">
        <v>2404</v>
      </c>
      <c r="C111" s="96" t="s">
        <v>1239</v>
      </c>
      <c r="D111" s="96" t="s">
        <v>2350</v>
      </c>
      <c r="E111" s="96" t="s">
        <v>2351</v>
      </c>
      <c r="F111" s="96" t="s">
        <v>2352</v>
      </c>
      <c r="G111" s="88">
        <v>-88652946810</v>
      </c>
      <c r="H111" s="91">
        <v>-88.652946810000003</v>
      </c>
      <c r="I111" s="100" t="s">
        <v>2405</v>
      </c>
    </row>
    <row r="112" spans="1:9">
      <c r="A112" s="95" t="s">
        <v>2406</v>
      </c>
      <c r="B112" s="96" t="s">
        <v>2404</v>
      </c>
      <c r="C112" s="96" t="s">
        <v>1239</v>
      </c>
      <c r="D112" s="96" t="s">
        <v>2353</v>
      </c>
      <c r="E112" s="96" t="s">
        <v>2354</v>
      </c>
      <c r="F112" s="96" t="s">
        <v>2355</v>
      </c>
      <c r="G112" s="88">
        <v>-88583551190</v>
      </c>
      <c r="H112" s="91">
        <v>-88.583551189999994</v>
      </c>
      <c r="I112" s="100" t="s">
        <v>2405</v>
      </c>
    </row>
    <row r="113" spans="1:9">
      <c r="A113" s="95" t="s">
        <v>2406</v>
      </c>
      <c r="B113" s="96" t="s">
        <v>2404</v>
      </c>
      <c r="C113" s="96" t="s">
        <v>1239</v>
      </c>
      <c r="D113" s="96" t="s">
        <v>32</v>
      </c>
      <c r="E113" s="96" t="s">
        <v>2356</v>
      </c>
      <c r="F113" s="96" t="s">
        <v>2357</v>
      </c>
      <c r="G113" s="88">
        <v>-1588176219469</v>
      </c>
      <c r="H113" s="91">
        <v>-1588.176219469</v>
      </c>
      <c r="I113" s="100" t="s">
        <v>2405</v>
      </c>
    </row>
    <row r="114" spans="1:9">
      <c r="A114" s="95" t="s">
        <v>2406</v>
      </c>
      <c r="B114" s="96" t="s">
        <v>2404</v>
      </c>
      <c r="C114" s="96" t="s">
        <v>1239</v>
      </c>
      <c r="D114" s="96" t="s">
        <v>2358</v>
      </c>
      <c r="E114" s="96" t="s">
        <v>2359</v>
      </c>
      <c r="F114" s="96" t="s">
        <v>2360</v>
      </c>
      <c r="G114" s="88">
        <v>-418474686684</v>
      </c>
      <c r="H114" s="91">
        <v>-418.47468668400001</v>
      </c>
      <c r="I114" s="100" t="s">
        <v>2405</v>
      </c>
    </row>
    <row r="115" spans="1:9">
      <c r="A115" s="95" t="s">
        <v>2406</v>
      </c>
      <c r="B115" s="96" t="s">
        <v>2404</v>
      </c>
      <c r="C115" s="96" t="s">
        <v>1239</v>
      </c>
      <c r="D115" s="96" t="s">
        <v>2361</v>
      </c>
      <c r="E115" s="96" t="s">
        <v>2362</v>
      </c>
      <c r="F115" s="96" t="s">
        <v>2363</v>
      </c>
      <c r="G115" s="88">
        <v>267064459399</v>
      </c>
      <c r="H115" s="91">
        <v>267.06445939899999</v>
      </c>
      <c r="I115" s="100" t="s">
        <v>2405</v>
      </c>
    </row>
    <row r="116" spans="1:9">
      <c r="A116" s="95" t="s">
        <v>2406</v>
      </c>
      <c r="B116" s="96" t="s">
        <v>2404</v>
      </c>
      <c r="C116" s="96" t="s">
        <v>1239</v>
      </c>
      <c r="D116" s="96" t="s">
        <v>2364</v>
      </c>
      <c r="E116" s="96" t="s">
        <v>2365</v>
      </c>
      <c r="F116" s="96" t="s">
        <v>2366</v>
      </c>
      <c r="G116" s="88">
        <v>7461749902</v>
      </c>
      <c r="H116" s="91">
        <v>7.4617499020000002</v>
      </c>
      <c r="I116" s="100" t="s">
        <v>2405</v>
      </c>
    </row>
    <row r="117" spans="1:9">
      <c r="A117" s="95" t="s">
        <v>2406</v>
      </c>
      <c r="B117" s="96" t="s">
        <v>2404</v>
      </c>
      <c r="C117" s="96" t="s">
        <v>1239</v>
      </c>
      <c r="D117" s="96" t="s">
        <v>1690</v>
      </c>
      <c r="E117" s="96" t="s">
        <v>2367</v>
      </c>
      <c r="F117" s="96" t="s">
        <v>2368</v>
      </c>
      <c r="G117" s="88">
        <v>-2014778745</v>
      </c>
      <c r="H117" s="91">
        <v>-2.0147787450000001</v>
      </c>
      <c r="I117" s="100" t="s">
        <v>2405</v>
      </c>
    </row>
    <row r="118" spans="1:9">
      <c r="A118" s="95" t="s">
        <v>2406</v>
      </c>
      <c r="B118" s="96" t="s">
        <v>2404</v>
      </c>
      <c r="C118" s="96" t="s">
        <v>1239</v>
      </c>
      <c r="D118" s="96" t="s">
        <v>2369</v>
      </c>
      <c r="E118" s="96" t="s">
        <v>2370</v>
      </c>
      <c r="F118" s="96" t="s">
        <v>2371</v>
      </c>
      <c r="G118" s="88">
        <v>5446971157</v>
      </c>
      <c r="H118" s="91">
        <v>5.4469711570000001</v>
      </c>
      <c r="I118" s="100" t="s">
        <v>2405</v>
      </c>
    </row>
    <row r="119" spans="1:9">
      <c r="A119" s="95" t="s">
        <v>2406</v>
      </c>
      <c r="B119" s="96" t="s">
        <v>2404</v>
      </c>
      <c r="C119" s="96" t="s">
        <v>1239</v>
      </c>
      <c r="D119" s="96" t="s">
        <v>2372</v>
      </c>
      <c r="E119" s="96" t="s">
        <v>2373</v>
      </c>
      <c r="F119" s="96" t="s">
        <v>2374</v>
      </c>
      <c r="G119" s="88">
        <v>0</v>
      </c>
      <c r="H119" s="91">
        <v>0</v>
      </c>
      <c r="I119" s="100" t="s">
        <v>2405</v>
      </c>
    </row>
    <row r="120" spans="1:9">
      <c r="A120" s="95" t="s">
        <v>2406</v>
      </c>
      <c r="B120" s="96" t="s">
        <v>2404</v>
      </c>
      <c r="C120" s="96" t="s">
        <v>1239</v>
      </c>
      <c r="D120" s="96" t="s">
        <v>2375</v>
      </c>
      <c r="E120" s="96" t="s">
        <v>2376</v>
      </c>
      <c r="F120" s="96" t="s">
        <v>2377</v>
      </c>
      <c r="G120" s="88">
        <v>272511430556</v>
      </c>
      <c r="H120" s="91">
        <v>272.51143055599999</v>
      </c>
      <c r="I120" s="100" t="s">
        <v>2405</v>
      </c>
    </row>
    <row r="121" spans="1:9">
      <c r="A121" s="95" t="s">
        <v>2406</v>
      </c>
      <c r="B121" s="96" t="s">
        <v>2404</v>
      </c>
      <c r="C121" s="96" t="s">
        <v>1239</v>
      </c>
      <c r="D121" s="96" t="s">
        <v>2378</v>
      </c>
      <c r="E121" s="96" t="s">
        <v>2379</v>
      </c>
      <c r="F121" s="96" t="s">
        <v>2380</v>
      </c>
      <c r="G121" s="88">
        <v>-59727825009</v>
      </c>
      <c r="H121" s="91">
        <v>-59.727825009</v>
      </c>
      <c r="I121" s="100" t="s">
        <v>2405</v>
      </c>
    </row>
    <row r="122" spans="1:9">
      <c r="A122" s="95" t="s">
        <v>2406</v>
      </c>
      <c r="B122" s="96" t="s">
        <v>2404</v>
      </c>
      <c r="C122" s="96" t="s">
        <v>1239</v>
      </c>
      <c r="D122" s="96" t="s">
        <v>2381</v>
      </c>
      <c r="E122" s="96" t="s">
        <v>2382</v>
      </c>
      <c r="F122" s="96" t="s">
        <v>2383</v>
      </c>
      <c r="G122" s="88">
        <v>0</v>
      </c>
      <c r="H122" s="91">
        <v>0</v>
      </c>
      <c r="I122" s="100" t="s">
        <v>2405</v>
      </c>
    </row>
    <row r="123" spans="1:9">
      <c r="A123" s="95" t="s">
        <v>2406</v>
      </c>
      <c r="B123" s="96" t="s">
        <v>2404</v>
      </c>
      <c r="C123" s="96" t="s">
        <v>1239</v>
      </c>
      <c r="D123" s="96" t="s">
        <v>2384</v>
      </c>
      <c r="E123" s="96" t="s">
        <v>2385</v>
      </c>
      <c r="F123" s="96" t="s">
        <v>2386</v>
      </c>
      <c r="G123" s="88">
        <v>-59727825009</v>
      </c>
      <c r="H123" s="91">
        <v>-59.727825009</v>
      </c>
      <c r="I123" s="100" t="s">
        <v>2405</v>
      </c>
    </row>
    <row r="124" spans="1:9">
      <c r="A124" s="95" t="s">
        <v>2406</v>
      </c>
      <c r="B124" s="96" t="s">
        <v>2404</v>
      </c>
      <c r="C124" s="96" t="s">
        <v>1239</v>
      </c>
      <c r="D124" s="96" t="s">
        <v>2387</v>
      </c>
      <c r="E124" s="96" t="s">
        <v>2388</v>
      </c>
      <c r="F124" s="96" t="s">
        <v>2389</v>
      </c>
      <c r="G124" s="88">
        <v>212783605547</v>
      </c>
      <c r="H124" s="91">
        <v>212.78360554700001</v>
      </c>
      <c r="I124" s="100" t="s">
        <v>2405</v>
      </c>
    </row>
    <row r="125" spans="1:9">
      <c r="A125" s="95" t="s">
        <v>2406</v>
      </c>
      <c r="B125" s="96" t="s">
        <v>2404</v>
      </c>
      <c r="C125" s="96" t="s">
        <v>1239</v>
      </c>
      <c r="D125" s="96" t="s">
        <v>2390</v>
      </c>
      <c r="E125" s="96" t="s">
        <v>2391</v>
      </c>
      <c r="F125" s="96" t="s">
        <v>1631</v>
      </c>
      <c r="G125" s="88">
        <v>44820836265</v>
      </c>
      <c r="H125" s="91">
        <v>44.820836264999997</v>
      </c>
      <c r="I125" s="100" t="s">
        <v>2405</v>
      </c>
    </row>
    <row r="126" spans="1:9">
      <c r="A126" s="95" t="s">
        <v>2406</v>
      </c>
      <c r="B126" s="96" t="s">
        <v>2404</v>
      </c>
      <c r="C126" s="96" t="s">
        <v>1239</v>
      </c>
      <c r="D126" s="96" t="s">
        <v>2392</v>
      </c>
      <c r="E126" s="96" t="s">
        <v>2393</v>
      </c>
      <c r="F126" s="96" t="s">
        <v>2394</v>
      </c>
      <c r="G126" s="88">
        <v>167962769282</v>
      </c>
      <c r="H126" s="91">
        <v>167.96276928200001</v>
      </c>
      <c r="I126" s="100" t="s">
        <v>2405</v>
      </c>
    </row>
    <row r="127" spans="1:9">
      <c r="A127" s="95" t="s">
        <v>2406</v>
      </c>
      <c r="B127" s="96" t="s">
        <v>2404</v>
      </c>
      <c r="C127" s="96" t="s">
        <v>1239</v>
      </c>
      <c r="D127" s="96" t="s">
        <v>2395</v>
      </c>
      <c r="E127" s="96" t="s">
        <v>2396</v>
      </c>
      <c r="F127" s="96" t="s">
        <v>2397</v>
      </c>
      <c r="G127" s="88">
        <v>1233</v>
      </c>
      <c r="H127" s="91">
        <v>1.2330000000000001E-6</v>
      </c>
      <c r="I127" s="100" t="s">
        <v>2405</v>
      </c>
    </row>
    <row r="128" spans="1:9">
      <c r="A128" s="95" t="s">
        <v>2406</v>
      </c>
      <c r="B128" s="96" t="s">
        <v>2404</v>
      </c>
      <c r="C128" s="96" t="s">
        <v>1239</v>
      </c>
      <c r="D128" s="96" t="s">
        <v>2398</v>
      </c>
      <c r="E128" s="96" t="s">
        <v>2399</v>
      </c>
      <c r="F128" s="96" t="s">
        <v>2400</v>
      </c>
      <c r="G128" s="88">
        <v>0</v>
      </c>
      <c r="H128" s="91">
        <v>0</v>
      </c>
      <c r="I128" s="100" t="s">
        <v>2405</v>
      </c>
    </row>
    <row r="129" spans="1:9">
      <c r="A129" s="95" t="s">
        <v>2406</v>
      </c>
      <c r="B129" s="96" t="s">
        <v>2404</v>
      </c>
      <c r="C129" s="96" t="s">
        <v>1239</v>
      </c>
      <c r="D129" s="96" t="s">
        <v>2401</v>
      </c>
      <c r="E129" s="96" t="s">
        <v>2402</v>
      </c>
      <c r="F129" s="96" t="s">
        <v>2403</v>
      </c>
      <c r="G129" s="88">
        <v>0</v>
      </c>
      <c r="H129" s="91">
        <v>0</v>
      </c>
      <c r="I129" s="100" t="s">
        <v>2405</v>
      </c>
    </row>
    <row r="130" spans="1:9">
      <c r="A130" s="95" t="s">
        <v>2406</v>
      </c>
      <c r="B130" s="96" t="s">
        <v>1034</v>
      </c>
      <c r="C130" s="96" t="s">
        <v>1239</v>
      </c>
      <c r="D130" s="96" t="s">
        <v>2334</v>
      </c>
      <c r="E130" s="96" t="s">
        <v>2335</v>
      </c>
      <c r="F130" s="96" t="s">
        <v>2336</v>
      </c>
      <c r="G130" s="88">
        <v>15161533505512</v>
      </c>
      <c r="H130" s="91">
        <v>15161.533505511999</v>
      </c>
      <c r="I130" s="100" t="s">
        <v>2405</v>
      </c>
    </row>
    <row r="131" spans="1:9">
      <c r="A131" s="95" t="s">
        <v>2406</v>
      </c>
      <c r="B131" s="96" t="s">
        <v>1034</v>
      </c>
      <c r="C131" s="96" t="s">
        <v>1239</v>
      </c>
      <c r="D131" s="96" t="s">
        <v>2338</v>
      </c>
      <c r="E131" s="96" t="s">
        <v>2339</v>
      </c>
      <c r="F131" s="96" t="s">
        <v>2340</v>
      </c>
      <c r="G131" s="88">
        <v>-44624414782</v>
      </c>
      <c r="H131" s="91">
        <v>-44.624414782000002</v>
      </c>
      <c r="I131" s="100" t="s">
        <v>2405</v>
      </c>
    </row>
    <row r="132" spans="1:9">
      <c r="A132" s="95" t="s">
        <v>2406</v>
      </c>
      <c r="B132" s="96" t="s">
        <v>1034</v>
      </c>
      <c r="C132" s="96" t="s">
        <v>1239</v>
      </c>
      <c r="D132" s="96" t="s">
        <v>2341</v>
      </c>
      <c r="E132" s="96" t="s">
        <v>2342</v>
      </c>
      <c r="F132" s="96" t="s">
        <v>2343</v>
      </c>
      <c r="G132" s="88">
        <v>15116909090730</v>
      </c>
      <c r="H132" s="91">
        <v>15116.90909073</v>
      </c>
      <c r="I132" s="100" t="s">
        <v>2405</v>
      </c>
    </row>
    <row r="133" spans="1:9">
      <c r="A133" s="95" t="s">
        <v>2406</v>
      </c>
      <c r="B133" s="96" t="s">
        <v>1034</v>
      </c>
      <c r="C133" s="96" t="s">
        <v>1239</v>
      </c>
      <c r="D133" s="96" t="s">
        <v>2344</v>
      </c>
      <c r="E133" s="96" t="s">
        <v>2345</v>
      </c>
      <c r="F133" s="96" t="s">
        <v>2346</v>
      </c>
      <c r="G133" s="88">
        <v>-12121981259843</v>
      </c>
      <c r="H133" s="91">
        <v>-12121.981259843</v>
      </c>
      <c r="I133" s="100" t="s">
        <v>2405</v>
      </c>
    </row>
    <row r="134" spans="1:9">
      <c r="A134" s="95" t="s">
        <v>2406</v>
      </c>
      <c r="B134" s="96" t="s">
        <v>1034</v>
      </c>
      <c r="C134" s="96" t="s">
        <v>1239</v>
      </c>
      <c r="D134" s="96" t="s">
        <v>21</v>
      </c>
      <c r="E134" s="96" t="s">
        <v>20</v>
      </c>
      <c r="F134" s="96" t="s">
        <v>2347</v>
      </c>
      <c r="G134" s="88">
        <v>2994927830887</v>
      </c>
      <c r="H134" s="91">
        <v>2994.9278308869998</v>
      </c>
      <c r="I134" s="100" t="s">
        <v>2405</v>
      </c>
    </row>
    <row r="135" spans="1:9">
      <c r="A135" s="95" t="s">
        <v>2406</v>
      </c>
      <c r="B135" s="96" t="s">
        <v>1034</v>
      </c>
      <c r="C135" s="96" t="s">
        <v>1239</v>
      </c>
      <c r="D135" s="96" t="s">
        <v>26</v>
      </c>
      <c r="E135" s="96" t="s">
        <v>2348</v>
      </c>
      <c r="F135" s="96" t="s">
        <v>2349</v>
      </c>
      <c r="G135" s="88">
        <v>141720888275</v>
      </c>
      <c r="H135" s="91">
        <v>141.72088827499999</v>
      </c>
      <c r="I135" s="100" t="s">
        <v>2405</v>
      </c>
    </row>
    <row r="136" spans="1:9">
      <c r="A136" s="95" t="s">
        <v>2406</v>
      </c>
      <c r="B136" s="96" t="s">
        <v>1034</v>
      </c>
      <c r="C136" s="96" t="s">
        <v>1239</v>
      </c>
      <c r="D136" s="96" t="s">
        <v>2350</v>
      </c>
      <c r="E136" s="96" t="s">
        <v>2351</v>
      </c>
      <c r="F136" s="96" t="s">
        <v>2352</v>
      </c>
      <c r="G136" s="88">
        <v>-149784564806</v>
      </c>
      <c r="H136" s="91">
        <v>-149.78456480599999</v>
      </c>
      <c r="I136" s="100" t="s">
        <v>2405</v>
      </c>
    </row>
    <row r="137" spans="1:9">
      <c r="A137" s="95" t="s">
        <v>2406</v>
      </c>
      <c r="B137" s="96" t="s">
        <v>1034</v>
      </c>
      <c r="C137" s="96" t="s">
        <v>1239</v>
      </c>
      <c r="D137" s="96" t="s">
        <v>2353</v>
      </c>
      <c r="E137" s="96" t="s">
        <v>2354</v>
      </c>
      <c r="F137" s="96" t="s">
        <v>2355</v>
      </c>
      <c r="G137" s="88">
        <v>-149775192055</v>
      </c>
      <c r="H137" s="91">
        <v>-149.77519205499999</v>
      </c>
      <c r="I137" s="100" t="s">
        <v>2405</v>
      </c>
    </row>
    <row r="138" spans="1:9">
      <c r="A138" s="95" t="s">
        <v>2406</v>
      </c>
      <c r="B138" s="96" t="s">
        <v>1034</v>
      </c>
      <c r="C138" s="96" t="s">
        <v>1239</v>
      </c>
      <c r="D138" s="96" t="s">
        <v>32</v>
      </c>
      <c r="E138" s="96" t="s">
        <v>2356</v>
      </c>
      <c r="F138" s="96" t="s">
        <v>2357</v>
      </c>
      <c r="G138" s="88">
        <v>-1998431032175</v>
      </c>
      <c r="H138" s="91">
        <v>-1998.4310321749999</v>
      </c>
      <c r="I138" s="100" t="s">
        <v>2405</v>
      </c>
    </row>
    <row r="139" spans="1:9">
      <c r="A139" s="95" t="s">
        <v>2406</v>
      </c>
      <c r="B139" s="96" t="s">
        <v>1034</v>
      </c>
      <c r="C139" s="96" t="s">
        <v>1239</v>
      </c>
      <c r="D139" s="96" t="s">
        <v>2358</v>
      </c>
      <c r="E139" s="96" t="s">
        <v>2359</v>
      </c>
      <c r="F139" s="96" t="s">
        <v>2360</v>
      </c>
      <c r="G139" s="88">
        <v>-522133726412</v>
      </c>
      <c r="H139" s="91">
        <v>-522.13372641199999</v>
      </c>
      <c r="I139" s="100" t="s">
        <v>2405</v>
      </c>
    </row>
    <row r="140" spans="1:9">
      <c r="A140" s="95" t="s">
        <v>2406</v>
      </c>
      <c r="B140" s="96" t="s">
        <v>1034</v>
      </c>
      <c r="C140" s="96" t="s">
        <v>1239</v>
      </c>
      <c r="D140" s="96" t="s">
        <v>2361</v>
      </c>
      <c r="E140" s="96" t="s">
        <v>2362</v>
      </c>
      <c r="F140" s="96" t="s">
        <v>2363</v>
      </c>
      <c r="G140" s="88">
        <v>466299395769</v>
      </c>
      <c r="H140" s="91">
        <v>466.299395769</v>
      </c>
      <c r="I140" s="100" t="s">
        <v>2405</v>
      </c>
    </row>
    <row r="141" spans="1:9">
      <c r="A141" s="95" t="s">
        <v>2406</v>
      </c>
      <c r="B141" s="96" t="s">
        <v>1034</v>
      </c>
      <c r="C141" s="96" t="s">
        <v>1239</v>
      </c>
      <c r="D141" s="96" t="s">
        <v>2364</v>
      </c>
      <c r="E141" s="96" t="s">
        <v>2365</v>
      </c>
      <c r="F141" s="96" t="s">
        <v>2366</v>
      </c>
      <c r="G141" s="88">
        <v>8730304378</v>
      </c>
      <c r="H141" s="91">
        <v>8.7303043779999996</v>
      </c>
      <c r="I141" s="100" t="s">
        <v>2405</v>
      </c>
    </row>
    <row r="142" spans="1:9">
      <c r="A142" s="95" t="s">
        <v>2406</v>
      </c>
      <c r="B142" s="96" t="s">
        <v>1034</v>
      </c>
      <c r="C142" s="96" t="s">
        <v>1239</v>
      </c>
      <c r="D142" s="96" t="s">
        <v>1690</v>
      </c>
      <c r="E142" s="96" t="s">
        <v>2367</v>
      </c>
      <c r="F142" s="96" t="s">
        <v>2368</v>
      </c>
      <c r="G142" s="88">
        <v>-3400739729</v>
      </c>
      <c r="H142" s="91">
        <v>-3.4007397290000001</v>
      </c>
      <c r="I142" s="100" t="s">
        <v>2405</v>
      </c>
    </row>
    <row r="143" spans="1:9">
      <c r="A143" s="95" t="s">
        <v>2406</v>
      </c>
      <c r="B143" s="96" t="s">
        <v>1034</v>
      </c>
      <c r="C143" s="96" t="s">
        <v>1239</v>
      </c>
      <c r="D143" s="96" t="s">
        <v>2369</v>
      </c>
      <c r="E143" s="96" t="s">
        <v>2370</v>
      </c>
      <c r="F143" s="96" t="s">
        <v>2371</v>
      </c>
      <c r="G143" s="88">
        <v>5329564649</v>
      </c>
      <c r="H143" s="91">
        <v>5.3295646489999999</v>
      </c>
      <c r="I143" s="100" t="s">
        <v>2405</v>
      </c>
    </row>
    <row r="144" spans="1:9">
      <c r="A144" s="95" t="s">
        <v>2406</v>
      </c>
      <c r="B144" s="96" t="s">
        <v>1034</v>
      </c>
      <c r="C144" s="96" t="s">
        <v>1239</v>
      </c>
      <c r="D144" s="96" t="s">
        <v>2372</v>
      </c>
      <c r="E144" s="96" t="s">
        <v>2373</v>
      </c>
      <c r="F144" s="96" t="s">
        <v>2374</v>
      </c>
      <c r="G144" s="88">
        <v>0</v>
      </c>
      <c r="H144" s="91">
        <v>0</v>
      </c>
      <c r="I144" s="100" t="s">
        <v>2405</v>
      </c>
    </row>
    <row r="145" spans="1:9">
      <c r="A145" s="95" t="s">
        <v>2406</v>
      </c>
      <c r="B145" s="96" t="s">
        <v>1034</v>
      </c>
      <c r="C145" s="96" t="s">
        <v>1239</v>
      </c>
      <c r="D145" s="96" t="s">
        <v>2375</v>
      </c>
      <c r="E145" s="96" t="s">
        <v>2376</v>
      </c>
      <c r="F145" s="96" t="s">
        <v>2377</v>
      </c>
      <c r="G145" s="88">
        <v>471628960418</v>
      </c>
      <c r="H145" s="91">
        <v>471.62896041800002</v>
      </c>
      <c r="I145" s="100" t="s">
        <v>2405</v>
      </c>
    </row>
    <row r="146" spans="1:9">
      <c r="A146" s="95" t="s">
        <v>2406</v>
      </c>
      <c r="B146" s="96" t="s">
        <v>1034</v>
      </c>
      <c r="C146" s="96" t="s">
        <v>1239</v>
      </c>
      <c r="D146" s="96" t="s">
        <v>2378</v>
      </c>
      <c r="E146" s="96" t="s">
        <v>2379</v>
      </c>
      <c r="F146" s="96" t="s">
        <v>2380</v>
      </c>
      <c r="G146" s="88">
        <v>-97029639776</v>
      </c>
      <c r="H146" s="91">
        <v>-97.029639775999996</v>
      </c>
      <c r="I146" s="100" t="s">
        <v>2405</v>
      </c>
    </row>
    <row r="147" spans="1:9">
      <c r="A147" s="95" t="s">
        <v>2406</v>
      </c>
      <c r="B147" s="96" t="s">
        <v>1034</v>
      </c>
      <c r="C147" s="96" t="s">
        <v>1239</v>
      </c>
      <c r="D147" s="96" t="s">
        <v>2381</v>
      </c>
      <c r="E147" s="96" t="s">
        <v>2382</v>
      </c>
      <c r="F147" s="96" t="s">
        <v>2383</v>
      </c>
      <c r="G147" s="88">
        <v>0</v>
      </c>
      <c r="H147" s="91">
        <v>0</v>
      </c>
      <c r="I147" s="100" t="s">
        <v>2405</v>
      </c>
    </row>
    <row r="148" spans="1:9">
      <c r="A148" s="95" t="s">
        <v>2406</v>
      </c>
      <c r="B148" s="96" t="s">
        <v>1034</v>
      </c>
      <c r="C148" s="96" t="s">
        <v>1239</v>
      </c>
      <c r="D148" s="96" t="s">
        <v>2384</v>
      </c>
      <c r="E148" s="96" t="s">
        <v>2385</v>
      </c>
      <c r="F148" s="96" t="s">
        <v>2386</v>
      </c>
      <c r="G148" s="88">
        <v>-97029639776</v>
      </c>
      <c r="H148" s="91">
        <v>-97.029639775999996</v>
      </c>
      <c r="I148" s="100" t="s">
        <v>2405</v>
      </c>
    </row>
    <row r="149" spans="1:9">
      <c r="A149" s="95" t="s">
        <v>2406</v>
      </c>
      <c r="B149" s="96" t="s">
        <v>1034</v>
      </c>
      <c r="C149" s="96" t="s">
        <v>1239</v>
      </c>
      <c r="D149" s="96" t="s">
        <v>2387</v>
      </c>
      <c r="E149" s="96" t="s">
        <v>2388</v>
      </c>
      <c r="F149" s="96" t="s">
        <v>2389</v>
      </c>
      <c r="G149" s="88">
        <v>374599320642</v>
      </c>
      <c r="H149" s="91">
        <v>374.59932064200001</v>
      </c>
      <c r="I149" s="100" t="s">
        <v>2405</v>
      </c>
    </row>
    <row r="150" spans="1:9">
      <c r="A150" s="95" t="s">
        <v>2406</v>
      </c>
      <c r="B150" s="96" t="s">
        <v>1034</v>
      </c>
      <c r="C150" s="96" t="s">
        <v>1239</v>
      </c>
      <c r="D150" s="96" t="s">
        <v>2390</v>
      </c>
      <c r="E150" s="96" t="s">
        <v>2391</v>
      </c>
      <c r="F150" s="96" t="s">
        <v>1631</v>
      </c>
      <c r="G150" s="88">
        <v>87247428297</v>
      </c>
      <c r="H150" s="91">
        <v>87.247428296999999</v>
      </c>
      <c r="I150" s="100" t="s">
        <v>2405</v>
      </c>
    </row>
    <row r="151" spans="1:9">
      <c r="A151" s="95" t="s">
        <v>2406</v>
      </c>
      <c r="B151" s="96" t="s">
        <v>1034</v>
      </c>
      <c r="C151" s="96" t="s">
        <v>1239</v>
      </c>
      <c r="D151" s="96" t="s">
        <v>2392</v>
      </c>
      <c r="E151" s="96" t="s">
        <v>2393</v>
      </c>
      <c r="F151" s="96" t="s">
        <v>2394</v>
      </c>
      <c r="G151" s="88">
        <v>287351892345</v>
      </c>
      <c r="H151" s="91">
        <v>287.35189234500001</v>
      </c>
      <c r="I151" s="100" t="s">
        <v>2405</v>
      </c>
    </row>
    <row r="152" spans="1:9">
      <c r="A152" s="95" t="s">
        <v>2406</v>
      </c>
      <c r="B152" s="96" t="s">
        <v>1034</v>
      </c>
      <c r="C152" s="96" t="s">
        <v>1239</v>
      </c>
      <c r="D152" s="96" t="s">
        <v>2395</v>
      </c>
      <c r="E152" s="96" t="s">
        <v>2396</v>
      </c>
      <c r="F152" s="96" t="s">
        <v>2397</v>
      </c>
      <c r="G152" s="88">
        <v>1687</v>
      </c>
      <c r="H152" s="91">
        <v>1.6869999999999999E-6</v>
      </c>
      <c r="I152" s="100" t="s">
        <v>2405</v>
      </c>
    </row>
    <row r="153" spans="1:9">
      <c r="A153" s="95" t="s">
        <v>2406</v>
      </c>
      <c r="B153" s="96" t="s">
        <v>1034</v>
      </c>
      <c r="C153" s="96" t="s">
        <v>1239</v>
      </c>
      <c r="D153" s="96" t="s">
        <v>2398</v>
      </c>
      <c r="E153" s="96" t="s">
        <v>2399</v>
      </c>
      <c r="F153" s="96" t="s">
        <v>2400</v>
      </c>
      <c r="G153" s="88">
        <v>0</v>
      </c>
      <c r="H153" s="91">
        <v>0</v>
      </c>
      <c r="I153" s="100" t="s">
        <v>2405</v>
      </c>
    </row>
    <row r="154" spans="1:9">
      <c r="A154" s="95" t="s">
        <v>2406</v>
      </c>
      <c r="B154" s="96" t="s">
        <v>1034</v>
      </c>
      <c r="C154" s="96" t="s">
        <v>1239</v>
      </c>
      <c r="D154" s="96" t="s">
        <v>2401</v>
      </c>
      <c r="E154" s="96" t="s">
        <v>2402</v>
      </c>
      <c r="F154" s="96" t="s">
        <v>2403</v>
      </c>
      <c r="G154" s="88">
        <v>0</v>
      </c>
      <c r="H154" s="91">
        <v>0</v>
      </c>
      <c r="I154" s="100" t="s">
        <v>2405</v>
      </c>
    </row>
    <row r="155" spans="1:9">
      <c r="A155" s="95" t="s">
        <v>2407</v>
      </c>
      <c r="B155" s="96" t="s">
        <v>2333</v>
      </c>
      <c r="C155" s="96" t="s">
        <v>1239</v>
      </c>
      <c r="D155" s="96" t="s">
        <v>2334</v>
      </c>
      <c r="E155" s="96" t="s">
        <v>2335</v>
      </c>
      <c r="F155" s="96" t="s">
        <v>2336</v>
      </c>
      <c r="G155" s="88">
        <v>27242826032601</v>
      </c>
      <c r="H155" s="91">
        <v>27242.826032600999</v>
      </c>
      <c r="I155" s="100" t="s">
        <v>2337</v>
      </c>
    </row>
    <row r="156" spans="1:9">
      <c r="A156" s="95" t="s">
        <v>2407</v>
      </c>
      <c r="B156" s="96" t="s">
        <v>2333</v>
      </c>
      <c r="C156" s="96" t="s">
        <v>1239</v>
      </c>
      <c r="D156" s="96" t="s">
        <v>2338</v>
      </c>
      <c r="E156" s="96" t="s">
        <v>2339</v>
      </c>
      <c r="F156" s="96" t="s">
        <v>2340</v>
      </c>
      <c r="G156" s="88">
        <v>-611280262354</v>
      </c>
      <c r="H156" s="91">
        <v>-611.280262354</v>
      </c>
      <c r="I156" s="100" t="s">
        <v>2337</v>
      </c>
    </row>
    <row r="157" spans="1:9">
      <c r="A157" s="95" t="s">
        <v>2407</v>
      </c>
      <c r="B157" s="96" t="s">
        <v>2333</v>
      </c>
      <c r="C157" s="96" t="s">
        <v>1239</v>
      </c>
      <c r="D157" s="96" t="s">
        <v>2341</v>
      </c>
      <c r="E157" s="96" t="s">
        <v>2342</v>
      </c>
      <c r="F157" s="96" t="s">
        <v>2343</v>
      </c>
      <c r="G157" s="88">
        <v>26631545770247</v>
      </c>
      <c r="H157" s="91">
        <v>26631.545770247001</v>
      </c>
      <c r="I157" s="100" t="s">
        <v>2337</v>
      </c>
    </row>
    <row r="158" spans="1:9">
      <c r="A158" s="95" t="s">
        <v>2407</v>
      </c>
      <c r="B158" s="96" t="s">
        <v>2333</v>
      </c>
      <c r="C158" s="96" t="s">
        <v>1239</v>
      </c>
      <c r="D158" s="96" t="s">
        <v>2344</v>
      </c>
      <c r="E158" s="96" t="s">
        <v>2345</v>
      </c>
      <c r="F158" s="96" t="s">
        <v>2346</v>
      </c>
      <c r="G158" s="88">
        <v>-24320550712820</v>
      </c>
      <c r="H158" s="91">
        <v>-24320.550712820001</v>
      </c>
      <c r="I158" s="100" t="s">
        <v>2337</v>
      </c>
    </row>
    <row r="159" spans="1:9">
      <c r="A159" s="95" t="s">
        <v>2407</v>
      </c>
      <c r="B159" s="96" t="s">
        <v>2333</v>
      </c>
      <c r="C159" s="96" t="s">
        <v>1239</v>
      </c>
      <c r="D159" s="96" t="s">
        <v>21</v>
      </c>
      <c r="E159" s="96" t="s">
        <v>20</v>
      </c>
      <c r="F159" s="96" t="s">
        <v>2347</v>
      </c>
      <c r="G159" s="88">
        <v>2310995057427</v>
      </c>
      <c r="H159" s="91">
        <v>2310.9950574270001</v>
      </c>
      <c r="I159" s="100" t="s">
        <v>2337</v>
      </c>
    </row>
    <row r="160" spans="1:9">
      <c r="A160" s="95" t="s">
        <v>2407</v>
      </c>
      <c r="B160" s="96" t="s">
        <v>2333</v>
      </c>
      <c r="C160" s="96" t="s">
        <v>1239</v>
      </c>
      <c r="D160" s="96" t="s">
        <v>26</v>
      </c>
      <c r="E160" s="96" t="s">
        <v>2348</v>
      </c>
      <c r="F160" s="96" t="s">
        <v>2349</v>
      </c>
      <c r="G160" s="88">
        <v>264415037965</v>
      </c>
      <c r="H160" s="91">
        <v>264.41503796500001</v>
      </c>
      <c r="I160" s="100" t="s">
        <v>2337</v>
      </c>
    </row>
    <row r="161" spans="1:9">
      <c r="A161" s="95" t="s">
        <v>2407</v>
      </c>
      <c r="B161" s="96" t="s">
        <v>2333</v>
      </c>
      <c r="C161" s="96" t="s">
        <v>1239</v>
      </c>
      <c r="D161" s="96" t="s">
        <v>2350</v>
      </c>
      <c r="E161" s="96" t="s">
        <v>2351</v>
      </c>
      <c r="F161" s="96" t="s">
        <v>2352</v>
      </c>
      <c r="G161" s="88">
        <v>-317285550590</v>
      </c>
      <c r="H161" s="91">
        <v>-317.28555059000001</v>
      </c>
      <c r="I161" s="100" t="s">
        <v>2337</v>
      </c>
    </row>
    <row r="162" spans="1:9">
      <c r="A162" s="95" t="s">
        <v>2407</v>
      </c>
      <c r="B162" s="96" t="s">
        <v>2333</v>
      </c>
      <c r="C162" s="96" t="s">
        <v>1239</v>
      </c>
      <c r="D162" s="96" t="s">
        <v>2353</v>
      </c>
      <c r="E162" s="96" t="s">
        <v>2354</v>
      </c>
      <c r="F162" s="96" t="s">
        <v>2355</v>
      </c>
      <c r="G162" s="88">
        <v>-138276822812</v>
      </c>
      <c r="H162" s="91">
        <v>-138.27682281200001</v>
      </c>
      <c r="I162" s="100" t="s">
        <v>2337</v>
      </c>
    </row>
    <row r="163" spans="1:9">
      <c r="A163" s="95" t="s">
        <v>2407</v>
      </c>
      <c r="B163" s="96" t="s">
        <v>2333</v>
      </c>
      <c r="C163" s="96" t="s">
        <v>1239</v>
      </c>
      <c r="D163" s="96" t="s">
        <v>32</v>
      </c>
      <c r="E163" s="96" t="s">
        <v>2356</v>
      </c>
      <c r="F163" s="96" t="s">
        <v>2357</v>
      </c>
      <c r="G163" s="88">
        <v>-1368530734060</v>
      </c>
      <c r="H163" s="91">
        <v>-1368.53073406</v>
      </c>
      <c r="I163" s="100" t="s">
        <v>2337</v>
      </c>
    </row>
    <row r="164" spans="1:9">
      <c r="A164" s="95" t="s">
        <v>2407</v>
      </c>
      <c r="B164" s="96" t="s">
        <v>2333</v>
      </c>
      <c r="C164" s="96" t="s">
        <v>1239</v>
      </c>
      <c r="D164" s="96" t="s">
        <v>2358</v>
      </c>
      <c r="E164" s="96" t="s">
        <v>2359</v>
      </c>
      <c r="F164" s="96" t="s">
        <v>2360</v>
      </c>
      <c r="G164" s="88">
        <v>-224313930431</v>
      </c>
      <c r="H164" s="91">
        <v>-224.31393043099999</v>
      </c>
      <c r="I164" s="100" t="s">
        <v>2337</v>
      </c>
    </row>
    <row r="165" spans="1:9">
      <c r="A165" s="95" t="s">
        <v>2407</v>
      </c>
      <c r="B165" s="96" t="s">
        <v>2333</v>
      </c>
      <c r="C165" s="96" t="s">
        <v>1239</v>
      </c>
      <c r="D165" s="96" t="s">
        <v>2361</v>
      </c>
      <c r="E165" s="96" t="s">
        <v>2362</v>
      </c>
      <c r="F165" s="96" t="s">
        <v>2363</v>
      </c>
      <c r="G165" s="88">
        <v>667779538129</v>
      </c>
      <c r="H165" s="91">
        <v>667.779538129</v>
      </c>
      <c r="I165" s="100" t="s">
        <v>2337</v>
      </c>
    </row>
    <row r="166" spans="1:9">
      <c r="A166" s="95" t="s">
        <v>2407</v>
      </c>
      <c r="B166" s="96" t="s">
        <v>2333</v>
      </c>
      <c r="C166" s="96" t="s">
        <v>1239</v>
      </c>
      <c r="D166" s="96" t="s">
        <v>2364</v>
      </c>
      <c r="E166" s="96" t="s">
        <v>2365</v>
      </c>
      <c r="F166" s="96" t="s">
        <v>2366</v>
      </c>
      <c r="G166" s="88">
        <v>36357518682</v>
      </c>
      <c r="H166" s="91">
        <v>36.357518681999998</v>
      </c>
      <c r="I166" s="100" t="s">
        <v>2337</v>
      </c>
    </row>
    <row r="167" spans="1:9">
      <c r="A167" s="95" t="s">
        <v>2407</v>
      </c>
      <c r="B167" s="96" t="s">
        <v>2333</v>
      </c>
      <c r="C167" s="96" t="s">
        <v>1239</v>
      </c>
      <c r="D167" s="96" t="s">
        <v>1690</v>
      </c>
      <c r="E167" s="96" t="s">
        <v>2367</v>
      </c>
      <c r="F167" s="96" t="s">
        <v>2368</v>
      </c>
      <c r="G167" s="88">
        <v>-15047152641</v>
      </c>
      <c r="H167" s="91">
        <v>-15.047152641</v>
      </c>
      <c r="I167" s="100" t="s">
        <v>2337</v>
      </c>
    </row>
    <row r="168" spans="1:9">
      <c r="A168" s="95" t="s">
        <v>2407</v>
      </c>
      <c r="B168" s="96" t="s">
        <v>2333</v>
      </c>
      <c r="C168" s="96" t="s">
        <v>1239</v>
      </c>
      <c r="D168" s="96" t="s">
        <v>2369</v>
      </c>
      <c r="E168" s="96" t="s">
        <v>2370</v>
      </c>
      <c r="F168" s="96" t="s">
        <v>2371</v>
      </c>
      <c r="G168" s="88">
        <v>21310366041</v>
      </c>
      <c r="H168" s="91">
        <v>21.310366041000002</v>
      </c>
      <c r="I168" s="100" t="s">
        <v>2337</v>
      </c>
    </row>
    <row r="169" spans="1:9">
      <c r="A169" s="95" t="s">
        <v>2407</v>
      </c>
      <c r="B169" s="96" t="s">
        <v>2333</v>
      </c>
      <c r="C169" s="96" t="s">
        <v>1239</v>
      </c>
      <c r="D169" s="96" t="s">
        <v>2372</v>
      </c>
      <c r="E169" s="96" t="s">
        <v>2373</v>
      </c>
      <c r="F169" s="96" t="s">
        <v>2374</v>
      </c>
      <c r="G169" s="88">
        <v>0</v>
      </c>
      <c r="H169" s="91">
        <v>0</v>
      </c>
      <c r="I169" s="100" t="s">
        <v>2337</v>
      </c>
    </row>
    <row r="170" spans="1:9">
      <c r="A170" s="95" t="s">
        <v>2407</v>
      </c>
      <c r="B170" s="96" t="s">
        <v>2333</v>
      </c>
      <c r="C170" s="96" t="s">
        <v>1239</v>
      </c>
      <c r="D170" s="96" t="s">
        <v>2375</v>
      </c>
      <c r="E170" s="96" t="s">
        <v>2376</v>
      </c>
      <c r="F170" s="96" t="s">
        <v>2377</v>
      </c>
      <c r="G170" s="88">
        <v>689089904170</v>
      </c>
      <c r="H170" s="91">
        <v>689.08990416999995</v>
      </c>
      <c r="I170" s="100" t="s">
        <v>2337</v>
      </c>
    </row>
    <row r="171" spans="1:9">
      <c r="A171" s="95" t="s">
        <v>2407</v>
      </c>
      <c r="B171" s="96" t="s">
        <v>2333</v>
      </c>
      <c r="C171" s="96" t="s">
        <v>1239</v>
      </c>
      <c r="D171" s="96" t="s">
        <v>2378</v>
      </c>
      <c r="E171" s="96" t="s">
        <v>2379</v>
      </c>
      <c r="F171" s="96" t="s">
        <v>2380</v>
      </c>
      <c r="G171" s="88">
        <v>-173900781264</v>
      </c>
      <c r="H171" s="91">
        <v>-173.90078126399999</v>
      </c>
      <c r="I171" s="100" t="s">
        <v>2337</v>
      </c>
    </row>
    <row r="172" spans="1:9">
      <c r="A172" s="95" t="s">
        <v>2407</v>
      </c>
      <c r="B172" s="96" t="s">
        <v>2333</v>
      </c>
      <c r="C172" s="96" t="s">
        <v>1239</v>
      </c>
      <c r="D172" s="96" t="s">
        <v>2381</v>
      </c>
      <c r="E172" s="96" t="s">
        <v>2382</v>
      </c>
      <c r="F172" s="96" t="s">
        <v>2383</v>
      </c>
      <c r="G172" s="88">
        <v>39708036712</v>
      </c>
      <c r="H172" s="91">
        <v>39.708036712000002</v>
      </c>
      <c r="I172" s="100" t="s">
        <v>2337</v>
      </c>
    </row>
    <row r="173" spans="1:9">
      <c r="A173" s="95" t="s">
        <v>2407</v>
      </c>
      <c r="B173" s="96" t="s">
        <v>2333</v>
      </c>
      <c r="C173" s="96" t="s">
        <v>1239</v>
      </c>
      <c r="D173" s="96" t="s">
        <v>2384</v>
      </c>
      <c r="E173" s="96" t="s">
        <v>2385</v>
      </c>
      <c r="F173" s="96" t="s">
        <v>2386</v>
      </c>
      <c r="G173" s="88">
        <v>-134192744552</v>
      </c>
      <c r="H173" s="91">
        <v>-134.19274455199999</v>
      </c>
      <c r="I173" s="100" t="s">
        <v>2337</v>
      </c>
    </row>
    <row r="174" spans="1:9">
      <c r="A174" s="95" t="s">
        <v>2407</v>
      </c>
      <c r="B174" s="96" t="s">
        <v>2333</v>
      </c>
      <c r="C174" s="96" t="s">
        <v>1239</v>
      </c>
      <c r="D174" s="96" t="s">
        <v>2387</v>
      </c>
      <c r="E174" s="96" t="s">
        <v>2388</v>
      </c>
      <c r="F174" s="96" t="s">
        <v>2389</v>
      </c>
      <c r="G174" s="88">
        <v>554897159618</v>
      </c>
      <c r="H174" s="91">
        <v>554.89715961800005</v>
      </c>
      <c r="I174" s="100" t="s">
        <v>2337</v>
      </c>
    </row>
    <row r="175" spans="1:9">
      <c r="A175" s="95" t="s">
        <v>2407</v>
      </c>
      <c r="B175" s="96" t="s">
        <v>2333</v>
      </c>
      <c r="C175" s="96" t="s">
        <v>1239</v>
      </c>
      <c r="D175" s="96" t="s">
        <v>2390</v>
      </c>
      <c r="E175" s="96" t="s">
        <v>2391</v>
      </c>
      <c r="F175" s="96" t="s">
        <v>1631</v>
      </c>
      <c r="G175" s="88">
        <v>7565923076</v>
      </c>
      <c r="H175" s="91">
        <v>7.5659230759999998</v>
      </c>
      <c r="I175" s="100" t="s">
        <v>2337</v>
      </c>
    </row>
    <row r="176" spans="1:9">
      <c r="A176" s="95" t="s">
        <v>2407</v>
      </c>
      <c r="B176" s="96" t="s">
        <v>2333</v>
      </c>
      <c r="C176" s="96" t="s">
        <v>1239</v>
      </c>
      <c r="D176" s="96" t="s">
        <v>2392</v>
      </c>
      <c r="E176" s="96" t="s">
        <v>2393</v>
      </c>
      <c r="F176" s="96" t="s">
        <v>2394</v>
      </c>
      <c r="G176" s="88">
        <v>547331236542</v>
      </c>
      <c r="H176" s="91">
        <v>547.33123654200006</v>
      </c>
      <c r="I176" s="100" t="s">
        <v>2337</v>
      </c>
    </row>
    <row r="177" spans="1:9">
      <c r="A177" s="95" t="s">
        <v>2407</v>
      </c>
      <c r="B177" s="96" t="s">
        <v>2333</v>
      </c>
      <c r="C177" s="96" t="s">
        <v>1239</v>
      </c>
      <c r="D177" s="96" t="s">
        <v>2395</v>
      </c>
      <c r="E177" s="96" t="s">
        <v>2396</v>
      </c>
      <c r="F177" s="96" t="s">
        <v>2397</v>
      </c>
      <c r="G177" s="88">
        <v>2492</v>
      </c>
      <c r="H177" s="91">
        <v>2.492E-6</v>
      </c>
      <c r="I177" s="100" t="s">
        <v>2337</v>
      </c>
    </row>
    <row r="178" spans="1:9">
      <c r="A178" s="95" t="s">
        <v>2407</v>
      </c>
      <c r="B178" s="96" t="s">
        <v>2333</v>
      </c>
      <c r="C178" s="96" t="s">
        <v>1239</v>
      </c>
      <c r="D178" s="96" t="s">
        <v>2398</v>
      </c>
      <c r="E178" s="96" t="s">
        <v>2399</v>
      </c>
      <c r="F178" s="96" t="s">
        <v>2400</v>
      </c>
      <c r="G178" s="88">
        <v>2492</v>
      </c>
      <c r="H178" s="91">
        <v>2.492E-6</v>
      </c>
      <c r="I178" s="100" t="s">
        <v>2337</v>
      </c>
    </row>
    <row r="179" spans="1:9">
      <c r="A179" s="95" t="s">
        <v>2407</v>
      </c>
      <c r="B179" s="96" t="s">
        <v>2333</v>
      </c>
      <c r="C179" s="96" t="s">
        <v>1239</v>
      </c>
      <c r="D179" s="96" t="s">
        <v>2401</v>
      </c>
      <c r="E179" s="96" t="s">
        <v>2402</v>
      </c>
      <c r="F179" s="96" t="s">
        <v>2403</v>
      </c>
      <c r="G179" s="88">
        <v>2499657818</v>
      </c>
      <c r="H179" s="91">
        <v>2.4996578180000002</v>
      </c>
      <c r="I179" s="100" t="s">
        <v>2337</v>
      </c>
    </row>
    <row r="180" spans="1:9">
      <c r="A180" s="95" t="s">
        <v>2407</v>
      </c>
      <c r="B180" s="96" t="s">
        <v>2404</v>
      </c>
      <c r="C180" s="96" t="s">
        <v>1239</v>
      </c>
      <c r="D180" s="96" t="s">
        <v>2334</v>
      </c>
      <c r="E180" s="96" t="s">
        <v>2335</v>
      </c>
      <c r="F180" s="96" t="s">
        <v>2336</v>
      </c>
      <c r="G180" s="88">
        <v>5574849606573</v>
      </c>
      <c r="H180" s="91">
        <v>5574.8496065729996</v>
      </c>
      <c r="I180" s="100" t="s">
        <v>2405</v>
      </c>
    </row>
    <row r="181" spans="1:9">
      <c r="A181" s="95" t="s">
        <v>2407</v>
      </c>
      <c r="B181" s="96" t="s">
        <v>2404</v>
      </c>
      <c r="C181" s="96" t="s">
        <v>1239</v>
      </c>
      <c r="D181" s="96" t="s">
        <v>2338</v>
      </c>
      <c r="E181" s="96" t="s">
        <v>2339</v>
      </c>
      <c r="F181" s="96" t="s">
        <v>2340</v>
      </c>
      <c r="G181" s="88">
        <v>-55532905210</v>
      </c>
      <c r="H181" s="91">
        <v>-55.532905210000003</v>
      </c>
      <c r="I181" s="100" t="s">
        <v>2405</v>
      </c>
    </row>
    <row r="182" spans="1:9">
      <c r="A182" s="95" t="s">
        <v>2407</v>
      </c>
      <c r="B182" s="96" t="s">
        <v>2404</v>
      </c>
      <c r="C182" s="96" t="s">
        <v>1239</v>
      </c>
      <c r="D182" s="96" t="s">
        <v>2341</v>
      </c>
      <c r="E182" s="96" t="s">
        <v>2342</v>
      </c>
      <c r="F182" s="96" t="s">
        <v>2343</v>
      </c>
      <c r="G182" s="88">
        <v>5519316701363</v>
      </c>
      <c r="H182" s="91">
        <v>5519.316701363</v>
      </c>
      <c r="I182" s="100" t="s">
        <v>2405</v>
      </c>
    </row>
    <row r="183" spans="1:9">
      <c r="A183" s="95" t="s">
        <v>2407</v>
      </c>
      <c r="B183" s="96" t="s">
        <v>2404</v>
      </c>
      <c r="C183" s="96" t="s">
        <v>1239</v>
      </c>
      <c r="D183" s="96" t="s">
        <v>2344</v>
      </c>
      <c r="E183" s="96" t="s">
        <v>2345</v>
      </c>
      <c r="F183" s="96" t="s">
        <v>2346</v>
      </c>
      <c r="G183" s="88">
        <v>-5038591228140</v>
      </c>
      <c r="H183" s="91">
        <v>-5038.5912281399997</v>
      </c>
      <c r="I183" s="100" t="s">
        <v>2405</v>
      </c>
    </row>
    <row r="184" spans="1:9">
      <c r="A184" s="95" t="s">
        <v>2407</v>
      </c>
      <c r="B184" s="96" t="s">
        <v>2404</v>
      </c>
      <c r="C184" s="96" t="s">
        <v>1239</v>
      </c>
      <c r="D184" s="96" t="s">
        <v>21</v>
      </c>
      <c r="E184" s="96" t="s">
        <v>20</v>
      </c>
      <c r="F184" s="96" t="s">
        <v>2347</v>
      </c>
      <c r="G184" s="88">
        <v>480725473223</v>
      </c>
      <c r="H184" s="91">
        <v>480.72547322299999</v>
      </c>
      <c r="I184" s="100" t="s">
        <v>2405</v>
      </c>
    </row>
    <row r="185" spans="1:9">
      <c r="A185" s="95" t="s">
        <v>2407</v>
      </c>
      <c r="B185" s="96" t="s">
        <v>2404</v>
      </c>
      <c r="C185" s="96" t="s">
        <v>1239</v>
      </c>
      <c r="D185" s="96" t="s">
        <v>26</v>
      </c>
      <c r="E185" s="96" t="s">
        <v>2348</v>
      </c>
      <c r="F185" s="96" t="s">
        <v>2349</v>
      </c>
      <c r="G185" s="88">
        <v>51315006435</v>
      </c>
      <c r="H185" s="91">
        <v>51.315006435000001</v>
      </c>
      <c r="I185" s="100" t="s">
        <v>2405</v>
      </c>
    </row>
    <row r="186" spans="1:9">
      <c r="A186" s="95" t="s">
        <v>2407</v>
      </c>
      <c r="B186" s="96" t="s">
        <v>2404</v>
      </c>
      <c r="C186" s="96" t="s">
        <v>1239</v>
      </c>
      <c r="D186" s="96" t="s">
        <v>2350</v>
      </c>
      <c r="E186" s="96" t="s">
        <v>2351</v>
      </c>
      <c r="F186" s="96" t="s">
        <v>2352</v>
      </c>
      <c r="G186" s="88">
        <v>-104322331032</v>
      </c>
      <c r="H186" s="91">
        <v>-104.32233103199999</v>
      </c>
      <c r="I186" s="100" t="s">
        <v>2405</v>
      </c>
    </row>
    <row r="187" spans="1:9">
      <c r="A187" s="95" t="s">
        <v>2407</v>
      </c>
      <c r="B187" s="96" t="s">
        <v>2404</v>
      </c>
      <c r="C187" s="96" t="s">
        <v>1239</v>
      </c>
      <c r="D187" s="96" t="s">
        <v>2353</v>
      </c>
      <c r="E187" s="96" t="s">
        <v>2354</v>
      </c>
      <c r="F187" s="96" t="s">
        <v>2355</v>
      </c>
      <c r="G187" s="88">
        <v>-27424302462</v>
      </c>
      <c r="H187" s="91">
        <v>-27.424302462</v>
      </c>
      <c r="I187" s="100" t="s">
        <v>2405</v>
      </c>
    </row>
    <row r="188" spans="1:9">
      <c r="A188" s="95" t="s">
        <v>2407</v>
      </c>
      <c r="B188" s="96" t="s">
        <v>2404</v>
      </c>
      <c r="C188" s="96" t="s">
        <v>1239</v>
      </c>
      <c r="D188" s="96" t="s">
        <v>32</v>
      </c>
      <c r="E188" s="96" t="s">
        <v>2356</v>
      </c>
      <c r="F188" s="96" t="s">
        <v>2357</v>
      </c>
      <c r="G188" s="88">
        <v>-236797923707</v>
      </c>
      <c r="H188" s="91">
        <v>-236.797923707</v>
      </c>
      <c r="I188" s="100" t="s">
        <v>2405</v>
      </c>
    </row>
    <row r="189" spans="1:9">
      <c r="A189" s="95" t="s">
        <v>2407</v>
      </c>
      <c r="B189" s="96" t="s">
        <v>2404</v>
      </c>
      <c r="C189" s="96" t="s">
        <v>1239</v>
      </c>
      <c r="D189" s="96" t="s">
        <v>2358</v>
      </c>
      <c r="E189" s="96" t="s">
        <v>2359</v>
      </c>
      <c r="F189" s="96" t="s">
        <v>2360</v>
      </c>
      <c r="G189" s="88">
        <v>-55341692076</v>
      </c>
      <c r="H189" s="91">
        <v>-55.341692076000001</v>
      </c>
      <c r="I189" s="100" t="s">
        <v>2405</v>
      </c>
    </row>
    <row r="190" spans="1:9">
      <c r="A190" s="95" t="s">
        <v>2407</v>
      </c>
      <c r="B190" s="96" t="s">
        <v>2404</v>
      </c>
      <c r="C190" s="96" t="s">
        <v>1239</v>
      </c>
      <c r="D190" s="96" t="s">
        <v>2361</v>
      </c>
      <c r="E190" s="96" t="s">
        <v>2362</v>
      </c>
      <c r="F190" s="96" t="s">
        <v>2363</v>
      </c>
      <c r="G190" s="88">
        <v>135664190162</v>
      </c>
      <c r="H190" s="91">
        <v>135.66419016200001</v>
      </c>
      <c r="I190" s="100" t="s">
        <v>2405</v>
      </c>
    </row>
    <row r="191" spans="1:9">
      <c r="A191" s="95" t="s">
        <v>2407</v>
      </c>
      <c r="B191" s="96" t="s">
        <v>2404</v>
      </c>
      <c r="C191" s="96" t="s">
        <v>1239</v>
      </c>
      <c r="D191" s="96" t="s">
        <v>2364</v>
      </c>
      <c r="E191" s="96" t="s">
        <v>2365</v>
      </c>
      <c r="F191" s="96" t="s">
        <v>2366</v>
      </c>
      <c r="G191" s="88">
        <v>3257557723</v>
      </c>
      <c r="H191" s="91">
        <v>3.2575577230000001</v>
      </c>
      <c r="I191" s="100" t="s">
        <v>2405</v>
      </c>
    </row>
    <row r="192" spans="1:9">
      <c r="A192" s="95" t="s">
        <v>2407</v>
      </c>
      <c r="B192" s="96" t="s">
        <v>2404</v>
      </c>
      <c r="C192" s="96" t="s">
        <v>1239</v>
      </c>
      <c r="D192" s="96" t="s">
        <v>1690</v>
      </c>
      <c r="E192" s="96" t="s">
        <v>2367</v>
      </c>
      <c r="F192" s="96" t="s">
        <v>2368</v>
      </c>
      <c r="G192" s="88">
        <v>-1815705726</v>
      </c>
      <c r="H192" s="91">
        <v>-1.815705726</v>
      </c>
      <c r="I192" s="100" t="s">
        <v>2405</v>
      </c>
    </row>
    <row r="193" spans="1:9">
      <c r="A193" s="95" t="s">
        <v>2407</v>
      </c>
      <c r="B193" s="96" t="s">
        <v>2404</v>
      </c>
      <c r="C193" s="96" t="s">
        <v>1239</v>
      </c>
      <c r="D193" s="96" t="s">
        <v>2369</v>
      </c>
      <c r="E193" s="96" t="s">
        <v>2370</v>
      </c>
      <c r="F193" s="96" t="s">
        <v>2371</v>
      </c>
      <c r="G193" s="88">
        <v>1441851997</v>
      </c>
      <c r="H193" s="91">
        <v>1.4418519970000001</v>
      </c>
      <c r="I193" s="100" t="s">
        <v>2405</v>
      </c>
    </row>
    <row r="194" spans="1:9">
      <c r="A194" s="95" t="s">
        <v>2407</v>
      </c>
      <c r="B194" s="96" t="s">
        <v>2404</v>
      </c>
      <c r="C194" s="96" t="s">
        <v>1239</v>
      </c>
      <c r="D194" s="96" t="s">
        <v>2372</v>
      </c>
      <c r="E194" s="96" t="s">
        <v>2373</v>
      </c>
      <c r="F194" s="96" t="s">
        <v>2374</v>
      </c>
      <c r="G194" s="88">
        <v>0</v>
      </c>
      <c r="H194" s="91">
        <v>0</v>
      </c>
      <c r="I194" s="100" t="s">
        <v>2405</v>
      </c>
    </row>
    <row r="195" spans="1:9">
      <c r="A195" s="95" t="s">
        <v>2407</v>
      </c>
      <c r="B195" s="96" t="s">
        <v>2404</v>
      </c>
      <c r="C195" s="96" t="s">
        <v>1239</v>
      </c>
      <c r="D195" s="96" t="s">
        <v>2375</v>
      </c>
      <c r="E195" s="96" t="s">
        <v>2376</v>
      </c>
      <c r="F195" s="96" t="s">
        <v>2377</v>
      </c>
      <c r="G195" s="88">
        <v>137106042159</v>
      </c>
      <c r="H195" s="91">
        <v>137.106042159</v>
      </c>
      <c r="I195" s="100" t="s">
        <v>2405</v>
      </c>
    </row>
    <row r="196" spans="1:9">
      <c r="A196" s="95" t="s">
        <v>2407</v>
      </c>
      <c r="B196" s="96" t="s">
        <v>2404</v>
      </c>
      <c r="C196" s="96" t="s">
        <v>1239</v>
      </c>
      <c r="D196" s="96" t="s">
        <v>2378</v>
      </c>
      <c r="E196" s="96" t="s">
        <v>2379</v>
      </c>
      <c r="F196" s="96" t="s">
        <v>2380</v>
      </c>
      <c r="G196" s="88">
        <v>2284128766</v>
      </c>
      <c r="H196" s="91">
        <v>2.2841287659999998</v>
      </c>
      <c r="I196" s="100" t="s">
        <v>2405</v>
      </c>
    </row>
    <row r="197" spans="1:9">
      <c r="A197" s="95" t="s">
        <v>2407</v>
      </c>
      <c r="B197" s="96" t="s">
        <v>2404</v>
      </c>
      <c r="C197" s="96" t="s">
        <v>1239</v>
      </c>
      <c r="D197" s="96" t="s">
        <v>2381</v>
      </c>
      <c r="E197" s="96" t="s">
        <v>2382</v>
      </c>
      <c r="F197" s="96" t="s">
        <v>2383</v>
      </c>
      <c r="G197" s="88">
        <v>-33000291901</v>
      </c>
      <c r="H197" s="91">
        <v>-33.000291900999997</v>
      </c>
      <c r="I197" s="100" t="s">
        <v>2405</v>
      </c>
    </row>
    <row r="198" spans="1:9">
      <c r="A198" s="95" t="s">
        <v>2407</v>
      </c>
      <c r="B198" s="96" t="s">
        <v>2404</v>
      </c>
      <c r="C198" s="96" t="s">
        <v>1239</v>
      </c>
      <c r="D198" s="96" t="s">
        <v>2384</v>
      </c>
      <c r="E198" s="96" t="s">
        <v>2385</v>
      </c>
      <c r="F198" s="96" t="s">
        <v>2386</v>
      </c>
      <c r="G198" s="88">
        <v>-30716163135</v>
      </c>
      <c r="H198" s="91">
        <v>-30.716163134999999</v>
      </c>
      <c r="I198" s="100" t="s">
        <v>2405</v>
      </c>
    </row>
    <row r="199" spans="1:9">
      <c r="A199" s="95" t="s">
        <v>2407</v>
      </c>
      <c r="B199" s="96" t="s">
        <v>2404</v>
      </c>
      <c r="C199" s="96" t="s">
        <v>1239</v>
      </c>
      <c r="D199" s="96" t="s">
        <v>2387</v>
      </c>
      <c r="E199" s="96" t="s">
        <v>2388</v>
      </c>
      <c r="F199" s="96" t="s">
        <v>2389</v>
      </c>
      <c r="G199" s="88">
        <v>106389879024</v>
      </c>
      <c r="H199" s="91">
        <v>106.389879024</v>
      </c>
      <c r="I199" s="100" t="s">
        <v>2405</v>
      </c>
    </row>
    <row r="200" spans="1:9">
      <c r="A200" s="95" t="s">
        <v>2407</v>
      </c>
      <c r="B200" s="96" t="s">
        <v>2404</v>
      </c>
      <c r="C200" s="96" t="s">
        <v>1239</v>
      </c>
      <c r="D200" s="96" t="s">
        <v>2390</v>
      </c>
      <c r="E200" s="96" t="s">
        <v>2391</v>
      </c>
      <c r="F200" s="96" t="s">
        <v>1631</v>
      </c>
      <c r="G200" s="88">
        <v>466607770</v>
      </c>
      <c r="H200" s="91">
        <v>0.46660776999999998</v>
      </c>
      <c r="I200" s="100" t="s">
        <v>2405</v>
      </c>
    </row>
    <row r="201" spans="1:9">
      <c r="A201" s="95" t="s">
        <v>2407</v>
      </c>
      <c r="B201" s="96" t="s">
        <v>2404</v>
      </c>
      <c r="C201" s="96" t="s">
        <v>1239</v>
      </c>
      <c r="D201" s="96" t="s">
        <v>2392</v>
      </c>
      <c r="E201" s="96" t="s">
        <v>2393</v>
      </c>
      <c r="F201" s="96" t="s">
        <v>2394</v>
      </c>
      <c r="G201" s="88">
        <v>105923271254</v>
      </c>
      <c r="H201" s="91">
        <v>105.923271254</v>
      </c>
      <c r="I201" s="100" t="s">
        <v>2405</v>
      </c>
    </row>
    <row r="202" spans="1:9">
      <c r="A202" s="95" t="s">
        <v>2407</v>
      </c>
      <c r="B202" s="96" t="s">
        <v>2404</v>
      </c>
      <c r="C202" s="96" t="s">
        <v>1239</v>
      </c>
      <c r="D202" s="96" t="s">
        <v>2395</v>
      </c>
      <c r="E202" s="96" t="s">
        <v>2396</v>
      </c>
      <c r="F202" s="96" t="s">
        <v>2397</v>
      </c>
      <c r="G202" s="88">
        <v>483</v>
      </c>
      <c r="H202" s="91">
        <v>4.8299999999999997E-7</v>
      </c>
      <c r="I202" s="100" t="s">
        <v>2405</v>
      </c>
    </row>
    <row r="203" spans="1:9">
      <c r="A203" s="95" t="s">
        <v>2407</v>
      </c>
      <c r="B203" s="96" t="s">
        <v>2404</v>
      </c>
      <c r="C203" s="96" t="s">
        <v>1239</v>
      </c>
      <c r="D203" s="96" t="s">
        <v>2398</v>
      </c>
      <c r="E203" s="96" t="s">
        <v>2399</v>
      </c>
      <c r="F203" s="96" t="s">
        <v>2400</v>
      </c>
      <c r="G203" s="88">
        <v>0</v>
      </c>
      <c r="H203" s="91">
        <v>0</v>
      </c>
      <c r="I203" s="100" t="s">
        <v>2405</v>
      </c>
    </row>
    <row r="204" spans="1:9">
      <c r="A204" s="95" t="s">
        <v>2407</v>
      </c>
      <c r="B204" s="96" t="s">
        <v>2404</v>
      </c>
      <c r="C204" s="96" t="s">
        <v>1239</v>
      </c>
      <c r="D204" s="96" t="s">
        <v>2401</v>
      </c>
      <c r="E204" s="96" t="s">
        <v>2402</v>
      </c>
      <c r="F204" s="96" t="s">
        <v>2403</v>
      </c>
      <c r="G204" s="88">
        <v>85657319</v>
      </c>
      <c r="H204" s="91">
        <v>8.5657318999999996E-2</v>
      </c>
      <c r="I204" s="100" t="s">
        <v>2405</v>
      </c>
    </row>
    <row r="205" spans="1:9">
      <c r="A205" s="95" t="s">
        <v>2407</v>
      </c>
      <c r="B205" s="96" t="s">
        <v>1034</v>
      </c>
      <c r="C205" s="96" t="s">
        <v>1239</v>
      </c>
      <c r="D205" s="96" t="s">
        <v>2334</v>
      </c>
      <c r="E205" s="96" t="s">
        <v>2335</v>
      </c>
      <c r="F205" s="96" t="s">
        <v>2336</v>
      </c>
      <c r="G205" s="88">
        <v>8613230691036</v>
      </c>
      <c r="H205" s="91">
        <v>8613.2306910360003</v>
      </c>
      <c r="I205" s="100" t="s">
        <v>2405</v>
      </c>
    </row>
    <row r="206" spans="1:9">
      <c r="A206" s="95" t="s">
        <v>2407</v>
      </c>
      <c r="B206" s="96" t="s">
        <v>1034</v>
      </c>
      <c r="C206" s="96" t="s">
        <v>1239</v>
      </c>
      <c r="D206" s="96" t="s">
        <v>2338</v>
      </c>
      <c r="E206" s="96" t="s">
        <v>2339</v>
      </c>
      <c r="F206" s="96" t="s">
        <v>2340</v>
      </c>
      <c r="G206" s="88">
        <v>-113048216191</v>
      </c>
      <c r="H206" s="91">
        <v>-113.04821619099999</v>
      </c>
      <c r="I206" s="100" t="s">
        <v>2405</v>
      </c>
    </row>
    <row r="207" spans="1:9">
      <c r="A207" s="95" t="s">
        <v>2407</v>
      </c>
      <c r="B207" s="96" t="s">
        <v>1034</v>
      </c>
      <c r="C207" s="96" t="s">
        <v>1239</v>
      </c>
      <c r="D207" s="96" t="s">
        <v>2341</v>
      </c>
      <c r="E207" s="96" t="s">
        <v>2342</v>
      </c>
      <c r="F207" s="96" t="s">
        <v>2343</v>
      </c>
      <c r="G207" s="88">
        <v>8500182474845</v>
      </c>
      <c r="H207" s="91">
        <v>8500.1824748449999</v>
      </c>
      <c r="I207" s="100" t="s">
        <v>2405</v>
      </c>
    </row>
    <row r="208" spans="1:9">
      <c r="A208" s="95" t="s">
        <v>2407</v>
      </c>
      <c r="B208" s="96" t="s">
        <v>1034</v>
      </c>
      <c r="C208" s="96" t="s">
        <v>1239</v>
      </c>
      <c r="D208" s="96" t="s">
        <v>2344</v>
      </c>
      <c r="E208" s="96" t="s">
        <v>2345</v>
      </c>
      <c r="F208" s="96" t="s">
        <v>2346</v>
      </c>
      <c r="G208" s="88">
        <v>-7696772601834</v>
      </c>
      <c r="H208" s="91">
        <v>-7696.7726018339999</v>
      </c>
      <c r="I208" s="100" t="s">
        <v>2405</v>
      </c>
    </row>
    <row r="209" spans="1:9">
      <c r="A209" s="95" t="s">
        <v>2407</v>
      </c>
      <c r="B209" s="96" t="s">
        <v>1034</v>
      </c>
      <c r="C209" s="96" t="s">
        <v>1239</v>
      </c>
      <c r="D209" s="96" t="s">
        <v>21</v>
      </c>
      <c r="E209" s="96" t="s">
        <v>20</v>
      </c>
      <c r="F209" s="96" t="s">
        <v>2347</v>
      </c>
      <c r="G209" s="88">
        <v>803409873011</v>
      </c>
      <c r="H209" s="91">
        <v>803.40987301099995</v>
      </c>
      <c r="I209" s="100" t="s">
        <v>2405</v>
      </c>
    </row>
    <row r="210" spans="1:9">
      <c r="A210" s="95" t="s">
        <v>2407</v>
      </c>
      <c r="B210" s="96" t="s">
        <v>1034</v>
      </c>
      <c r="C210" s="96" t="s">
        <v>1239</v>
      </c>
      <c r="D210" s="96" t="s">
        <v>26</v>
      </c>
      <c r="E210" s="96" t="s">
        <v>2348</v>
      </c>
      <c r="F210" s="96" t="s">
        <v>2349</v>
      </c>
      <c r="G210" s="88">
        <v>73880719533</v>
      </c>
      <c r="H210" s="91">
        <v>73.880719533000004</v>
      </c>
      <c r="I210" s="100" t="s">
        <v>2405</v>
      </c>
    </row>
    <row r="211" spans="1:9">
      <c r="A211" s="95" t="s">
        <v>2407</v>
      </c>
      <c r="B211" s="96" t="s">
        <v>1034</v>
      </c>
      <c r="C211" s="96" t="s">
        <v>1239</v>
      </c>
      <c r="D211" s="96" t="s">
        <v>2350</v>
      </c>
      <c r="E211" s="96" t="s">
        <v>2351</v>
      </c>
      <c r="F211" s="96" t="s">
        <v>2352</v>
      </c>
      <c r="G211" s="88">
        <v>-83077298153</v>
      </c>
      <c r="H211" s="91">
        <v>-83.077298153000001</v>
      </c>
      <c r="I211" s="100" t="s">
        <v>2405</v>
      </c>
    </row>
    <row r="212" spans="1:9">
      <c r="A212" s="95" t="s">
        <v>2407</v>
      </c>
      <c r="B212" s="96" t="s">
        <v>1034</v>
      </c>
      <c r="C212" s="96" t="s">
        <v>1239</v>
      </c>
      <c r="D212" s="96" t="s">
        <v>2353</v>
      </c>
      <c r="E212" s="96" t="s">
        <v>2354</v>
      </c>
      <c r="F212" s="96" t="s">
        <v>2355</v>
      </c>
      <c r="G212" s="88">
        <v>-49909623855</v>
      </c>
      <c r="H212" s="91">
        <v>-49.909623855</v>
      </c>
      <c r="I212" s="100" t="s">
        <v>2405</v>
      </c>
    </row>
    <row r="213" spans="1:9">
      <c r="A213" s="95" t="s">
        <v>2407</v>
      </c>
      <c r="B213" s="96" t="s">
        <v>1034</v>
      </c>
      <c r="C213" s="96" t="s">
        <v>1239</v>
      </c>
      <c r="D213" s="96" t="s">
        <v>32</v>
      </c>
      <c r="E213" s="96" t="s">
        <v>2356</v>
      </c>
      <c r="F213" s="96" t="s">
        <v>2357</v>
      </c>
      <c r="G213" s="88">
        <v>-493568022163</v>
      </c>
      <c r="H213" s="91">
        <v>-493.56802216300002</v>
      </c>
      <c r="I213" s="100" t="s">
        <v>2405</v>
      </c>
    </row>
    <row r="214" spans="1:9">
      <c r="A214" s="95" t="s">
        <v>2407</v>
      </c>
      <c r="B214" s="96" t="s">
        <v>1034</v>
      </c>
      <c r="C214" s="96" t="s">
        <v>1239</v>
      </c>
      <c r="D214" s="96" t="s">
        <v>2358</v>
      </c>
      <c r="E214" s="96" t="s">
        <v>2359</v>
      </c>
      <c r="F214" s="96" t="s">
        <v>2360</v>
      </c>
      <c r="G214" s="88">
        <v>-53857199144</v>
      </c>
      <c r="H214" s="91">
        <v>-53.857199143999999</v>
      </c>
      <c r="I214" s="100" t="s">
        <v>2405</v>
      </c>
    </row>
    <row r="215" spans="1:9">
      <c r="A215" s="95" t="s">
        <v>2407</v>
      </c>
      <c r="B215" s="96" t="s">
        <v>1034</v>
      </c>
      <c r="C215" s="96" t="s">
        <v>1239</v>
      </c>
      <c r="D215" s="96" t="s">
        <v>2361</v>
      </c>
      <c r="E215" s="96" t="s">
        <v>2362</v>
      </c>
      <c r="F215" s="96" t="s">
        <v>2363</v>
      </c>
      <c r="G215" s="88">
        <v>245991233357</v>
      </c>
      <c r="H215" s="91">
        <v>245.991233357</v>
      </c>
      <c r="I215" s="100" t="s">
        <v>2405</v>
      </c>
    </row>
    <row r="216" spans="1:9">
      <c r="A216" s="95" t="s">
        <v>2407</v>
      </c>
      <c r="B216" s="96" t="s">
        <v>1034</v>
      </c>
      <c r="C216" s="96" t="s">
        <v>1239</v>
      </c>
      <c r="D216" s="96" t="s">
        <v>2364</v>
      </c>
      <c r="E216" s="96" t="s">
        <v>2365</v>
      </c>
      <c r="F216" s="96" t="s">
        <v>2366</v>
      </c>
      <c r="G216" s="88">
        <v>12549771579</v>
      </c>
      <c r="H216" s="91">
        <v>12.549771579</v>
      </c>
      <c r="I216" s="100" t="s">
        <v>2405</v>
      </c>
    </row>
    <row r="217" spans="1:9">
      <c r="A217" s="95" t="s">
        <v>2407</v>
      </c>
      <c r="B217" s="96" t="s">
        <v>1034</v>
      </c>
      <c r="C217" s="96" t="s">
        <v>1239</v>
      </c>
      <c r="D217" s="96" t="s">
        <v>1690</v>
      </c>
      <c r="E217" s="96" t="s">
        <v>2367</v>
      </c>
      <c r="F217" s="96" t="s">
        <v>2368</v>
      </c>
      <c r="G217" s="88">
        <v>-1799424368</v>
      </c>
      <c r="H217" s="91">
        <v>-1.7994243679999999</v>
      </c>
      <c r="I217" s="100" t="s">
        <v>2405</v>
      </c>
    </row>
    <row r="218" spans="1:9">
      <c r="A218" s="95" t="s">
        <v>2407</v>
      </c>
      <c r="B218" s="96" t="s">
        <v>1034</v>
      </c>
      <c r="C218" s="96" t="s">
        <v>1239</v>
      </c>
      <c r="D218" s="96" t="s">
        <v>2369</v>
      </c>
      <c r="E218" s="96" t="s">
        <v>2370</v>
      </c>
      <c r="F218" s="96" t="s">
        <v>2371</v>
      </c>
      <c r="G218" s="88">
        <v>10750347211</v>
      </c>
      <c r="H218" s="91">
        <v>10.750347210999999</v>
      </c>
      <c r="I218" s="100" t="s">
        <v>2405</v>
      </c>
    </row>
    <row r="219" spans="1:9">
      <c r="A219" s="95" t="s">
        <v>2407</v>
      </c>
      <c r="B219" s="96" t="s">
        <v>1034</v>
      </c>
      <c r="C219" s="96" t="s">
        <v>1239</v>
      </c>
      <c r="D219" s="96" t="s">
        <v>2372</v>
      </c>
      <c r="E219" s="96" t="s">
        <v>2373</v>
      </c>
      <c r="F219" s="96" t="s">
        <v>2374</v>
      </c>
      <c r="G219" s="88">
        <v>0</v>
      </c>
      <c r="H219" s="91">
        <v>0</v>
      </c>
      <c r="I219" s="100" t="s">
        <v>2405</v>
      </c>
    </row>
    <row r="220" spans="1:9">
      <c r="A220" s="95" t="s">
        <v>2407</v>
      </c>
      <c r="B220" s="96" t="s">
        <v>1034</v>
      </c>
      <c r="C220" s="96" t="s">
        <v>1239</v>
      </c>
      <c r="D220" s="96" t="s">
        <v>2375</v>
      </c>
      <c r="E220" s="96" t="s">
        <v>2376</v>
      </c>
      <c r="F220" s="96" t="s">
        <v>2377</v>
      </c>
      <c r="G220" s="88">
        <v>256741580568</v>
      </c>
      <c r="H220" s="91">
        <v>256.74158056800002</v>
      </c>
      <c r="I220" s="100" t="s">
        <v>2405</v>
      </c>
    </row>
    <row r="221" spans="1:9">
      <c r="A221" s="95" t="s">
        <v>2407</v>
      </c>
      <c r="B221" s="96" t="s">
        <v>1034</v>
      </c>
      <c r="C221" s="96" t="s">
        <v>1239</v>
      </c>
      <c r="D221" s="96" t="s">
        <v>2378</v>
      </c>
      <c r="E221" s="96" t="s">
        <v>2379</v>
      </c>
      <c r="F221" s="96" t="s">
        <v>2380</v>
      </c>
      <c r="G221" s="88">
        <v>-66936647447</v>
      </c>
      <c r="H221" s="91">
        <v>-66.936647446999999</v>
      </c>
      <c r="I221" s="100" t="s">
        <v>2405</v>
      </c>
    </row>
    <row r="222" spans="1:9">
      <c r="A222" s="95" t="s">
        <v>2407</v>
      </c>
      <c r="B222" s="96" t="s">
        <v>1034</v>
      </c>
      <c r="C222" s="96" t="s">
        <v>1239</v>
      </c>
      <c r="D222" s="96" t="s">
        <v>2381</v>
      </c>
      <c r="E222" s="96" t="s">
        <v>2382</v>
      </c>
      <c r="F222" s="96" t="s">
        <v>2383</v>
      </c>
      <c r="G222" s="88">
        <v>12078603766</v>
      </c>
      <c r="H222" s="91">
        <v>12.078603766000001</v>
      </c>
      <c r="I222" s="100" t="s">
        <v>2405</v>
      </c>
    </row>
    <row r="223" spans="1:9">
      <c r="A223" s="95" t="s">
        <v>2407</v>
      </c>
      <c r="B223" s="96" t="s">
        <v>1034</v>
      </c>
      <c r="C223" s="96" t="s">
        <v>1239</v>
      </c>
      <c r="D223" s="96" t="s">
        <v>2384</v>
      </c>
      <c r="E223" s="96" t="s">
        <v>2385</v>
      </c>
      <c r="F223" s="96" t="s">
        <v>2386</v>
      </c>
      <c r="G223" s="88">
        <v>-54858043681</v>
      </c>
      <c r="H223" s="91">
        <v>-54.858043680999998</v>
      </c>
      <c r="I223" s="100" t="s">
        <v>2405</v>
      </c>
    </row>
    <row r="224" spans="1:9">
      <c r="A224" s="95" t="s">
        <v>2407</v>
      </c>
      <c r="B224" s="96" t="s">
        <v>1034</v>
      </c>
      <c r="C224" s="96" t="s">
        <v>1239</v>
      </c>
      <c r="D224" s="96" t="s">
        <v>2387</v>
      </c>
      <c r="E224" s="96" t="s">
        <v>2388</v>
      </c>
      <c r="F224" s="96" t="s">
        <v>2389</v>
      </c>
      <c r="G224" s="88">
        <v>201883536887</v>
      </c>
      <c r="H224" s="91">
        <v>201.88353688699999</v>
      </c>
      <c r="I224" s="100" t="s">
        <v>2405</v>
      </c>
    </row>
    <row r="225" spans="1:9">
      <c r="A225" s="95" t="s">
        <v>2407</v>
      </c>
      <c r="B225" s="96" t="s">
        <v>1034</v>
      </c>
      <c r="C225" s="96" t="s">
        <v>1239</v>
      </c>
      <c r="D225" s="96" t="s">
        <v>2390</v>
      </c>
      <c r="E225" s="96" t="s">
        <v>2391</v>
      </c>
      <c r="F225" s="96" t="s">
        <v>1631</v>
      </c>
      <c r="G225" s="88">
        <v>1666227548</v>
      </c>
      <c r="H225" s="91">
        <v>1.6662275479999999</v>
      </c>
      <c r="I225" s="100" t="s">
        <v>2405</v>
      </c>
    </row>
    <row r="226" spans="1:9">
      <c r="A226" s="95" t="s">
        <v>2407</v>
      </c>
      <c r="B226" s="96" t="s">
        <v>1034</v>
      </c>
      <c r="C226" s="96" t="s">
        <v>1239</v>
      </c>
      <c r="D226" s="96" t="s">
        <v>2392</v>
      </c>
      <c r="E226" s="96" t="s">
        <v>2393</v>
      </c>
      <c r="F226" s="96" t="s">
        <v>2394</v>
      </c>
      <c r="G226" s="88">
        <v>200217309339</v>
      </c>
      <c r="H226" s="91">
        <v>200.217309339</v>
      </c>
      <c r="I226" s="100" t="s">
        <v>2405</v>
      </c>
    </row>
    <row r="227" spans="1:9">
      <c r="A227" s="95" t="s">
        <v>2407</v>
      </c>
      <c r="B227" s="96" t="s">
        <v>1034</v>
      </c>
      <c r="C227" s="96" t="s">
        <v>1239</v>
      </c>
      <c r="D227" s="96" t="s">
        <v>2395</v>
      </c>
      <c r="E227" s="96" t="s">
        <v>2396</v>
      </c>
      <c r="F227" s="96" t="s">
        <v>2397</v>
      </c>
      <c r="G227" s="88">
        <v>905</v>
      </c>
      <c r="H227" s="91">
        <v>9.0500000000000002E-7</v>
      </c>
      <c r="I227" s="100" t="s">
        <v>2405</v>
      </c>
    </row>
    <row r="228" spans="1:9">
      <c r="A228" s="95" t="s">
        <v>2407</v>
      </c>
      <c r="B228" s="96" t="s">
        <v>1034</v>
      </c>
      <c r="C228" s="96" t="s">
        <v>1239</v>
      </c>
      <c r="D228" s="96" t="s">
        <v>2398</v>
      </c>
      <c r="E228" s="96" t="s">
        <v>2399</v>
      </c>
      <c r="F228" s="96" t="s">
        <v>2400</v>
      </c>
      <c r="G228" s="88">
        <v>0</v>
      </c>
      <c r="H228" s="91">
        <v>0</v>
      </c>
      <c r="I228" s="100" t="s">
        <v>2405</v>
      </c>
    </row>
    <row r="229" spans="1:9">
      <c r="A229" s="95" t="s">
        <v>2407</v>
      </c>
      <c r="B229" s="96" t="s">
        <v>1034</v>
      </c>
      <c r="C229" s="96" t="s">
        <v>1239</v>
      </c>
      <c r="D229" s="96" t="s">
        <v>2401</v>
      </c>
      <c r="E229" s="96" t="s">
        <v>2402</v>
      </c>
      <c r="F229" s="96" t="s">
        <v>2403</v>
      </c>
      <c r="G229" s="88">
        <v>-796839727</v>
      </c>
      <c r="H229" s="91">
        <v>-0.79683972700000005</v>
      </c>
      <c r="I229" s="100" t="s">
        <v>2405</v>
      </c>
    </row>
    <row r="230" spans="1:9">
      <c r="A230" s="95" t="s">
        <v>2408</v>
      </c>
      <c r="B230" s="96" t="s">
        <v>2333</v>
      </c>
      <c r="C230" s="96" t="s">
        <v>1239</v>
      </c>
      <c r="D230" s="96" t="s">
        <v>2334</v>
      </c>
      <c r="E230" s="96" t="s">
        <v>2335</v>
      </c>
      <c r="F230" s="96" t="s">
        <v>2336</v>
      </c>
      <c r="G230" s="88">
        <v>22308157116900</v>
      </c>
      <c r="H230" s="91">
        <v>22308.157116900002</v>
      </c>
      <c r="I230" s="100" t="s">
        <v>2337</v>
      </c>
    </row>
    <row r="231" spans="1:9">
      <c r="A231" s="95" t="s">
        <v>2408</v>
      </c>
      <c r="B231" s="96" t="s">
        <v>2333</v>
      </c>
      <c r="C231" s="96" t="s">
        <v>1239</v>
      </c>
      <c r="D231" s="96" t="s">
        <v>2338</v>
      </c>
      <c r="E231" s="96" t="s">
        <v>2339</v>
      </c>
      <c r="F231" s="96" t="s">
        <v>2340</v>
      </c>
      <c r="G231" s="88">
        <v>-492919092159</v>
      </c>
      <c r="H231" s="91">
        <v>-492.919092159</v>
      </c>
      <c r="I231" s="100" t="s">
        <v>2337</v>
      </c>
    </row>
    <row r="232" spans="1:9">
      <c r="A232" s="95" t="s">
        <v>2408</v>
      </c>
      <c r="B232" s="96" t="s">
        <v>2333</v>
      </c>
      <c r="C232" s="96" t="s">
        <v>1239</v>
      </c>
      <c r="D232" s="96" t="s">
        <v>2341</v>
      </c>
      <c r="E232" s="96" t="s">
        <v>2342</v>
      </c>
      <c r="F232" s="96" t="s">
        <v>2343</v>
      </c>
      <c r="G232" s="88">
        <v>21815238024741</v>
      </c>
      <c r="H232" s="91">
        <v>21815.238024741</v>
      </c>
      <c r="I232" s="100" t="s">
        <v>2337</v>
      </c>
    </row>
    <row r="233" spans="1:9">
      <c r="A233" s="95" t="s">
        <v>2408</v>
      </c>
      <c r="B233" s="96" t="s">
        <v>2333</v>
      </c>
      <c r="C233" s="96" t="s">
        <v>1239</v>
      </c>
      <c r="D233" s="96" t="s">
        <v>2344</v>
      </c>
      <c r="E233" s="96" t="s">
        <v>2345</v>
      </c>
      <c r="F233" s="96" t="s">
        <v>2346</v>
      </c>
      <c r="G233" s="88">
        <v>-20815361906077</v>
      </c>
      <c r="H233" s="91">
        <v>-20815.361906077</v>
      </c>
      <c r="I233" s="100" t="s">
        <v>2337</v>
      </c>
    </row>
    <row r="234" spans="1:9">
      <c r="A234" s="95" t="s">
        <v>2408</v>
      </c>
      <c r="B234" s="96" t="s">
        <v>2333</v>
      </c>
      <c r="C234" s="96" t="s">
        <v>1239</v>
      </c>
      <c r="D234" s="96" t="s">
        <v>21</v>
      </c>
      <c r="E234" s="96" t="s">
        <v>20</v>
      </c>
      <c r="F234" s="96" t="s">
        <v>2347</v>
      </c>
      <c r="G234" s="88">
        <v>999876118664</v>
      </c>
      <c r="H234" s="91">
        <v>999.87611866400005</v>
      </c>
      <c r="I234" s="100" t="s">
        <v>2337</v>
      </c>
    </row>
    <row r="235" spans="1:9">
      <c r="A235" s="95" t="s">
        <v>2408</v>
      </c>
      <c r="B235" s="96" t="s">
        <v>2333</v>
      </c>
      <c r="C235" s="96" t="s">
        <v>1239</v>
      </c>
      <c r="D235" s="96" t="s">
        <v>26</v>
      </c>
      <c r="E235" s="96" t="s">
        <v>2348</v>
      </c>
      <c r="F235" s="96" t="s">
        <v>2349</v>
      </c>
      <c r="G235" s="88">
        <v>446477746071</v>
      </c>
      <c r="H235" s="91">
        <v>446.47774607100001</v>
      </c>
      <c r="I235" s="100" t="s">
        <v>2337</v>
      </c>
    </row>
    <row r="236" spans="1:9">
      <c r="A236" s="95" t="s">
        <v>2408</v>
      </c>
      <c r="B236" s="96" t="s">
        <v>2333</v>
      </c>
      <c r="C236" s="96" t="s">
        <v>1239</v>
      </c>
      <c r="D236" s="96" t="s">
        <v>2350</v>
      </c>
      <c r="E236" s="96" t="s">
        <v>2351</v>
      </c>
      <c r="F236" s="96" t="s">
        <v>2352</v>
      </c>
      <c r="G236" s="88">
        <v>-318149014285</v>
      </c>
      <c r="H236" s="91">
        <v>-318.14901428500002</v>
      </c>
      <c r="I236" s="100" t="s">
        <v>2337</v>
      </c>
    </row>
    <row r="237" spans="1:9">
      <c r="A237" s="95" t="s">
        <v>2408</v>
      </c>
      <c r="B237" s="96" t="s">
        <v>2333</v>
      </c>
      <c r="C237" s="96" t="s">
        <v>1239</v>
      </c>
      <c r="D237" s="96" t="s">
        <v>2353</v>
      </c>
      <c r="E237" s="96" t="s">
        <v>2354</v>
      </c>
      <c r="F237" s="96" t="s">
        <v>2355</v>
      </c>
      <c r="G237" s="88">
        <v>-230628646948</v>
      </c>
      <c r="H237" s="91">
        <v>-230.62864694800001</v>
      </c>
      <c r="I237" s="100" t="s">
        <v>2337</v>
      </c>
    </row>
    <row r="238" spans="1:9">
      <c r="A238" s="95" t="s">
        <v>2408</v>
      </c>
      <c r="B238" s="96" t="s">
        <v>2333</v>
      </c>
      <c r="C238" s="96" t="s">
        <v>1239</v>
      </c>
      <c r="D238" s="96" t="s">
        <v>32</v>
      </c>
      <c r="E238" s="96" t="s">
        <v>2356</v>
      </c>
      <c r="F238" s="96" t="s">
        <v>2357</v>
      </c>
      <c r="G238" s="88">
        <v>-446096996133</v>
      </c>
      <c r="H238" s="91">
        <v>-446.096996133</v>
      </c>
      <c r="I238" s="100" t="s">
        <v>2337</v>
      </c>
    </row>
    <row r="239" spans="1:9">
      <c r="A239" s="95" t="s">
        <v>2408</v>
      </c>
      <c r="B239" s="96" t="s">
        <v>2333</v>
      </c>
      <c r="C239" s="96" t="s">
        <v>1239</v>
      </c>
      <c r="D239" s="96" t="s">
        <v>2358</v>
      </c>
      <c r="E239" s="96" t="s">
        <v>2359</v>
      </c>
      <c r="F239" s="96" t="s">
        <v>2360</v>
      </c>
      <c r="G239" s="88">
        <v>-239213027240</v>
      </c>
      <c r="H239" s="91">
        <v>-239.21302724</v>
      </c>
      <c r="I239" s="100" t="s">
        <v>2337</v>
      </c>
    </row>
    <row r="240" spans="1:9">
      <c r="A240" s="95" t="s">
        <v>2408</v>
      </c>
      <c r="B240" s="96" t="s">
        <v>2333</v>
      </c>
      <c r="C240" s="96" t="s">
        <v>1239</v>
      </c>
      <c r="D240" s="96" t="s">
        <v>2361</v>
      </c>
      <c r="E240" s="96" t="s">
        <v>2362</v>
      </c>
      <c r="F240" s="96" t="s">
        <v>2363</v>
      </c>
      <c r="G240" s="88">
        <v>437432803184</v>
      </c>
      <c r="H240" s="91">
        <v>437.43280318400002</v>
      </c>
      <c r="I240" s="100" t="s">
        <v>2337</v>
      </c>
    </row>
    <row r="241" spans="1:9">
      <c r="A241" s="95" t="s">
        <v>2408</v>
      </c>
      <c r="B241" s="96" t="s">
        <v>2333</v>
      </c>
      <c r="C241" s="96" t="s">
        <v>1239</v>
      </c>
      <c r="D241" s="96" t="s">
        <v>2364</v>
      </c>
      <c r="E241" s="96" t="s">
        <v>2365</v>
      </c>
      <c r="F241" s="96" t="s">
        <v>2366</v>
      </c>
      <c r="G241" s="88">
        <v>17366914589</v>
      </c>
      <c r="H241" s="91">
        <v>17.366914589</v>
      </c>
      <c r="I241" s="100" t="s">
        <v>2337</v>
      </c>
    </row>
    <row r="242" spans="1:9">
      <c r="A242" s="95" t="s">
        <v>2408</v>
      </c>
      <c r="B242" s="96" t="s">
        <v>2333</v>
      </c>
      <c r="C242" s="96" t="s">
        <v>1239</v>
      </c>
      <c r="D242" s="96" t="s">
        <v>1690</v>
      </c>
      <c r="E242" s="96" t="s">
        <v>2367</v>
      </c>
      <c r="F242" s="96" t="s">
        <v>2368</v>
      </c>
      <c r="G242" s="88">
        <v>-3089512680</v>
      </c>
      <c r="H242" s="91">
        <v>-3.0895126799999999</v>
      </c>
      <c r="I242" s="100" t="s">
        <v>2337</v>
      </c>
    </row>
    <row r="243" spans="1:9">
      <c r="A243" s="95" t="s">
        <v>2408</v>
      </c>
      <c r="B243" s="96" t="s">
        <v>2333</v>
      </c>
      <c r="C243" s="96" t="s">
        <v>1239</v>
      </c>
      <c r="D243" s="96" t="s">
        <v>2369</v>
      </c>
      <c r="E243" s="96" t="s">
        <v>2370</v>
      </c>
      <c r="F243" s="96" t="s">
        <v>2371</v>
      </c>
      <c r="G243" s="88">
        <v>14277401909</v>
      </c>
      <c r="H243" s="91">
        <v>14.277401909</v>
      </c>
      <c r="I243" s="100" t="s">
        <v>2337</v>
      </c>
    </row>
    <row r="244" spans="1:9">
      <c r="A244" s="95" t="s">
        <v>2408</v>
      </c>
      <c r="B244" s="96" t="s">
        <v>2333</v>
      </c>
      <c r="C244" s="96" t="s">
        <v>1239</v>
      </c>
      <c r="D244" s="96" t="s">
        <v>2372</v>
      </c>
      <c r="E244" s="96" t="s">
        <v>2373</v>
      </c>
      <c r="F244" s="96" t="s">
        <v>2374</v>
      </c>
      <c r="G244" s="88">
        <v>0</v>
      </c>
      <c r="H244" s="91">
        <v>0</v>
      </c>
      <c r="I244" s="100" t="s">
        <v>2337</v>
      </c>
    </row>
    <row r="245" spans="1:9">
      <c r="A245" s="95" t="s">
        <v>2408</v>
      </c>
      <c r="B245" s="96" t="s">
        <v>2333</v>
      </c>
      <c r="C245" s="96" t="s">
        <v>1239</v>
      </c>
      <c r="D245" s="96" t="s">
        <v>2375</v>
      </c>
      <c r="E245" s="96" t="s">
        <v>2376</v>
      </c>
      <c r="F245" s="96" t="s">
        <v>2377</v>
      </c>
      <c r="G245" s="88">
        <v>451710205093</v>
      </c>
      <c r="H245" s="91">
        <v>451.71020509300001</v>
      </c>
      <c r="I245" s="100" t="s">
        <v>2337</v>
      </c>
    </row>
    <row r="246" spans="1:9">
      <c r="A246" s="95" t="s">
        <v>2408</v>
      </c>
      <c r="B246" s="96" t="s">
        <v>2333</v>
      </c>
      <c r="C246" s="96" t="s">
        <v>1239</v>
      </c>
      <c r="D246" s="96" t="s">
        <v>2378</v>
      </c>
      <c r="E246" s="96" t="s">
        <v>2379</v>
      </c>
      <c r="F246" s="96" t="s">
        <v>2380</v>
      </c>
      <c r="G246" s="88">
        <v>-102142954382</v>
      </c>
      <c r="H246" s="91">
        <v>-102.142954382</v>
      </c>
      <c r="I246" s="100" t="s">
        <v>2337</v>
      </c>
    </row>
    <row r="247" spans="1:9">
      <c r="A247" s="95" t="s">
        <v>2408</v>
      </c>
      <c r="B247" s="96" t="s">
        <v>2333</v>
      </c>
      <c r="C247" s="96" t="s">
        <v>1239</v>
      </c>
      <c r="D247" s="96" t="s">
        <v>2381</v>
      </c>
      <c r="E247" s="96" t="s">
        <v>2382</v>
      </c>
      <c r="F247" s="96" t="s">
        <v>2383</v>
      </c>
      <c r="G247" s="88">
        <v>446614567</v>
      </c>
      <c r="H247" s="91">
        <v>0.44661456700000002</v>
      </c>
      <c r="I247" s="100" t="s">
        <v>2337</v>
      </c>
    </row>
    <row r="248" spans="1:9">
      <c r="A248" s="95" t="s">
        <v>2408</v>
      </c>
      <c r="B248" s="96" t="s">
        <v>2333</v>
      </c>
      <c r="C248" s="96" t="s">
        <v>1239</v>
      </c>
      <c r="D248" s="96" t="s">
        <v>2384</v>
      </c>
      <c r="E248" s="96" t="s">
        <v>2385</v>
      </c>
      <c r="F248" s="96" t="s">
        <v>2386</v>
      </c>
      <c r="G248" s="88">
        <v>-101696339815</v>
      </c>
      <c r="H248" s="91">
        <v>-101.696339815</v>
      </c>
      <c r="I248" s="100" t="s">
        <v>2337</v>
      </c>
    </row>
    <row r="249" spans="1:9">
      <c r="A249" s="95" t="s">
        <v>2408</v>
      </c>
      <c r="B249" s="96" t="s">
        <v>2333</v>
      </c>
      <c r="C249" s="96" t="s">
        <v>1239</v>
      </c>
      <c r="D249" s="96" t="s">
        <v>2387</v>
      </c>
      <c r="E249" s="96" t="s">
        <v>2388</v>
      </c>
      <c r="F249" s="96" t="s">
        <v>2389</v>
      </c>
      <c r="G249" s="88">
        <v>350013865278</v>
      </c>
      <c r="H249" s="91">
        <v>350.01386527800003</v>
      </c>
      <c r="I249" s="100" t="s">
        <v>2337</v>
      </c>
    </row>
    <row r="250" spans="1:9">
      <c r="A250" s="95" t="s">
        <v>2408</v>
      </c>
      <c r="B250" s="96" t="s">
        <v>2333</v>
      </c>
      <c r="C250" s="96" t="s">
        <v>1239</v>
      </c>
      <c r="D250" s="96" t="s">
        <v>2390</v>
      </c>
      <c r="E250" s="96" t="s">
        <v>2391</v>
      </c>
      <c r="F250" s="96" t="s">
        <v>1631</v>
      </c>
      <c r="G250" s="88">
        <v>91879956763</v>
      </c>
      <c r="H250" s="91">
        <v>91.879956762999996</v>
      </c>
      <c r="I250" s="100" t="s">
        <v>2337</v>
      </c>
    </row>
    <row r="251" spans="1:9">
      <c r="A251" s="95" t="s">
        <v>2408</v>
      </c>
      <c r="B251" s="96" t="s">
        <v>2333</v>
      </c>
      <c r="C251" s="96" t="s">
        <v>1239</v>
      </c>
      <c r="D251" s="96" t="s">
        <v>2392</v>
      </c>
      <c r="E251" s="96" t="s">
        <v>2393</v>
      </c>
      <c r="F251" s="96" t="s">
        <v>2394</v>
      </c>
      <c r="G251" s="88">
        <v>258133908515</v>
      </c>
      <c r="H251" s="91">
        <v>258.13390851499997</v>
      </c>
      <c r="I251" s="100" t="s">
        <v>2337</v>
      </c>
    </row>
    <row r="252" spans="1:9">
      <c r="A252" s="95" t="s">
        <v>2408</v>
      </c>
      <c r="B252" s="96" t="s">
        <v>2333</v>
      </c>
      <c r="C252" s="96" t="s">
        <v>1239</v>
      </c>
      <c r="D252" s="96" t="s">
        <v>2395</v>
      </c>
      <c r="E252" s="96" t="s">
        <v>2396</v>
      </c>
      <c r="F252" s="96" t="s">
        <v>2397</v>
      </c>
      <c r="G252" s="88">
        <v>2304</v>
      </c>
      <c r="H252" s="91">
        <v>2.3039999999999999E-6</v>
      </c>
      <c r="I252" s="100" t="s">
        <v>2337</v>
      </c>
    </row>
    <row r="253" spans="1:9">
      <c r="A253" s="95" t="s">
        <v>2408</v>
      </c>
      <c r="B253" s="96" t="s">
        <v>2333</v>
      </c>
      <c r="C253" s="96" t="s">
        <v>1239</v>
      </c>
      <c r="D253" s="96" t="s">
        <v>2398</v>
      </c>
      <c r="E253" s="96" t="s">
        <v>2399</v>
      </c>
      <c r="F253" s="96" t="s">
        <v>2400</v>
      </c>
      <c r="G253" s="88">
        <v>2304</v>
      </c>
      <c r="H253" s="91">
        <v>2.3039999999999999E-6</v>
      </c>
      <c r="I253" s="100" t="s">
        <v>2337</v>
      </c>
    </row>
    <row r="254" spans="1:9">
      <c r="A254" s="95" t="s">
        <v>2408</v>
      </c>
      <c r="B254" s="96" t="s">
        <v>2333</v>
      </c>
      <c r="C254" s="96" t="s">
        <v>1239</v>
      </c>
      <c r="D254" s="96" t="s">
        <v>2401</v>
      </c>
      <c r="E254" s="96" t="s">
        <v>2402</v>
      </c>
      <c r="F254" s="96" t="s">
        <v>2403</v>
      </c>
      <c r="G254" s="88">
        <v>-5462023893</v>
      </c>
      <c r="H254" s="91">
        <v>-5.4620238929999996</v>
      </c>
      <c r="I254" s="100" t="s">
        <v>2337</v>
      </c>
    </row>
    <row r="255" spans="1:9">
      <c r="A255" s="95" t="s">
        <v>2408</v>
      </c>
      <c r="B255" s="96" t="s">
        <v>2404</v>
      </c>
      <c r="C255" s="96" t="s">
        <v>1239</v>
      </c>
      <c r="D255" s="96" t="s">
        <v>2334</v>
      </c>
      <c r="E255" s="96" t="s">
        <v>2335</v>
      </c>
      <c r="F255" s="96" t="s">
        <v>2336</v>
      </c>
      <c r="G255" s="88">
        <v>4098174272344</v>
      </c>
      <c r="H255" s="91">
        <v>4098.1742723440002</v>
      </c>
      <c r="I255" s="100" t="s">
        <v>2405</v>
      </c>
    </row>
    <row r="256" spans="1:9">
      <c r="A256" s="95" t="s">
        <v>2408</v>
      </c>
      <c r="B256" s="96" t="s">
        <v>2404</v>
      </c>
      <c r="C256" s="96" t="s">
        <v>1239</v>
      </c>
      <c r="D256" s="96" t="s">
        <v>2338</v>
      </c>
      <c r="E256" s="96" t="s">
        <v>2339</v>
      </c>
      <c r="F256" s="96" t="s">
        <v>2340</v>
      </c>
      <c r="G256" s="88">
        <v>-81442004881</v>
      </c>
      <c r="H256" s="91">
        <v>-81.442004881000003</v>
      </c>
      <c r="I256" s="100" t="s">
        <v>2405</v>
      </c>
    </row>
    <row r="257" spans="1:9">
      <c r="A257" s="95" t="s">
        <v>2408</v>
      </c>
      <c r="B257" s="96" t="s">
        <v>2404</v>
      </c>
      <c r="C257" s="96" t="s">
        <v>1239</v>
      </c>
      <c r="D257" s="96" t="s">
        <v>2341</v>
      </c>
      <c r="E257" s="96" t="s">
        <v>2342</v>
      </c>
      <c r="F257" s="96" t="s">
        <v>2343</v>
      </c>
      <c r="G257" s="88">
        <v>4016732267463</v>
      </c>
      <c r="H257" s="91">
        <v>4016.732267463</v>
      </c>
      <c r="I257" s="100" t="s">
        <v>2405</v>
      </c>
    </row>
    <row r="258" spans="1:9">
      <c r="A258" s="95" t="s">
        <v>2408</v>
      </c>
      <c r="B258" s="96" t="s">
        <v>2404</v>
      </c>
      <c r="C258" s="96" t="s">
        <v>1239</v>
      </c>
      <c r="D258" s="96" t="s">
        <v>2344</v>
      </c>
      <c r="E258" s="96" t="s">
        <v>2345</v>
      </c>
      <c r="F258" s="96" t="s">
        <v>2346</v>
      </c>
      <c r="G258" s="88">
        <v>-3824027939049</v>
      </c>
      <c r="H258" s="91">
        <v>-3824.027939049</v>
      </c>
      <c r="I258" s="100" t="s">
        <v>2405</v>
      </c>
    </row>
    <row r="259" spans="1:9">
      <c r="A259" s="95" t="s">
        <v>2408</v>
      </c>
      <c r="B259" s="96" t="s">
        <v>2404</v>
      </c>
      <c r="C259" s="96" t="s">
        <v>1239</v>
      </c>
      <c r="D259" s="96" t="s">
        <v>21</v>
      </c>
      <c r="E259" s="96" t="s">
        <v>20</v>
      </c>
      <c r="F259" s="96" t="s">
        <v>2347</v>
      </c>
      <c r="G259" s="88">
        <v>192704328414</v>
      </c>
      <c r="H259" s="91">
        <v>192.704328414</v>
      </c>
      <c r="I259" s="100" t="s">
        <v>2405</v>
      </c>
    </row>
    <row r="260" spans="1:9">
      <c r="A260" s="95" t="s">
        <v>2408</v>
      </c>
      <c r="B260" s="96" t="s">
        <v>2404</v>
      </c>
      <c r="C260" s="96" t="s">
        <v>1239</v>
      </c>
      <c r="D260" s="96" t="s">
        <v>26</v>
      </c>
      <c r="E260" s="96" t="s">
        <v>2348</v>
      </c>
      <c r="F260" s="96" t="s">
        <v>2349</v>
      </c>
      <c r="G260" s="88">
        <v>57743015738</v>
      </c>
      <c r="H260" s="91">
        <v>57.743015737999997</v>
      </c>
      <c r="I260" s="100" t="s">
        <v>2405</v>
      </c>
    </row>
    <row r="261" spans="1:9">
      <c r="A261" s="95" t="s">
        <v>2408</v>
      </c>
      <c r="B261" s="96" t="s">
        <v>2404</v>
      </c>
      <c r="C261" s="96" t="s">
        <v>1239</v>
      </c>
      <c r="D261" s="96" t="s">
        <v>2350</v>
      </c>
      <c r="E261" s="96" t="s">
        <v>2351</v>
      </c>
      <c r="F261" s="96" t="s">
        <v>2352</v>
      </c>
      <c r="G261" s="88">
        <v>-46225328896</v>
      </c>
      <c r="H261" s="91">
        <v>-46.225328896000001</v>
      </c>
      <c r="I261" s="100" t="s">
        <v>2405</v>
      </c>
    </row>
    <row r="262" spans="1:9">
      <c r="A262" s="95" t="s">
        <v>2408</v>
      </c>
      <c r="B262" s="96" t="s">
        <v>2404</v>
      </c>
      <c r="C262" s="96" t="s">
        <v>1239</v>
      </c>
      <c r="D262" s="96" t="s">
        <v>2353</v>
      </c>
      <c r="E262" s="96" t="s">
        <v>2354</v>
      </c>
      <c r="F262" s="96" t="s">
        <v>2355</v>
      </c>
      <c r="G262" s="88">
        <v>-46334026389</v>
      </c>
      <c r="H262" s="91">
        <v>-46.334026389000002</v>
      </c>
      <c r="I262" s="100" t="s">
        <v>2405</v>
      </c>
    </row>
    <row r="263" spans="1:9">
      <c r="A263" s="95" t="s">
        <v>2408</v>
      </c>
      <c r="B263" s="96" t="s">
        <v>2404</v>
      </c>
      <c r="C263" s="96" t="s">
        <v>1239</v>
      </c>
      <c r="D263" s="96" t="s">
        <v>32</v>
      </c>
      <c r="E263" s="96" t="s">
        <v>2356</v>
      </c>
      <c r="F263" s="96" t="s">
        <v>2357</v>
      </c>
      <c r="G263" s="88">
        <v>-92836156814</v>
      </c>
      <c r="H263" s="91">
        <v>-92.836156814000006</v>
      </c>
      <c r="I263" s="100" t="s">
        <v>2405</v>
      </c>
    </row>
    <row r="264" spans="1:9">
      <c r="A264" s="95" t="s">
        <v>2408</v>
      </c>
      <c r="B264" s="96" t="s">
        <v>2404</v>
      </c>
      <c r="C264" s="96" t="s">
        <v>1239</v>
      </c>
      <c r="D264" s="96" t="s">
        <v>2358</v>
      </c>
      <c r="E264" s="96" t="s">
        <v>2359</v>
      </c>
      <c r="F264" s="96" t="s">
        <v>2360</v>
      </c>
      <c r="G264" s="88">
        <v>-53818959270</v>
      </c>
      <c r="H264" s="91">
        <v>-53.818959270000001</v>
      </c>
      <c r="I264" s="100" t="s">
        <v>2405</v>
      </c>
    </row>
    <row r="265" spans="1:9">
      <c r="A265" s="95" t="s">
        <v>2408</v>
      </c>
      <c r="B265" s="96" t="s">
        <v>2404</v>
      </c>
      <c r="C265" s="96" t="s">
        <v>1239</v>
      </c>
      <c r="D265" s="96" t="s">
        <v>2361</v>
      </c>
      <c r="E265" s="96" t="s">
        <v>2362</v>
      </c>
      <c r="F265" s="96" t="s">
        <v>2363</v>
      </c>
      <c r="G265" s="88">
        <v>57566899172</v>
      </c>
      <c r="H265" s="91">
        <v>57.566899171999999</v>
      </c>
      <c r="I265" s="100" t="s">
        <v>2405</v>
      </c>
    </row>
    <row r="266" spans="1:9">
      <c r="A266" s="95" t="s">
        <v>2408</v>
      </c>
      <c r="B266" s="96" t="s">
        <v>2404</v>
      </c>
      <c r="C266" s="96" t="s">
        <v>1239</v>
      </c>
      <c r="D266" s="96" t="s">
        <v>2364</v>
      </c>
      <c r="E266" s="96" t="s">
        <v>2365</v>
      </c>
      <c r="F266" s="96" t="s">
        <v>2366</v>
      </c>
      <c r="G266" s="88">
        <v>3154990750</v>
      </c>
      <c r="H266" s="91">
        <v>3.1549907500000001</v>
      </c>
      <c r="I266" s="100" t="s">
        <v>2405</v>
      </c>
    </row>
    <row r="267" spans="1:9">
      <c r="A267" s="95" t="s">
        <v>2408</v>
      </c>
      <c r="B267" s="96" t="s">
        <v>2404</v>
      </c>
      <c r="C267" s="96" t="s">
        <v>1239</v>
      </c>
      <c r="D267" s="96" t="s">
        <v>1690</v>
      </c>
      <c r="E267" s="96" t="s">
        <v>2367</v>
      </c>
      <c r="F267" s="96" t="s">
        <v>2368</v>
      </c>
      <c r="G267" s="88">
        <v>-161984053</v>
      </c>
      <c r="H267" s="91">
        <v>-0.16198405299999999</v>
      </c>
      <c r="I267" s="100" t="s">
        <v>2405</v>
      </c>
    </row>
    <row r="268" spans="1:9">
      <c r="A268" s="95" t="s">
        <v>2408</v>
      </c>
      <c r="B268" s="96" t="s">
        <v>2404</v>
      </c>
      <c r="C268" s="96" t="s">
        <v>1239</v>
      </c>
      <c r="D268" s="96" t="s">
        <v>2369</v>
      </c>
      <c r="E268" s="96" t="s">
        <v>2370</v>
      </c>
      <c r="F268" s="96" t="s">
        <v>2371</v>
      </c>
      <c r="G268" s="88">
        <v>2993006697</v>
      </c>
      <c r="H268" s="91">
        <v>2.9930066970000002</v>
      </c>
      <c r="I268" s="100" t="s">
        <v>2405</v>
      </c>
    </row>
    <row r="269" spans="1:9">
      <c r="A269" s="95" t="s">
        <v>2408</v>
      </c>
      <c r="B269" s="96" t="s">
        <v>2404</v>
      </c>
      <c r="C269" s="96" t="s">
        <v>1239</v>
      </c>
      <c r="D269" s="96" t="s">
        <v>2372</v>
      </c>
      <c r="E269" s="96" t="s">
        <v>2373</v>
      </c>
      <c r="F269" s="96" t="s">
        <v>2374</v>
      </c>
      <c r="G269" s="88">
        <v>0</v>
      </c>
      <c r="H269" s="91">
        <v>0</v>
      </c>
      <c r="I269" s="100" t="s">
        <v>2405</v>
      </c>
    </row>
    <row r="270" spans="1:9">
      <c r="A270" s="95" t="s">
        <v>2408</v>
      </c>
      <c r="B270" s="96" t="s">
        <v>2404</v>
      </c>
      <c r="C270" s="96" t="s">
        <v>1239</v>
      </c>
      <c r="D270" s="96" t="s">
        <v>2375</v>
      </c>
      <c r="E270" s="96" t="s">
        <v>2376</v>
      </c>
      <c r="F270" s="96" t="s">
        <v>2377</v>
      </c>
      <c r="G270" s="88">
        <v>60559905869</v>
      </c>
      <c r="H270" s="91">
        <v>60.559905868999998</v>
      </c>
      <c r="I270" s="100" t="s">
        <v>2405</v>
      </c>
    </row>
    <row r="271" spans="1:9">
      <c r="A271" s="95" t="s">
        <v>2408</v>
      </c>
      <c r="B271" s="96" t="s">
        <v>2404</v>
      </c>
      <c r="C271" s="96" t="s">
        <v>1239</v>
      </c>
      <c r="D271" s="96" t="s">
        <v>2378</v>
      </c>
      <c r="E271" s="96" t="s">
        <v>2379</v>
      </c>
      <c r="F271" s="96" t="s">
        <v>2380</v>
      </c>
      <c r="G271" s="88">
        <v>-15685076079</v>
      </c>
      <c r="H271" s="91">
        <v>-15.685076079</v>
      </c>
      <c r="I271" s="100" t="s">
        <v>2405</v>
      </c>
    </row>
    <row r="272" spans="1:9">
      <c r="A272" s="95" t="s">
        <v>2408</v>
      </c>
      <c r="B272" s="96" t="s">
        <v>2404</v>
      </c>
      <c r="C272" s="96" t="s">
        <v>1239</v>
      </c>
      <c r="D272" s="96" t="s">
        <v>2381</v>
      </c>
      <c r="E272" s="96" t="s">
        <v>2382</v>
      </c>
      <c r="F272" s="96" t="s">
        <v>2383</v>
      </c>
      <c r="G272" s="88">
        <v>-151963807</v>
      </c>
      <c r="H272" s="91">
        <v>-0.15196380700000001</v>
      </c>
      <c r="I272" s="100" t="s">
        <v>2405</v>
      </c>
    </row>
    <row r="273" spans="1:9">
      <c r="A273" s="95" t="s">
        <v>2408</v>
      </c>
      <c r="B273" s="96" t="s">
        <v>2404</v>
      </c>
      <c r="C273" s="96" t="s">
        <v>1239</v>
      </c>
      <c r="D273" s="96" t="s">
        <v>2384</v>
      </c>
      <c r="E273" s="96" t="s">
        <v>2385</v>
      </c>
      <c r="F273" s="96" t="s">
        <v>2386</v>
      </c>
      <c r="G273" s="88">
        <v>-15837039886</v>
      </c>
      <c r="H273" s="91">
        <v>-15.837039885999999</v>
      </c>
      <c r="I273" s="100" t="s">
        <v>2405</v>
      </c>
    </row>
    <row r="274" spans="1:9">
      <c r="A274" s="95" t="s">
        <v>2408</v>
      </c>
      <c r="B274" s="96" t="s">
        <v>2404</v>
      </c>
      <c r="C274" s="96" t="s">
        <v>1239</v>
      </c>
      <c r="D274" s="96" t="s">
        <v>2387</v>
      </c>
      <c r="E274" s="96" t="s">
        <v>2388</v>
      </c>
      <c r="F274" s="96" t="s">
        <v>2389</v>
      </c>
      <c r="G274" s="88">
        <v>44722865983</v>
      </c>
      <c r="H274" s="91">
        <v>44.722865982999998</v>
      </c>
      <c r="I274" s="100" t="s">
        <v>2405</v>
      </c>
    </row>
    <row r="275" spans="1:9">
      <c r="A275" s="95" t="s">
        <v>2408</v>
      </c>
      <c r="B275" s="96" t="s">
        <v>2404</v>
      </c>
      <c r="C275" s="96" t="s">
        <v>1239</v>
      </c>
      <c r="D275" s="96" t="s">
        <v>2390</v>
      </c>
      <c r="E275" s="96" t="s">
        <v>2391</v>
      </c>
      <c r="F275" s="96" t="s">
        <v>1631</v>
      </c>
      <c r="G275" s="88">
        <v>8681278090</v>
      </c>
      <c r="H275" s="91">
        <v>8.6812780899999993</v>
      </c>
      <c r="I275" s="100" t="s">
        <v>2405</v>
      </c>
    </row>
    <row r="276" spans="1:9">
      <c r="A276" s="95" t="s">
        <v>2408</v>
      </c>
      <c r="B276" s="96" t="s">
        <v>2404</v>
      </c>
      <c r="C276" s="96" t="s">
        <v>1239</v>
      </c>
      <c r="D276" s="96" t="s">
        <v>2392</v>
      </c>
      <c r="E276" s="96" t="s">
        <v>2393</v>
      </c>
      <c r="F276" s="96" t="s">
        <v>2394</v>
      </c>
      <c r="G276" s="88">
        <v>36041587893</v>
      </c>
      <c r="H276" s="91">
        <v>36.041587892999999</v>
      </c>
      <c r="I276" s="100" t="s">
        <v>2405</v>
      </c>
    </row>
    <row r="277" spans="1:9">
      <c r="A277" s="95" t="s">
        <v>2408</v>
      </c>
      <c r="B277" s="96" t="s">
        <v>2404</v>
      </c>
      <c r="C277" s="96" t="s">
        <v>1239</v>
      </c>
      <c r="D277" s="96" t="s">
        <v>2395</v>
      </c>
      <c r="E277" s="96" t="s">
        <v>2396</v>
      </c>
      <c r="F277" s="96" t="s">
        <v>2397</v>
      </c>
      <c r="G277" s="88">
        <v>338</v>
      </c>
      <c r="H277" s="91">
        <v>3.3799999999999998E-7</v>
      </c>
      <c r="I277" s="100" t="s">
        <v>2405</v>
      </c>
    </row>
    <row r="278" spans="1:9">
      <c r="A278" s="95" t="s">
        <v>2408</v>
      </c>
      <c r="B278" s="96" t="s">
        <v>2404</v>
      </c>
      <c r="C278" s="96" t="s">
        <v>1239</v>
      </c>
      <c r="D278" s="96" t="s">
        <v>2398</v>
      </c>
      <c r="E278" s="96" t="s">
        <v>2399</v>
      </c>
      <c r="F278" s="96" t="s">
        <v>2400</v>
      </c>
      <c r="G278" s="88">
        <v>0</v>
      </c>
      <c r="H278" s="91">
        <v>0</v>
      </c>
      <c r="I278" s="100" t="s">
        <v>2405</v>
      </c>
    </row>
    <row r="279" spans="1:9">
      <c r="A279" s="95" t="s">
        <v>2408</v>
      </c>
      <c r="B279" s="96" t="s">
        <v>2404</v>
      </c>
      <c r="C279" s="96" t="s">
        <v>1239</v>
      </c>
      <c r="D279" s="96" t="s">
        <v>2401</v>
      </c>
      <c r="E279" s="96" t="s">
        <v>2402</v>
      </c>
      <c r="F279" s="96" t="s">
        <v>2403</v>
      </c>
      <c r="G279" s="88">
        <v>0</v>
      </c>
      <c r="H279" s="91">
        <v>0</v>
      </c>
      <c r="I279" s="100" t="s">
        <v>2405</v>
      </c>
    </row>
    <row r="280" spans="1:9">
      <c r="A280" s="95" t="s">
        <v>2408</v>
      </c>
      <c r="B280" s="96" t="s">
        <v>1034</v>
      </c>
      <c r="C280" s="96" t="s">
        <v>1239</v>
      </c>
      <c r="D280" s="96" t="s">
        <v>2334</v>
      </c>
      <c r="E280" s="96" t="s">
        <v>2335</v>
      </c>
      <c r="F280" s="96" t="s">
        <v>2336</v>
      </c>
      <c r="G280" s="88">
        <v>6272340282019</v>
      </c>
      <c r="H280" s="91">
        <v>6272.3402820190004</v>
      </c>
      <c r="I280" s="100" t="s">
        <v>2405</v>
      </c>
    </row>
    <row r="281" spans="1:9">
      <c r="A281" s="95" t="s">
        <v>2408</v>
      </c>
      <c r="B281" s="96" t="s">
        <v>1034</v>
      </c>
      <c r="C281" s="96" t="s">
        <v>1239</v>
      </c>
      <c r="D281" s="96" t="s">
        <v>2338</v>
      </c>
      <c r="E281" s="96" t="s">
        <v>2339</v>
      </c>
      <c r="F281" s="96" t="s">
        <v>2340</v>
      </c>
      <c r="G281" s="88">
        <v>-143242406811</v>
      </c>
      <c r="H281" s="91">
        <v>-143.242406811</v>
      </c>
      <c r="I281" s="100" t="s">
        <v>2405</v>
      </c>
    </row>
    <row r="282" spans="1:9">
      <c r="A282" s="95" t="s">
        <v>2408</v>
      </c>
      <c r="B282" s="96" t="s">
        <v>1034</v>
      </c>
      <c r="C282" s="96" t="s">
        <v>1239</v>
      </c>
      <c r="D282" s="96" t="s">
        <v>2341</v>
      </c>
      <c r="E282" s="96" t="s">
        <v>2342</v>
      </c>
      <c r="F282" s="96" t="s">
        <v>2343</v>
      </c>
      <c r="G282" s="88">
        <v>6129097875208</v>
      </c>
      <c r="H282" s="91">
        <v>6129.097875208</v>
      </c>
      <c r="I282" s="100" t="s">
        <v>2405</v>
      </c>
    </row>
    <row r="283" spans="1:9">
      <c r="A283" s="95" t="s">
        <v>2408</v>
      </c>
      <c r="B283" s="96" t="s">
        <v>1034</v>
      </c>
      <c r="C283" s="96" t="s">
        <v>1239</v>
      </c>
      <c r="D283" s="96" t="s">
        <v>2344</v>
      </c>
      <c r="E283" s="96" t="s">
        <v>2345</v>
      </c>
      <c r="F283" s="96" t="s">
        <v>2346</v>
      </c>
      <c r="G283" s="88">
        <v>-5768494970943</v>
      </c>
      <c r="H283" s="91">
        <v>-5768.4949709430002</v>
      </c>
      <c r="I283" s="100" t="s">
        <v>2405</v>
      </c>
    </row>
    <row r="284" spans="1:9">
      <c r="A284" s="95" t="s">
        <v>2408</v>
      </c>
      <c r="B284" s="96" t="s">
        <v>1034</v>
      </c>
      <c r="C284" s="96" t="s">
        <v>1239</v>
      </c>
      <c r="D284" s="96" t="s">
        <v>21</v>
      </c>
      <c r="E284" s="96" t="s">
        <v>20</v>
      </c>
      <c r="F284" s="96" t="s">
        <v>2347</v>
      </c>
      <c r="G284" s="88">
        <v>360602904265</v>
      </c>
      <c r="H284" s="91">
        <v>360.60290426500001</v>
      </c>
      <c r="I284" s="100" t="s">
        <v>2405</v>
      </c>
    </row>
    <row r="285" spans="1:9">
      <c r="A285" s="95" t="s">
        <v>2408</v>
      </c>
      <c r="B285" s="96" t="s">
        <v>1034</v>
      </c>
      <c r="C285" s="96" t="s">
        <v>1239</v>
      </c>
      <c r="D285" s="96" t="s">
        <v>26</v>
      </c>
      <c r="E285" s="96" t="s">
        <v>2348</v>
      </c>
      <c r="F285" s="96" t="s">
        <v>2349</v>
      </c>
      <c r="G285" s="88">
        <v>106004893876</v>
      </c>
      <c r="H285" s="91">
        <v>106.004893876</v>
      </c>
      <c r="I285" s="100" t="s">
        <v>2405</v>
      </c>
    </row>
    <row r="286" spans="1:9">
      <c r="A286" s="95" t="s">
        <v>2408</v>
      </c>
      <c r="B286" s="96" t="s">
        <v>1034</v>
      </c>
      <c r="C286" s="96" t="s">
        <v>1239</v>
      </c>
      <c r="D286" s="96" t="s">
        <v>2350</v>
      </c>
      <c r="E286" s="96" t="s">
        <v>2351</v>
      </c>
      <c r="F286" s="96" t="s">
        <v>2352</v>
      </c>
      <c r="G286" s="88">
        <v>-143809139251</v>
      </c>
      <c r="H286" s="91">
        <v>-143.809139251</v>
      </c>
      <c r="I286" s="100" t="s">
        <v>2405</v>
      </c>
    </row>
    <row r="287" spans="1:9">
      <c r="A287" s="95" t="s">
        <v>2408</v>
      </c>
      <c r="B287" s="96" t="s">
        <v>1034</v>
      </c>
      <c r="C287" s="96" t="s">
        <v>1239</v>
      </c>
      <c r="D287" s="96" t="s">
        <v>2353</v>
      </c>
      <c r="E287" s="96" t="s">
        <v>2354</v>
      </c>
      <c r="F287" s="96" t="s">
        <v>2355</v>
      </c>
      <c r="G287" s="88">
        <v>-118682433154</v>
      </c>
      <c r="H287" s="91">
        <v>-118.68243315399999</v>
      </c>
      <c r="I287" s="100" t="s">
        <v>2405</v>
      </c>
    </row>
    <row r="288" spans="1:9">
      <c r="A288" s="95" t="s">
        <v>2408</v>
      </c>
      <c r="B288" s="96" t="s">
        <v>1034</v>
      </c>
      <c r="C288" s="96" t="s">
        <v>1239</v>
      </c>
      <c r="D288" s="96" t="s">
        <v>32</v>
      </c>
      <c r="E288" s="96" t="s">
        <v>2356</v>
      </c>
      <c r="F288" s="96" t="s">
        <v>2357</v>
      </c>
      <c r="G288" s="88">
        <v>-131677641622</v>
      </c>
      <c r="H288" s="91">
        <v>-131.67764162200001</v>
      </c>
      <c r="I288" s="100" t="s">
        <v>2405</v>
      </c>
    </row>
    <row r="289" spans="1:9">
      <c r="A289" s="95" t="s">
        <v>2408</v>
      </c>
      <c r="B289" s="96" t="s">
        <v>1034</v>
      </c>
      <c r="C289" s="96" t="s">
        <v>1239</v>
      </c>
      <c r="D289" s="96" t="s">
        <v>2358</v>
      </c>
      <c r="E289" s="96" t="s">
        <v>2359</v>
      </c>
      <c r="F289" s="96" t="s">
        <v>2360</v>
      </c>
      <c r="G289" s="88">
        <v>-69535414460</v>
      </c>
      <c r="H289" s="91">
        <v>-69.535414459999998</v>
      </c>
      <c r="I289" s="100" t="s">
        <v>2405</v>
      </c>
    </row>
    <row r="290" spans="1:9">
      <c r="A290" s="95" t="s">
        <v>2408</v>
      </c>
      <c r="B290" s="96" t="s">
        <v>1034</v>
      </c>
      <c r="C290" s="96" t="s">
        <v>1239</v>
      </c>
      <c r="D290" s="96" t="s">
        <v>2361</v>
      </c>
      <c r="E290" s="96" t="s">
        <v>2362</v>
      </c>
      <c r="F290" s="96" t="s">
        <v>2363</v>
      </c>
      <c r="G290" s="88">
        <v>121585602808</v>
      </c>
      <c r="H290" s="91">
        <v>121.585602808</v>
      </c>
      <c r="I290" s="100" t="s">
        <v>2405</v>
      </c>
    </row>
    <row r="291" spans="1:9">
      <c r="A291" s="95" t="s">
        <v>2408</v>
      </c>
      <c r="B291" s="96" t="s">
        <v>1034</v>
      </c>
      <c r="C291" s="96" t="s">
        <v>1239</v>
      </c>
      <c r="D291" s="96" t="s">
        <v>2364</v>
      </c>
      <c r="E291" s="96" t="s">
        <v>2365</v>
      </c>
      <c r="F291" s="96" t="s">
        <v>2366</v>
      </c>
      <c r="G291" s="88">
        <v>6602753677</v>
      </c>
      <c r="H291" s="91">
        <v>6.6027536769999999</v>
      </c>
      <c r="I291" s="100" t="s">
        <v>2405</v>
      </c>
    </row>
    <row r="292" spans="1:9">
      <c r="A292" s="95" t="s">
        <v>2408</v>
      </c>
      <c r="B292" s="96" t="s">
        <v>1034</v>
      </c>
      <c r="C292" s="96" t="s">
        <v>1239</v>
      </c>
      <c r="D292" s="96" t="s">
        <v>1690</v>
      </c>
      <c r="E292" s="96" t="s">
        <v>2367</v>
      </c>
      <c r="F292" s="96" t="s">
        <v>2368</v>
      </c>
      <c r="G292" s="88">
        <v>-2231925982</v>
      </c>
      <c r="H292" s="91">
        <v>-2.2319259819999999</v>
      </c>
      <c r="I292" s="100" t="s">
        <v>2405</v>
      </c>
    </row>
    <row r="293" spans="1:9">
      <c r="A293" s="95" t="s">
        <v>2408</v>
      </c>
      <c r="B293" s="96" t="s">
        <v>1034</v>
      </c>
      <c r="C293" s="96" t="s">
        <v>1239</v>
      </c>
      <c r="D293" s="96" t="s">
        <v>2369</v>
      </c>
      <c r="E293" s="96" t="s">
        <v>2370</v>
      </c>
      <c r="F293" s="96" t="s">
        <v>2371</v>
      </c>
      <c r="G293" s="88">
        <v>4370827695</v>
      </c>
      <c r="H293" s="91">
        <v>4.370827695</v>
      </c>
      <c r="I293" s="100" t="s">
        <v>2405</v>
      </c>
    </row>
    <row r="294" spans="1:9">
      <c r="A294" s="95" t="s">
        <v>2408</v>
      </c>
      <c r="B294" s="96" t="s">
        <v>1034</v>
      </c>
      <c r="C294" s="96" t="s">
        <v>1239</v>
      </c>
      <c r="D294" s="96" t="s">
        <v>2372</v>
      </c>
      <c r="E294" s="96" t="s">
        <v>2373</v>
      </c>
      <c r="F294" s="96" t="s">
        <v>2374</v>
      </c>
      <c r="G294" s="88">
        <v>0</v>
      </c>
      <c r="H294" s="91">
        <v>0</v>
      </c>
      <c r="I294" s="100" t="s">
        <v>2405</v>
      </c>
    </row>
    <row r="295" spans="1:9">
      <c r="A295" s="95" t="s">
        <v>2408</v>
      </c>
      <c r="B295" s="96" t="s">
        <v>1034</v>
      </c>
      <c r="C295" s="96" t="s">
        <v>1239</v>
      </c>
      <c r="D295" s="96" t="s">
        <v>2375</v>
      </c>
      <c r="E295" s="96" t="s">
        <v>2376</v>
      </c>
      <c r="F295" s="96" t="s">
        <v>2377</v>
      </c>
      <c r="G295" s="88">
        <v>125956430503</v>
      </c>
      <c r="H295" s="91">
        <v>125.95643050300001</v>
      </c>
      <c r="I295" s="100" t="s">
        <v>2405</v>
      </c>
    </row>
    <row r="296" spans="1:9">
      <c r="A296" s="95" t="s">
        <v>2408</v>
      </c>
      <c r="B296" s="96" t="s">
        <v>1034</v>
      </c>
      <c r="C296" s="96" t="s">
        <v>1239</v>
      </c>
      <c r="D296" s="96" t="s">
        <v>2378</v>
      </c>
      <c r="E296" s="96" t="s">
        <v>2379</v>
      </c>
      <c r="F296" s="96" t="s">
        <v>2380</v>
      </c>
      <c r="G296" s="88">
        <v>-25124310667</v>
      </c>
      <c r="H296" s="91">
        <v>-25.124310667</v>
      </c>
      <c r="I296" s="100" t="s">
        <v>2405</v>
      </c>
    </row>
    <row r="297" spans="1:9">
      <c r="A297" s="95" t="s">
        <v>2408</v>
      </c>
      <c r="B297" s="96" t="s">
        <v>1034</v>
      </c>
      <c r="C297" s="96" t="s">
        <v>1239</v>
      </c>
      <c r="D297" s="96" t="s">
        <v>2381</v>
      </c>
      <c r="E297" s="96" t="s">
        <v>2382</v>
      </c>
      <c r="F297" s="96" t="s">
        <v>2383</v>
      </c>
      <c r="G297" s="88">
        <v>0</v>
      </c>
      <c r="H297" s="91">
        <v>0</v>
      </c>
      <c r="I297" s="100" t="s">
        <v>2405</v>
      </c>
    </row>
    <row r="298" spans="1:9">
      <c r="A298" s="95" t="s">
        <v>2408</v>
      </c>
      <c r="B298" s="96" t="s">
        <v>1034</v>
      </c>
      <c r="C298" s="96" t="s">
        <v>1239</v>
      </c>
      <c r="D298" s="96" t="s">
        <v>2384</v>
      </c>
      <c r="E298" s="96" t="s">
        <v>2385</v>
      </c>
      <c r="F298" s="96" t="s">
        <v>2386</v>
      </c>
      <c r="G298" s="88">
        <v>-25124310667</v>
      </c>
      <c r="H298" s="91">
        <v>-25.124310667</v>
      </c>
      <c r="I298" s="100" t="s">
        <v>2405</v>
      </c>
    </row>
    <row r="299" spans="1:9">
      <c r="A299" s="95" t="s">
        <v>2408</v>
      </c>
      <c r="B299" s="96" t="s">
        <v>1034</v>
      </c>
      <c r="C299" s="96" t="s">
        <v>1239</v>
      </c>
      <c r="D299" s="96" t="s">
        <v>2387</v>
      </c>
      <c r="E299" s="96" t="s">
        <v>2388</v>
      </c>
      <c r="F299" s="96" t="s">
        <v>2389</v>
      </c>
      <c r="G299" s="88">
        <v>100832119836</v>
      </c>
      <c r="H299" s="91">
        <v>100.832119836</v>
      </c>
      <c r="I299" s="100" t="s">
        <v>2405</v>
      </c>
    </row>
    <row r="300" spans="1:9">
      <c r="A300" s="95" t="s">
        <v>2408</v>
      </c>
      <c r="B300" s="96" t="s">
        <v>1034</v>
      </c>
      <c r="C300" s="96" t="s">
        <v>1239</v>
      </c>
      <c r="D300" s="96" t="s">
        <v>2390</v>
      </c>
      <c r="E300" s="96" t="s">
        <v>2391</v>
      </c>
      <c r="F300" s="96" t="s">
        <v>1631</v>
      </c>
      <c r="G300" s="88">
        <v>28626911605</v>
      </c>
      <c r="H300" s="91">
        <v>28.626911605</v>
      </c>
      <c r="I300" s="100" t="s">
        <v>2405</v>
      </c>
    </row>
    <row r="301" spans="1:9">
      <c r="A301" s="95" t="s">
        <v>2408</v>
      </c>
      <c r="B301" s="96" t="s">
        <v>1034</v>
      </c>
      <c r="C301" s="96" t="s">
        <v>1239</v>
      </c>
      <c r="D301" s="96" t="s">
        <v>2392</v>
      </c>
      <c r="E301" s="96" t="s">
        <v>2393</v>
      </c>
      <c r="F301" s="96" t="s">
        <v>2394</v>
      </c>
      <c r="G301" s="88">
        <v>72205208231</v>
      </c>
      <c r="H301" s="91">
        <v>72.205208231</v>
      </c>
      <c r="I301" s="100" t="s">
        <v>2405</v>
      </c>
    </row>
    <row r="302" spans="1:9">
      <c r="A302" s="95" t="s">
        <v>2408</v>
      </c>
      <c r="B302" s="96" t="s">
        <v>1034</v>
      </c>
      <c r="C302" s="96" t="s">
        <v>1239</v>
      </c>
      <c r="D302" s="96" t="s">
        <v>2395</v>
      </c>
      <c r="E302" s="96" t="s">
        <v>2396</v>
      </c>
      <c r="F302" s="96" t="s">
        <v>2397</v>
      </c>
      <c r="G302" s="88">
        <v>956</v>
      </c>
      <c r="H302" s="91">
        <v>9.5600000000000004E-7</v>
      </c>
      <c r="I302" s="100" t="s">
        <v>2405</v>
      </c>
    </row>
    <row r="303" spans="1:9">
      <c r="A303" s="95" t="s">
        <v>2408</v>
      </c>
      <c r="B303" s="96" t="s">
        <v>1034</v>
      </c>
      <c r="C303" s="96" t="s">
        <v>1239</v>
      </c>
      <c r="D303" s="96" t="s">
        <v>2398</v>
      </c>
      <c r="E303" s="96" t="s">
        <v>2399</v>
      </c>
      <c r="F303" s="96" t="s">
        <v>2400</v>
      </c>
      <c r="G303" s="88">
        <v>0</v>
      </c>
      <c r="H303" s="91">
        <v>0</v>
      </c>
      <c r="I303" s="100" t="s">
        <v>2405</v>
      </c>
    </row>
    <row r="304" spans="1:9">
      <c r="A304" s="95" t="s">
        <v>2408</v>
      </c>
      <c r="B304" s="96" t="s">
        <v>1034</v>
      </c>
      <c r="C304" s="96" t="s">
        <v>1239</v>
      </c>
      <c r="D304" s="96" t="s">
        <v>2401</v>
      </c>
      <c r="E304" s="96" t="s">
        <v>2402</v>
      </c>
      <c r="F304" s="96" t="s">
        <v>2403</v>
      </c>
      <c r="G304" s="88">
        <v>0</v>
      </c>
      <c r="H304" s="91">
        <v>0</v>
      </c>
      <c r="I304" s="100" t="s">
        <v>2405</v>
      </c>
    </row>
    <row r="305" spans="1:9">
      <c r="A305" s="95" t="s">
        <v>2409</v>
      </c>
      <c r="B305" s="96" t="s">
        <v>2333</v>
      </c>
      <c r="C305" s="96" t="s">
        <v>1239</v>
      </c>
      <c r="D305" s="96" t="s">
        <v>2334</v>
      </c>
      <c r="E305" s="96" t="s">
        <v>2335</v>
      </c>
      <c r="F305" s="96" t="s">
        <v>2336</v>
      </c>
      <c r="G305" s="88">
        <v>81927677000000</v>
      </c>
      <c r="H305" s="91">
        <v>81927.676999999996</v>
      </c>
      <c r="I305" s="100" t="s">
        <v>2337</v>
      </c>
    </row>
    <row r="306" spans="1:9">
      <c r="A306" s="95" t="s">
        <v>2409</v>
      </c>
      <c r="B306" s="96" t="s">
        <v>2333</v>
      </c>
      <c r="C306" s="96" t="s">
        <v>1239</v>
      </c>
      <c r="D306" s="96" t="s">
        <v>2338</v>
      </c>
      <c r="E306" s="96" t="s">
        <v>2339</v>
      </c>
      <c r="F306" s="96" t="s">
        <v>2340</v>
      </c>
      <c r="G306" s="88">
        <v>-306348000000</v>
      </c>
      <c r="H306" s="91">
        <v>-306.34800000000001</v>
      </c>
      <c r="I306" s="100" t="s">
        <v>2337</v>
      </c>
    </row>
    <row r="307" spans="1:9">
      <c r="A307" s="95" t="s">
        <v>2409</v>
      </c>
      <c r="B307" s="96" t="s">
        <v>2333</v>
      </c>
      <c r="C307" s="96" t="s">
        <v>1239</v>
      </c>
      <c r="D307" s="96" t="s">
        <v>2341</v>
      </c>
      <c r="E307" s="96" t="s">
        <v>2342</v>
      </c>
      <c r="F307" s="96" t="s">
        <v>2343</v>
      </c>
      <c r="G307" s="88">
        <v>81621329000000</v>
      </c>
      <c r="H307" s="91">
        <v>81621.328999999998</v>
      </c>
      <c r="I307" s="100" t="s">
        <v>2337</v>
      </c>
    </row>
    <row r="308" spans="1:9">
      <c r="A308" s="95" t="s">
        <v>2409</v>
      </c>
      <c r="B308" s="96" t="s">
        <v>2333</v>
      </c>
      <c r="C308" s="96" t="s">
        <v>1239</v>
      </c>
      <c r="D308" s="96" t="s">
        <v>2344</v>
      </c>
      <c r="E308" s="96" t="s">
        <v>2345</v>
      </c>
      <c r="F308" s="96" t="s">
        <v>2346</v>
      </c>
      <c r="G308" s="88">
        <v>-56040719000000</v>
      </c>
      <c r="H308" s="91">
        <v>-56040.718999999997</v>
      </c>
      <c r="I308" s="100" t="s">
        <v>2337</v>
      </c>
    </row>
    <row r="309" spans="1:9">
      <c r="A309" s="95" t="s">
        <v>2409</v>
      </c>
      <c r="B309" s="96" t="s">
        <v>2333</v>
      </c>
      <c r="C309" s="96" t="s">
        <v>1239</v>
      </c>
      <c r="D309" s="96" t="s">
        <v>21</v>
      </c>
      <c r="E309" s="96" t="s">
        <v>20</v>
      </c>
      <c r="F309" s="96" t="s">
        <v>2347</v>
      </c>
      <c r="G309" s="88">
        <v>25580610000000</v>
      </c>
      <c r="H309" s="91">
        <v>25580.61</v>
      </c>
      <c r="I309" s="100" t="s">
        <v>2337</v>
      </c>
    </row>
    <row r="310" spans="1:9">
      <c r="A310" s="95" t="s">
        <v>2409</v>
      </c>
      <c r="B310" s="96" t="s">
        <v>2333</v>
      </c>
      <c r="C310" s="96" t="s">
        <v>1239</v>
      </c>
      <c r="D310" s="96" t="s">
        <v>26</v>
      </c>
      <c r="E310" s="96" t="s">
        <v>2348</v>
      </c>
      <c r="F310" s="96" t="s">
        <v>2349</v>
      </c>
      <c r="G310" s="88">
        <v>2094248000000</v>
      </c>
      <c r="H310" s="91">
        <v>2094.248</v>
      </c>
      <c r="I310" s="100" t="s">
        <v>2337</v>
      </c>
    </row>
    <row r="311" spans="1:9">
      <c r="A311" s="95" t="s">
        <v>2409</v>
      </c>
      <c r="B311" s="96" t="s">
        <v>2333</v>
      </c>
      <c r="C311" s="96" t="s">
        <v>1239</v>
      </c>
      <c r="D311" s="96" t="s">
        <v>2350</v>
      </c>
      <c r="E311" s="96" t="s">
        <v>2351</v>
      </c>
      <c r="F311" s="96" t="s">
        <v>2352</v>
      </c>
      <c r="G311" s="88">
        <v>-6916498000000</v>
      </c>
      <c r="H311" s="91">
        <v>-6916.4979999999996</v>
      </c>
      <c r="I311" s="100" t="s">
        <v>2337</v>
      </c>
    </row>
    <row r="312" spans="1:9">
      <c r="A312" s="95" t="s">
        <v>2409</v>
      </c>
      <c r="B312" s="96" t="s">
        <v>2333</v>
      </c>
      <c r="C312" s="96" t="s">
        <v>1239</v>
      </c>
      <c r="D312" s="96" t="s">
        <v>2353</v>
      </c>
      <c r="E312" s="96" t="s">
        <v>2354</v>
      </c>
      <c r="F312" s="96" t="s">
        <v>2355</v>
      </c>
      <c r="G312" s="88">
        <v>-5418158000000</v>
      </c>
      <c r="H312" s="91">
        <v>-5418.1580000000004</v>
      </c>
      <c r="I312" s="100" t="s">
        <v>2337</v>
      </c>
    </row>
    <row r="313" spans="1:9">
      <c r="A313" s="95" t="s">
        <v>2409</v>
      </c>
      <c r="B313" s="96" t="s">
        <v>2333</v>
      </c>
      <c r="C313" s="96" t="s">
        <v>1239</v>
      </c>
      <c r="D313" s="96" t="s">
        <v>32</v>
      </c>
      <c r="E313" s="96" t="s">
        <v>2356</v>
      </c>
      <c r="F313" s="96" t="s">
        <v>2357</v>
      </c>
      <c r="G313" s="88">
        <v>-14202530000000</v>
      </c>
      <c r="H313" s="91">
        <v>-14202.53</v>
      </c>
      <c r="I313" s="100" t="s">
        <v>2337</v>
      </c>
    </row>
    <row r="314" spans="1:9">
      <c r="A314" s="95" t="s">
        <v>2409</v>
      </c>
      <c r="B314" s="96" t="s">
        <v>2333</v>
      </c>
      <c r="C314" s="96" t="s">
        <v>1239</v>
      </c>
      <c r="D314" s="96" t="s">
        <v>2358</v>
      </c>
      <c r="E314" s="96" t="s">
        <v>2359</v>
      </c>
      <c r="F314" s="96" t="s">
        <v>2360</v>
      </c>
      <c r="G314" s="88">
        <v>-3713793000000</v>
      </c>
      <c r="H314" s="91">
        <v>-3713.7930000000001</v>
      </c>
      <c r="I314" s="100" t="s">
        <v>2337</v>
      </c>
    </row>
    <row r="315" spans="1:9">
      <c r="A315" s="95" t="s">
        <v>2409</v>
      </c>
      <c r="B315" s="96" t="s">
        <v>2333</v>
      </c>
      <c r="C315" s="96" t="s">
        <v>1239</v>
      </c>
      <c r="D315" s="96" t="s">
        <v>2361</v>
      </c>
      <c r="E315" s="96" t="s">
        <v>2362</v>
      </c>
      <c r="F315" s="96" t="s">
        <v>2363</v>
      </c>
      <c r="G315" s="88">
        <v>7922094000000</v>
      </c>
      <c r="H315" s="91">
        <v>7922.0940000000001</v>
      </c>
      <c r="I315" s="100" t="s">
        <v>2337</v>
      </c>
    </row>
    <row r="316" spans="1:9">
      <c r="A316" s="95" t="s">
        <v>2409</v>
      </c>
      <c r="B316" s="96" t="s">
        <v>2333</v>
      </c>
      <c r="C316" s="96" t="s">
        <v>1239</v>
      </c>
      <c r="D316" s="96" t="s">
        <v>2364</v>
      </c>
      <c r="E316" s="96" t="s">
        <v>2365</v>
      </c>
      <c r="F316" s="96" t="s">
        <v>2366</v>
      </c>
      <c r="G316" s="88">
        <v>446488000000</v>
      </c>
      <c r="H316" s="91">
        <v>446.488</v>
      </c>
      <c r="I316" s="100" t="s">
        <v>2337</v>
      </c>
    </row>
    <row r="317" spans="1:9">
      <c r="A317" s="95" t="s">
        <v>2409</v>
      </c>
      <c r="B317" s="96" t="s">
        <v>2333</v>
      </c>
      <c r="C317" s="96" t="s">
        <v>1239</v>
      </c>
      <c r="D317" s="96" t="s">
        <v>1690</v>
      </c>
      <c r="E317" s="96" t="s">
        <v>2367</v>
      </c>
      <c r="F317" s="96" t="s">
        <v>2368</v>
      </c>
      <c r="G317" s="88">
        <v>-480492000000</v>
      </c>
      <c r="H317" s="91">
        <v>-480.49200000000002</v>
      </c>
      <c r="I317" s="100" t="s">
        <v>2337</v>
      </c>
    </row>
    <row r="318" spans="1:9">
      <c r="A318" s="95" t="s">
        <v>2409</v>
      </c>
      <c r="B318" s="96" t="s">
        <v>2333</v>
      </c>
      <c r="C318" s="96" t="s">
        <v>1239</v>
      </c>
      <c r="D318" s="96" t="s">
        <v>2369</v>
      </c>
      <c r="E318" s="96" t="s">
        <v>2370</v>
      </c>
      <c r="F318" s="96" t="s">
        <v>2371</v>
      </c>
      <c r="G318" s="88">
        <v>-34004000000</v>
      </c>
      <c r="H318" s="91">
        <v>-34.003999999999998</v>
      </c>
      <c r="I318" s="100" t="s">
        <v>2337</v>
      </c>
    </row>
    <row r="319" spans="1:9">
      <c r="A319" s="95" t="s">
        <v>2409</v>
      </c>
      <c r="B319" s="96" t="s">
        <v>2333</v>
      </c>
      <c r="C319" s="96" t="s">
        <v>1239</v>
      </c>
      <c r="D319" s="96" t="s">
        <v>2372</v>
      </c>
      <c r="E319" s="96" t="s">
        <v>2373</v>
      </c>
      <c r="F319" s="96" t="s">
        <v>2374</v>
      </c>
      <c r="G319" s="88">
        <v>0</v>
      </c>
      <c r="H319" s="91">
        <v>0</v>
      </c>
      <c r="I319" s="100" t="s">
        <v>2337</v>
      </c>
    </row>
    <row r="320" spans="1:9">
      <c r="A320" s="95" t="s">
        <v>2409</v>
      </c>
      <c r="B320" s="96" t="s">
        <v>2333</v>
      </c>
      <c r="C320" s="96" t="s">
        <v>1239</v>
      </c>
      <c r="D320" s="96" t="s">
        <v>2375</v>
      </c>
      <c r="E320" s="96" t="s">
        <v>2376</v>
      </c>
      <c r="F320" s="96" t="s">
        <v>2377</v>
      </c>
      <c r="G320" s="88">
        <v>7888090000000</v>
      </c>
      <c r="H320" s="91">
        <v>7888.09</v>
      </c>
      <c r="I320" s="100" t="s">
        <v>2337</v>
      </c>
    </row>
    <row r="321" spans="1:9">
      <c r="A321" s="95" t="s">
        <v>2409</v>
      </c>
      <c r="B321" s="96" t="s">
        <v>2333</v>
      </c>
      <c r="C321" s="96" t="s">
        <v>1239</v>
      </c>
      <c r="D321" s="96" t="s">
        <v>2378</v>
      </c>
      <c r="E321" s="96" t="s">
        <v>2379</v>
      </c>
      <c r="F321" s="96" t="s">
        <v>2380</v>
      </c>
      <c r="G321" s="88">
        <v>-1036709000000</v>
      </c>
      <c r="H321" s="91">
        <v>-1036.7090000000001</v>
      </c>
      <c r="I321" s="100" t="s">
        <v>2337</v>
      </c>
    </row>
    <row r="322" spans="1:9">
      <c r="A322" s="95" t="s">
        <v>2409</v>
      </c>
      <c r="B322" s="96" t="s">
        <v>2333</v>
      </c>
      <c r="C322" s="96" t="s">
        <v>1239</v>
      </c>
      <c r="D322" s="96" t="s">
        <v>2381</v>
      </c>
      <c r="E322" s="96" t="s">
        <v>2382</v>
      </c>
      <c r="F322" s="96" t="s">
        <v>2383</v>
      </c>
      <c r="G322" s="88">
        <v>-87870000000</v>
      </c>
      <c r="H322" s="91">
        <v>-87.87</v>
      </c>
      <c r="I322" s="100" t="s">
        <v>2337</v>
      </c>
    </row>
    <row r="323" spans="1:9">
      <c r="A323" s="95" t="s">
        <v>2409</v>
      </c>
      <c r="B323" s="96" t="s">
        <v>2333</v>
      </c>
      <c r="C323" s="96" t="s">
        <v>1239</v>
      </c>
      <c r="D323" s="96" t="s">
        <v>2384</v>
      </c>
      <c r="E323" s="96" t="s">
        <v>2385</v>
      </c>
      <c r="F323" s="96" t="s">
        <v>2386</v>
      </c>
      <c r="G323" s="88">
        <v>-1124579000000</v>
      </c>
      <c r="H323" s="91">
        <v>-1124.579</v>
      </c>
      <c r="I323" s="100" t="s">
        <v>2337</v>
      </c>
    </row>
    <row r="324" spans="1:9">
      <c r="A324" s="95" t="s">
        <v>2409</v>
      </c>
      <c r="B324" s="96" t="s">
        <v>2333</v>
      </c>
      <c r="C324" s="96" t="s">
        <v>1239</v>
      </c>
      <c r="D324" s="96" t="s">
        <v>2387</v>
      </c>
      <c r="E324" s="96" t="s">
        <v>2388</v>
      </c>
      <c r="F324" s="96" t="s">
        <v>2389</v>
      </c>
      <c r="G324" s="88">
        <v>6763511000000</v>
      </c>
      <c r="H324" s="91">
        <v>6763.5110000000004</v>
      </c>
      <c r="I324" s="100" t="s">
        <v>2337</v>
      </c>
    </row>
    <row r="325" spans="1:9">
      <c r="A325" s="95" t="s">
        <v>2409</v>
      </c>
      <c r="B325" s="96" t="s">
        <v>2333</v>
      </c>
      <c r="C325" s="96" t="s">
        <v>1239</v>
      </c>
      <c r="D325" s="96" t="s">
        <v>2390</v>
      </c>
      <c r="E325" s="96" t="s">
        <v>2391</v>
      </c>
      <c r="F325" s="96" t="s">
        <v>1631</v>
      </c>
      <c r="G325" s="88">
        <v>2655205000000</v>
      </c>
      <c r="H325" s="91">
        <v>2655.2049999999999</v>
      </c>
      <c r="I325" s="100" t="s">
        <v>2337</v>
      </c>
    </row>
    <row r="326" spans="1:9">
      <c r="A326" s="95" t="s">
        <v>2409</v>
      </c>
      <c r="B326" s="96" t="s">
        <v>2333</v>
      </c>
      <c r="C326" s="96" t="s">
        <v>1239</v>
      </c>
      <c r="D326" s="96" t="s">
        <v>2392</v>
      </c>
      <c r="E326" s="96" t="s">
        <v>2393</v>
      </c>
      <c r="F326" s="96" t="s">
        <v>2394</v>
      </c>
      <c r="G326" s="88">
        <v>4108306000000</v>
      </c>
      <c r="H326" s="91">
        <v>4108.3059999999996</v>
      </c>
      <c r="I326" s="100" t="s">
        <v>2337</v>
      </c>
    </row>
    <row r="327" spans="1:9">
      <c r="A327" s="95" t="s">
        <v>2409</v>
      </c>
      <c r="B327" s="96" t="s">
        <v>2333</v>
      </c>
      <c r="C327" s="96" t="s">
        <v>1239</v>
      </c>
      <c r="D327" s="96" t="s">
        <v>2395</v>
      </c>
      <c r="E327" s="96" t="s">
        <v>2396</v>
      </c>
      <c r="F327" s="96" t="s">
        <v>2397</v>
      </c>
      <c r="G327" s="88">
        <v>2710</v>
      </c>
      <c r="H327" s="91">
        <v>2.7099999999999999E-6</v>
      </c>
      <c r="I327" s="100" t="s">
        <v>2337</v>
      </c>
    </row>
    <row r="328" spans="1:9">
      <c r="A328" s="95" t="s">
        <v>2409</v>
      </c>
      <c r="B328" s="96" t="s">
        <v>2333</v>
      </c>
      <c r="C328" s="96" t="s">
        <v>1239</v>
      </c>
      <c r="D328" s="96" t="s">
        <v>2398</v>
      </c>
      <c r="E328" s="96" t="s">
        <v>2399</v>
      </c>
      <c r="F328" s="96" t="s">
        <v>2400</v>
      </c>
      <c r="G328" s="88">
        <v>0</v>
      </c>
      <c r="H328" s="91">
        <v>0</v>
      </c>
      <c r="I328" s="100" t="s">
        <v>2337</v>
      </c>
    </row>
    <row r="329" spans="1:9">
      <c r="A329" s="95" t="s">
        <v>2409</v>
      </c>
      <c r="B329" s="96" t="s">
        <v>2333</v>
      </c>
      <c r="C329" s="96" t="s">
        <v>1239</v>
      </c>
      <c r="D329" s="96" t="s">
        <v>2401</v>
      </c>
      <c r="E329" s="96" t="s">
        <v>2402</v>
      </c>
      <c r="F329" s="96" t="s">
        <v>2403</v>
      </c>
      <c r="G329" s="88">
        <v>5080057000000</v>
      </c>
      <c r="H329" s="91">
        <v>5080.0569999999998</v>
      </c>
      <c r="I329" s="100" t="s">
        <v>2337</v>
      </c>
    </row>
    <row r="330" spans="1:9">
      <c r="A330" s="95" t="s">
        <v>2409</v>
      </c>
      <c r="B330" s="96" t="s">
        <v>2404</v>
      </c>
      <c r="C330" s="96" t="s">
        <v>1239</v>
      </c>
      <c r="D330" s="96" t="s">
        <v>2334</v>
      </c>
      <c r="E330" s="96" t="s">
        <v>2335</v>
      </c>
      <c r="F330" s="96" t="s">
        <v>2336</v>
      </c>
      <c r="G330" s="88">
        <v>18946395000000</v>
      </c>
      <c r="H330" s="91">
        <v>18946.395</v>
      </c>
      <c r="I330" s="100" t="s">
        <v>2405</v>
      </c>
    </row>
    <row r="331" spans="1:9">
      <c r="A331" s="95" t="s">
        <v>2409</v>
      </c>
      <c r="B331" s="96" t="s">
        <v>2404</v>
      </c>
      <c r="C331" s="96" t="s">
        <v>1239</v>
      </c>
      <c r="D331" s="96" t="s">
        <v>2338</v>
      </c>
      <c r="E331" s="96" t="s">
        <v>2339</v>
      </c>
      <c r="F331" s="96" t="s">
        <v>2340</v>
      </c>
      <c r="G331" s="88">
        <v>-49857000000</v>
      </c>
      <c r="H331" s="91">
        <v>-49.856999999999999</v>
      </c>
      <c r="I331" s="100" t="s">
        <v>2405</v>
      </c>
    </row>
    <row r="332" spans="1:9">
      <c r="A332" s="95" t="s">
        <v>2409</v>
      </c>
      <c r="B332" s="96" t="s">
        <v>2404</v>
      </c>
      <c r="C332" s="96" t="s">
        <v>1239</v>
      </c>
      <c r="D332" s="96" t="s">
        <v>2341</v>
      </c>
      <c r="E332" s="96" t="s">
        <v>2342</v>
      </c>
      <c r="F332" s="96" t="s">
        <v>2343</v>
      </c>
      <c r="G332" s="88">
        <v>18896538000000</v>
      </c>
      <c r="H332" s="91">
        <v>18896.538</v>
      </c>
      <c r="I332" s="100" t="s">
        <v>2405</v>
      </c>
    </row>
    <row r="333" spans="1:9">
      <c r="A333" s="95" t="s">
        <v>2409</v>
      </c>
      <c r="B333" s="96" t="s">
        <v>2404</v>
      </c>
      <c r="C333" s="96" t="s">
        <v>1239</v>
      </c>
      <c r="D333" s="96" t="s">
        <v>2344</v>
      </c>
      <c r="E333" s="96" t="s">
        <v>2345</v>
      </c>
      <c r="F333" s="96" t="s">
        <v>2346</v>
      </c>
      <c r="G333" s="88">
        <v>-12702295000000</v>
      </c>
      <c r="H333" s="91">
        <v>-12702.295</v>
      </c>
      <c r="I333" s="100" t="s">
        <v>2405</v>
      </c>
    </row>
    <row r="334" spans="1:9">
      <c r="A334" s="95" t="s">
        <v>2409</v>
      </c>
      <c r="B334" s="96" t="s">
        <v>2404</v>
      </c>
      <c r="C334" s="96" t="s">
        <v>1239</v>
      </c>
      <c r="D334" s="96" t="s">
        <v>21</v>
      </c>
      <c r="E334" s="96" t="s">
        <v>20</v>
      </c>
      <c r="F334" s="96" t="s">
        <v>2347</v>
      </c>
      <c r="G334" s="88">
        <v>6194243000000</v>
      </c>
      <c r="H334" s="91">
        <v>6194.2430000000004</v>
      </c>
      <c r="I334" s="100" t="s">
        <v>2405</v>
      </c>
    </row>
    <row r="335" spans="1:9">
      <c r="A335" s="95" t="s">
        <v>2409</v>
      </c>
      <c r="B335" s="96" t="s">
        <v>2404</v>
      </c>
      <c r="C335" s="96" t="s">
        <v>1239</v>
      </c>
      <c r="D335" s="96" t="s">
        <v>26</v>
      </c>
      <c r="E335" s="96" t="s">
        <v>2348</v>
      </c>
      <c r="F335" s="96" t="s">
        <v>2349</v>
      </c>
      <c r="G335" s="88">
        <v>576758000000</v>
      </c>
      <c r="H335" s="91">
        <v>576.75800000000004</v>
      </c>
      <c r="I335" s="100" t="s">
        <v>2405</v>
      </c>
    </row>
    <row r="336" spans="1:9">
      <c r="A336" s="95" t="s">
        <v>2409</v>
      </c>
      <c r="B336" s="96" t="s">
        <v>2404</v>
      </c>
      <c r="C336" s="96" t="s">
        <v>1239</v>
      </c>
      <c r="D336" s="96" t="s">
        <v>2350</v>
      </c>
      <c r="E336" s="96" t="s">
        <v>2351</v>
      </c>
      <c r="F336" s="96" t="s">
        <v>2352</v>
      </c>
      <c r="G336" s="88">
        <v>-1882532000000</v>
      </c>
      <c r="H336" s="91">
        <v>-1882.5319999999999</v>
      </c>
      <c r="I336" s="100" t="s">
        <v>2405</v>
      </c>
    </row>
    <row r="337" spans="1:9">
      <c r="A337" s="95" t="s">
        <v>2409</v>
      </c>
      <c r="B337" s="96" t="s">
        <v>2404</v>
      </c>
      <c r="C337" s="96" t="s">
        <v>1239</v>
      </c>
      <c r="D337" s="96" t="s">
        <v>2353</v>
      </c>
      <c r="E337" s="96" t="s">
        <v>2354</v>
      </c>
      <c r="F337" s="96" t="s">
        <v>2355</v>
      </c>
      <c r="G337" s="88">
        <v>-1392622000000</v>
      </c>
      <c r="H337" s="91">
        <v>-1392.6220000000001</v>
      </c>
      <c r="I337" s="100" t="s">
        <v>2405</v>
      </c>
    </row>
    <row r="338" spans="1:9">
      <c r="A338" s="95" t="s">
        <v>2409</v>
      </c>
      <c r="B338" s="96" t="s">
        <v>2404</v>
      </c>
      <c r="C338" s="96" t="s">
        <v>1239</v>
      </c>
      <c r="D338" s="96" t="s">
        <v>32</v>
      </c>
      <c r="E338" s="96" t="s">
        <v>2356</v>
      </c>
      <c r="F338" s="96" t="s">
        <v>2357</v>
      </c>
      <c r="G338" s="88">
        <v>-3709832000000</v>
      </c>
      <c r="H338" s="91">
        <v>-3709.8319999999999</v>
      </c>
      <c r="I338" s="100" t="s">
        <v>2405</v>
      </c>
    </row>
    <row r="339" spans="1:9">
      <c r="A339" s="95" t="s">
        <v>2409</v>
      </c>
      <c r="B339" s="96" t="s">
        <v>2404</v>
      </c>
      <c r="C339" s="96" t="s">
        <v>1239</v>
      </c>
      <c r="D339" s="96" t="s">
        <v>2358</v>
      </c>
      <c r="E339" s="96" t="s">
        <v>2359</v>
      </c>
      <c r="F339" s="96" t="s">
        <v>2360</v>
      </c>
      <c r="G339" s="88">
        <v>-849360000000</v>
      </c>
      <c r="H339" s="91">
        <v>-849.36</v>
      </c>
      <c r="I339" s="100" t="s">
        <v>2405</v>
      </c>
    </row>
    <row r="340" spans="1:9">
      <c r="A340" s="95" t="s">
        <v>2409</v>
      </c>
      <c r="B340" s="96" t="s">
        <v>2404</v>
      </c>
      <c r="C340" s="96" t="s">
        <v>1239</v>
      </c>
      <c r="D340" s="96" t="s">
        <v>2361</v>
      </c>
      <c r="E340" s="96" t="s">
        <v>2362</v>
      </c>
      <c r="F340" s="96" t="s">
        <v>2363</v>
      </c>
      <c r="G340" s="88">
        <v>1519370000000</v>
      </c>
      <c r="H340" s="91">
        <v>1519.37</v>
      </c>
      <c r="I340" s="100" t="s">
        <v>2405</v>
      </c>
    </row>
    <row r="341" spans="1:9">
      <c r="A341" s="95" t="s">
        <v>2409</v>
      </c>
      <c r="B341" s="96" t="s">
        <v>2404</v>
      </c>
      <c r="C341" s="96" t="s">
        <v>1239</v>
      </c>
      <c r="D341" s="96" t="s">
        <v>2364</v>
      </c>
      <c r="E341" s="96" t="s">
        <v>2365</v>
      </c>
      <c r="F341" s="96" t="s">
        <v>2366</v>
      </c>
      <c r="G341" s="88">
        <v>11235000000</v>
      </c>
      <c r="H341" s="91">
        <v>11.234999999999999</v>
      </c>
      <c r="I341" s="100" t="s">
        <v>2405</v>
      </c>
    </row>
    <row r="342" spans="1:9">
      <c r="A342" s="95" t="s">
        <v>2409</v>
      </c>
      <c r="B342" s="96" t="s">
        <v>2404</v>
      </c>
      <c r="C342" s="96" t="s">
        <v>1239</v>
      </c>
      <c r="D342" s="96" t="s">
        <v>1690</v>
      </c>
      <c r="E342" s="96" t="s">
        <v>2367</v>
      </c>
      <c r="F342" s="96" t="s">
        <v>2368</v>
      </c>
      <c r="G342" s="88">
        <v>-308236000000</v>
      </c>
      <c r="H342" s="91">
        <v>-308.23599999999999</v>
      </c>
      <c r="I342" s="100" t="s">
        <v>2405</v>
      </c>
    </row>
    <row r="343" spans="1:9">
      <c r="A343" s="95" t="s">
        <v>2409</v>
      </c>
      <c r="B343" s="96" t="s">
        <v>2404</v>
      </c>
      <c r="C343" s="96" t="s">
        <v>1239</v>
      </c>
      <c r="D343" s="96" t="s">
        <v>2369</v>
      </c>
      <c r="E343" s="96" t="s">
        <v>2370</v>
      </c>
      <c r="F343" s="96" t="s">
        <v>2371</v>
      </c>
      <c r="G343" s="88">
        <v>-297001000000</v>
      </c>
      <c r="H343" s="91">
        <v>-297.00099999999998</v>
      </c>
      <c r="I343" s="100" t="s">
        <v>2405</v>
      </c>
    </row>
    <row r="344" spans="1:9">
      <c r="A344" s="95" t="s">
        <v>2409</v>
      </c>
      <c r="B344" s="96" t="s">
        <v>2404</v>
      </c>
      <c r="C344" s="96" t="s">
        <v>1239</v>
      </c>
      <c r="D344" s="96" t="s">
        <v>2372</v>
      </c>
      <c r="E344" s="96" t="s">
        <v>2373</v>
      </c>
      <c r="F344" s="96" t="s">
        <v>2374</v>
      </c>
      <c r="G344" s="88">
        <v>0</v>
      </c>
      <c r="H344" s="91">
        <v>0</v>
      </c>
      <c r="I344" s="100" t="s">
        <v>2405</v>
      </c>
    </row>
    <row r="345" spans="1:9">
      <c r="A345" s="95" t="s">
        <v>2409</v>
      </c>
      <c r="B345" s="96" t="s">
        <v>2404</v>
      </c>
      <c r="C345" s="96" t="s">
        <v>1239</v>
      </c>
      <c r="D345" s="96" t="s">
        <v>2375</v>
      </c>
      <c r="E345" s="96" t="s">
        <v>2376</v>
      </c>
      <c r="F345" s="96" t="s">
        <v>2377</v>
      </c>
      <c r="G345" s="88">
        <v>1222369000000</v>
      </c>
      <c r="H345" s="91">
        <v>1222.3689999999999</v>
      </c>
      <c r="I345" s="100" t="s">
        <v>2405</v>
      </c>
    </row>
    <row r="346" spans="1:9">
      <c r="A346" s="95" t="s">
        <v>2409</v>
      </c>
      <c r="B346" s="96" t="s">
        <v>2404</v>
      </c>
      <c r="C346" s="96" t="s">
        <v>1239</v>
      </c>
      <c r="D346" s="96" t="s">
        <v>2378</v>
      </c>
      <c r="E346" s="96" t="s">
        <v>2379</v>
      </c>
      <c r="F346" s="96" t="s">
        <v>2380</v>
      </c>
      <c r="G346" s="88">
        <v>-217864000000</v>
      </c>
      <c r="H346" s="91">
        <v>-217.864</v>
      </c>
      <c r="I346" s="100" t="s">
        <v>2405</v>
      </c>
    </row>
    <row r="347" spans="1:9">
      <c r="A347" s="95" t="s">
        <v>2409</v>
      </c>
      <c r="B347" s="96" t="s">
        <v>2404</v>
      </c>
      <c r="C347" s="96" t="s">
        <v>1239</v>
      </c>
      <c r="D347" s="96" t="s">
        <v>2381</v>
      </c>
      <c r="E347" s="96" t="s">
        <v>2382</v>
      </c>
      <c r="F347" s="96" t="s">
        <v>2383</v>
      </c>
      <c r="G347" s="88">
        <v>-21465000000</v>
      </c>
      <c r="H347" s="91">
        <v>-21.465</v>
      </c>
      <c r="I347" s="100" t="s">
        <v>2405</v>
      </c>
    </row>
    <row r="348" spans="1:9">
      <c r="A348" s="95" t="s">
        <v>2409</v>
      </c>
      <c r="B348" s="96" t="s">
        <v>2404</v>
      </c>
      <c r="C348" s="96" t="s">
        <v>1239</v>
      </c>
      <c r="D348" s="96" t="s">
        <v>2384</v>
      </c>
      <c r="E348" s="96" t="s">
        <v>2385</v>
      </c>
      <c r="F348" s="96" t="s">
        <v>2386</v>
      </c>
      <c r="G348" s="88">
        <v>-239329000000</v>
      </c>
      <c r="H348" s="91">
        <v>-239.32900000000001</v>
      </c>
      <c r="I348" s="100" t="s">
        <v>2405</v>
      </c>
    </row>
    <row r="349" spans="1:9">
      <c r="A349" s="95" t="s">
        <v>2409</v>
      </c>
      <c r="B349" s="96" t="s">
        <v>2404</v>
      </c>
      <c r="C349" s="96" t="s">
        <v>1239</v>
      </c>
      <c r="D349" s="96" t="s">
        <v>2387</v>
      </c>
      <c r="E349" s="96" t="s">
        <v>2388</v>
      </c>
      <c r="F349" s="96" t="s">
        <v>2389</v>
      </c>
      <c r="G349" s="88">
        <v>983040000000</v>
      </c>
      <c r="H349" s="91">
        <v>983.04</v>
      </c>
      <c r="I349" s="100" t="s">
        <v>2405</v>
      </c>
    </row>
    <row r="350" spans="1:9">
      <c r="A350" s="95" t="s">
        <v>2409</v>
      </c>
      <c r="B350" s="96" t="s">
        <v>2404</v>
      </c>
      <c r="C350" s="96" t="s">
        <v>1239</v>
      </c>
      <c r="D350" s="96" t="s">
        <v>2390</v>
      </c>
      <c r="E350" s="96" t="s">
        <v>2391</v>
      </c>
      <c r="F350" s="96" t="s">
        <v>1631</v>
      </c>
      <c r="G350" s="88">
        <v>589540000000</v>
      </c>
      <c r="H350" s="91">
        <v>589.54</v>
      </c>
      <c r="I350" s="100" t="s">
        <v>2405</v>
      </c>
    </row>
    <row r="351" spans="1:9">
      <c r="A351" s="95" t="s">
        <v>2409</v>
      </c>
      <c r="B351" s="96" t="s">
        <v>2404</v>
      </c>
      <c r="C351" s="96" t="s">
        <v>1239</v>
      </c>
      <c r="D351" s="96" t="s">
        <v>2392</v>
      </c>
      <c r="E351" s="96" t="s">
        <v>2393</v>
      </c>
      <c r="F351" s="96" t="s">
        <v>2394</v>
      </c>
      <c r="G351" s="88">
        <v>393500000000</v>
      </c>
      <c r="H351" s="91">
        <v>393.5</v>
      </c>
      <c r="I351" s="100" t="s">
        <v>2405</v>
      </c>
    </row>
    <row r="352" spans="1:9">
      <c r="A352" s="95" t="s">
        <v>2409</v>
      </c>
      <c r="B352" s="96" t="s">
        <v>2404</v>
      </c>
      <c r="C352" s="96" t="s">
        <v>1239</v>
      </c>
      <c r="D352" s="96" t="s">
        <v>2395</v>
      </c>
      <c r="E352" s="96" t="s">
        <v>2396</v>
      </c>
      <c r="F352" s="96" t="s">
        <v>2397</v>
      </c>
      <c r="G352" s="88">
        <v>260</v>
      </c>
      <c r="H352" s="91">
        <v>2.6E-7</v>
      </c>
      <c r="I352" s="100" t="s">
        <v>2405</v>
      </c>
    </row>
    <row r="353" spans="1:9">
      <c r="A353" s="95" t="s">
        <v>2409</v>
      </c>
      <c r="B353" s="96" t="s">
        <v>2404</v>
      </c>
      <c r="C353" s="96" t="s">
        <v>1239</v>
      </c>
      <c r="D353" s="96" t="s">
        <v>2398</v>
      </c>
      <c r="E353" s="96" t="s">
        <v>2399</v>
      </c>
      <c r="F353" s="96" t="s">
        <v>2400</v>
      </c>
      <c r="G353" s="88">
        <v>0</v>
      </c>
      <c r="H353" s="91">
        <v>0</v>
      </c>
      <c r="I353" s="100" t="s">
        <v>2405</v>
      </c>
    </row>
    <row r="354" spans="1:9">
      <c r="A354" s="95" t="s">
        <v>2409</v>
      </c>
      <c r="B354" s="96" t="s">
        <v>2404</v>
      </c>
      <c r="C354" s="96" t="s">
        <v>1239</v>
      </c>
      <c r="D354" s="96" t="s">
        <v>2401</v>
      </c>
      <c r="E354" s="96" t="s">
        <v>2402</v>
      </c>
      <c r="F354" s="96" t="s">
        <v>2403</v>
      </c>
      <c r="G354" s="88">
        <v>1190093000000</v>
      </c>
      <c r="H354" s="91">
        <v>1190.0930000000001</v>
      </c>
      <c r="I354" s="100" t="s">
        <v>2405</v>
      </c>
    </row>
    <row r="355" spans="1:9">
      <c r="A355" s="95" t="s">
        <v>2409</v>
      </c>
      <c r="B355" s="96" t="s">
        <v>1034</v>
      </c>
      <c r="C355" s="96" t="s">
        <v>1239</v>
      </c>
      <c r="D355" s="96" t="s">
        <v>2334</v>
      </c>
      <c r="E355" s="96" t="s">
        <v>2335</v>
      </c>
      <c r="F355" s="96" t="s">
        <v>2336</v>
      </c>
      <c r="G355" s="88">
        <v>24075239000000</v>
      </c>
      <c r="H355" s="91">
        <v>24075.239000000001</v>
      </c>
      <c r="I355" s="100" t="s">
        <v>2405</v>
      </c>
    </row>
    <row r="356" spans="1:9">
      <c r="A356" s="95" t="s">
        <v>2409</v>
      </c>
      <c r="B356" s="96" t="s">
        <v>1034</v>
      </c>
      <c r="C356" s="96" t="s">
        <v>1239</v>
      </c>
      <c r="D356" s="96" t="s">
        <v>2338</v>
      </c>
      <c r="E356" s="96" t="s">
        <v>2339</v>
      </c>
      <c r="F356" s="96" t="s">
        <v>2340</v>
      </c>
      <c r="G356" s="88">
        <v>-55485000000</v>
      </c>
      <c r="H356" s="91">
        <v>-55.484999999999999</v>
      </c>
      <c r="I356" s="100" t="s">
        <v>2405</v>
      </c>
    </row>
    <row r="357" spans="1:9">
      <c r="A357" s="95" t="s">
        <v>2409</v>
      </c>
      <c r="B357" s="96" t="s">
        <v>1034</v>
      </c>
      <c r="C357" s="96" t="s">
        <v>1239</v>
      </c>
      <c r="D357" s="96" t="s">
        <v>2341</v>
      </c>
      <c r="E357" s="96" t="s">
        <v>2342</v>
      </c>
      <c r="F357" s="96" t="s">
        <v>2343</v>
      </c>
      <c r="G357" s="88">
        <v>24019754000000</v>
      </c>
      <c r="H357" s="91">
        <v>24019.754000000001</v>
      </c>
      <c r="I357" s="100" t="s">
        <v>2405</v>
      </c>
    </row>
    <row r="358" spans="1:9">
      <c r="A358" s="95" t="s">
        <v>2409</v>
      </c>
      <c r="B358" s="96" t="s">
        <v>1034</v>
      </c>
      <c r="C358" s="96" t="s">
        <v>1239</v>
      </c>
      <c r="D358" s="96" t="s">
        <v>2344</v>
      </c>
      <c r="E358" s="96" t="s">
        <v>2345</v>
      </c>
      <c r="F358" s="96" t="s">
        <v>2346</v>
      </c>
      <c r="G358" s="88">
        <v>-16113727000000</v>
      </c>
      <c r="H358" s="91">
        <v>-16113.727000000001</v>
      </c>
      <c r="I358" s="100" t="s">
        <v>2405</v>
      </c>
    </row>
    <row r="359" spans="1:9">
      <c r="A359" s="95" t="s">
        <v>2409</v>
      </c>
      <c r="B359" s="96" t="s">
        <v>1034</v>
      </c>
      <c r="C359" s="96" t="s">
        <v>1239</v>
      </c>
      <c r="D359" s="96" t="s">
        <v>21</v>
      </c>
      <c r="E359" s="96" t="s">
        <v>20</v>
      </c>
      <c r="F359" s="96" t="s">
        <v>2347</v>
      </c>
      <c r="G359" s="88">
        <v>7906027000000</v>
      </c>
      <c r="H359" s="91">
        <v>7906.027</v>
      </c>
      <c r="I359" s="100" t="s">
        <v>2405</v>
      </c>
    </row>
    <row r="360" spans="1:9">
      <c r="A360" s="95" t="s">
        <v>2409</v>
      </c>
      <c r="B360" s="96" t="s">
        <v>1034</v>
      </c>
      <c r="C360" s="96" t="s">
        <v>1239</v>
      </c>
      <c r="D360" s="96" t="s">
        <v>26</v>
      </c>
      <c r="E360" s="96" t="s">
        <v>2348</v>
      </c>
      <c r="F360" s="96" t="s">
        <v>2349</v>
      </c>
      <c r="G360" s="88">
        <v>425056000000</v>
      </c>
      <c r="H360" s="91">
        <v>425.05599999999998</v>
      </c>
      <c r="I360" s="100" t="s">
        <v>2405</v>
      </c>
    </row>
    <row r="361" spans="1:9">
      <c r="A361" s="95" t="s">
        <v>2409</v>
      </c>
      <c r="B361" s="96" t="s">
        <v>1034</v>
      </c>
      <c r="C361" s="96" t="s">
        <v>1239</v>
      </c>
      <c r="D361" s="96" t="s">
        <v>2350</v>
      </c>
      <c r="E361" s="96" t="s">
        <v>2351</v>
      </c>
      <c r="F361" s="96" t="s">
        <v>2352</v>
      </c>
      <c r="G361" s="88">
        <v>-1894801000000</v>
      </c>
      <c r="H361" s="91">
        <v>-1894.8009999999999</v>
      </c>
      <c r="I361" s="100" t="s">
        <v>2405</v>
      </c>
    </row>
    <row r="362" spans="1:9">
      <c r="A362" s="95" t="s">
        <v>2409</v>
      </c>
      <c r="B362" s="96" t="s">
        <v>1034</v>
      </c>
      <c r="C362" s="96" t="s">
        <v>1239</v>
      </c>
      <c r="D362" s="96" t="s">
        <v>2353</v>
      </c>
      <c r="E362" s="96" t="s">
        <v>2354</v>
      </c>
      <c r="F362" s="96" t="s">
        <v>2355</v>
      </c>
      <c r="G362" s="88">
        <v>-1214557000000</v>
      </c>
      <c r="H362" s="91">
        <v>-1214.557</v>
      </c>
      <c r="I362" s="100" t="s">
        <v>2405</v>
      </c>
    </row>
    <row r="363" spans="1:9">
      <c r="A363" s="95" t="s">
        <v>2409</v>
      </c>
      <c r="B363" s="96" t="s">
        <v>1034</v>
      </c>
      <c r="C363" s="96" t="s">
        <v>1239</v>
      </c>
      <c r="D363" s="96" t="s">
        <v>32</v>
      </c>
      <c r="E363" s="96" t="s">
        <v>2356</v>
      </c>
      <c r="F363" s="96" t="s">
        <v>2357</v>
      </c>
      <c r="G363" s="88">
        <v>-4089684000000</v>
      </c>
      <c r="H363" s="91">
        <v>-4089.6840000000002</v>
      </c>
      <c r="I363" s="100" t="s">
        <v>2405</v>
      </c>
    </row>
    <row r="364" spans="1:9">
      <c r="A364" s="95" t="s">
        <v>2409</v>
      </c>
      <c r="B364" s="96" t="s">
        <v>1034</v>
      </c>
      <c r="C364" s="96" t="s">
        <v>1239</v>
      </c>
      <c r="D364" s="96" t="s">
        <v>2358</v>
      </c>
      <c r="E364" s="96" t="s">
        <v>2359</v>
      </c>
      <c r="F364" s="96" t="s">
        <v>2360</v>
      </c>
      <c r="G364" s="88">
        <v>-1369051000000</v>
      </c>
      <c r="H364" s="91">
        <v>-1369.0509999999999</v>
      </c>
      <c r="I364" s="100" t="s">
        <v>2405</v>
      </c>
    </row>
    <row r="365" spans="1:9">
      <c r="A365" s="95" t="s">
        <v>2409</v>
      </c>
      <c r="B365" s="96" t="s">
        <v>1034</v>
      </c>
      <c r="C365" s="96" t="s">
        <v>1239</v>
      </c>
      <c r="D365" s="96" t="s">
        <v>2361</v>
      </c>
      <c r="E365" s="96" t="s">
        <v>2362</v>
      </c>
      <c r="F365" s="96" t="s">
        <v>2363</v>
      </c>
      <c r="G365" s="88">
        <v>2318740000000</v>
      </c>
      <c r="H365" s="91">
        <v>2318.7399999999998</v>
      </c>
      <c r="I365" s="100" t="s">
        <v>2405</v>
      </c>
    </row>
    <row r="366" spans="1:9">
      <c r="A366" s="95" t="s">
        <v>2409</v>
      </c>
      <c r="B366" s="96" t="s">
        <v>1034</v>
      </c>
      <c r="C366" s="96" t="s">
        <v>1239</v>
      </c>
      <c r="D366" s="96" t="s">
        <v>2364</v>
      </c>
      <c r="E366" s="96" t="s">
        <v>2365</v>
      </c>
      <c r="F366" s="96" t="s">
        <v>2366</v>
      </c>
      <c r="G366" s="88">
        <v>24605000000</v>
      </c>
      <c r="H366" s="91">
        <v>24.605</v>
      </c>
      <c r="I366" s="100" t="s">
        <v>2405</v>
      </c>
    </row>
    <row r="367" spans="1:9">
      <c r="A367" s="95" t="s">
        <v>2409</v>
      </c>
      <c r="B367" s="96" t="s">
        <v>1034</v>
      </c>
      <c r="C367" s="96" t="s">
        <v>1239</v>
      </c>
      <c r="D367" s="96" t="s">
        <v>1690</v>
      </c>
      <c r="E367" s="96" t="s">
        <v>2367</v>
      </c>
      <c r="F367" s="96" t="s">
        <v>2368</v>
      </c>
      <c r="G367" s="88">
        <v>-23168000000</v>
      </c>
      <c r="H367" s="91">
        <v>-23.167999999999999</v>
      </c>
      <c r="I367" s="100" t="s">
        <v>2405</v>
      </c>
    </row>
    <row r="368" spans="1:9">
      <c r="A368" s="95" t="s">
        <v>2409</v>
      </c>
      <c r="B368" s="96" t="s">
        <v>1034</v>
      </c>
      <c r="C368" s="96" t="s">
        <v>1239</v>
      </c>
      <c r="D368" s="96" t="s">
        <v>2369</v>
      </c>
      <c r="E368" s="96" t="s">
        <v>2370</v>
      </c>
      <c r="F368" s="96" t="s">
        <v>2371</v>
      </c>
      <c r="G368" s="88">
        <v>1437000000</v>
      </c>
      <c r="H368" s="91">
        <v>1.4370000000000001</v>
      </c>
      <c r="I368" s="100" t="s">
        <v>2405</v>
      </c>
    </row>
    <row r="369" spans="1:9">
      <c r="A369" s="95" t="s">
        <v>2409</v>
      </c>
      <c r="B369" s="96" t="s">
        <v>1034</v>
      </c>
      <c r="C369" s="96" t="s">
        <v>1239</v>
      </c>
      <c r="D369" s="96" t="s">
        <v>2372</v>
      </c>
      <c r="E369" s="96" t="s">
        <v>2373</v>
      </c>
      <c r="F369" s="96" t="s">
        <v>2374</v>
      </c>
      <c r="G369" s="88">
        <v>0</v>
      </c>
      <c r="H369" s="91">
        <v>0</v>
      </c>
      <c r="I369" s="100" t="s">
        <v>2405</v>
      </c>
    </row>
    <row r="370" spans="1:9">
      <c r="A370" s="95" t="s">
        <v>2409</v>
      </c>
      <c r="B370" s="96" t="s">
        <v>1034</v>
      </c>
      <c r="C370" s="96" t="s">
        <v>1239</v>
      </c>
      <c r="D370" s="96" t="s">
        <v>2375</v>
      </c>
      <c r="E370" s="96" t="s">
        <v>2376</v>
      </c>
      <c r="F370" s="96" t="s">
        <v>2377</v>
      </c>
      <c r="G370" s="88">
        <v>2320177000000</v>
      </c>
      <c r="H370" s="91">
        <v>2320.1770000000001</v>
      </c>
      <c r="I370" s="100" t="s">
        <v>2405</v>
      </c>
    </row>
    <row r="371" spans="1:9">
      <c r="A371" s="95" t="s">
        <v>2409</v>
      </c>
      <c r="B371" s="96" t="s">
        <v>1034</v>
      </c>
      <c r="C371" s="96" t="s">
        <v>1239</v>
      </c>
      <c r="D371" s="96" t="s">
        <v>2378</v>
      </c>
      <c r="E371" s="96" t="s">
        <v>2379</v>
      </c>
      <c r="F371" s="96" t="s">
        <v>2380</v>
      </c>
      <c r="G371" s="88">
        <v>-398848000000</v>
      </c>
      <c r="H371" s="91">
        <v>-398.84800000000001</v>
      </c>
      <c r="I371" s="100" t="s">
        <v>2405</v>
      </c>
    </row>
    <row r="372" spans="1:9">
      <c r="A372" s="95" t="s">
        <v>2409</v>
      </c>
      <c r="B372" s="96" t="s">
        <v>1034</v>
      </c>
      <c r="C372" s="96" t="s">
        <v>1239</v>
      </c>
      <c r="D372" s="96" t="s">
        <v>2381</v>
      </c>
      <c r="E372" s="96" t="s">
        <v>2382</v>
      </c>
      <c r="F372" s="96" t="s">
        <v>2383</v>
      </c>
      <c r="G372" s="88">
        <v>52248000000</v>
      </c>
      <c r="H372" s="91">
        <v>52.247999999999998</v>
      </c>
      <c r="I372" s="100" t="s">
        <v>2405</v>
      </c>
    </row>
    <row r="373" spans="1:9">
      <c r="A373" s="95" t="s">
        <v>2409</v>
      </c>
      <c r="B373" s="96" t="s">
        <v>1034</v>
      </c>
      <c r="C373" s="96" t="s">
        <v>1239</v>
      </c>
      <c r="D373" s="96" t="s">
        <v>2384</v>
      </c>
      <c r="E373" s="96" t="s">
        <v>2385</v>
      </c>
      <c r="F373" s="96" t="s">
        <v>2386</v>
      </c>
      <c r="G373" s="88">
        <v>-346600000000</v>
      </c>
      <c r="H373" s="91">
        <v>-346.6</v>
      </c>
      <c r="I373" s="100" t="s">
        <v>2405</v>
      </c>
    </row>
    <row r="374" spans="1:9">
      <c r="A374" s="95" t="s">
        <v>2409</v>
      </c>
      <c r="B374" s="96" t="s">
        <v>1034</v>
      </c>
      <c r="C374" s="96" t="s">
        <v>1239</v>
      </c>
      <c r="D374" s="96" t="s">
        <v>2387</v>
      </c>
      <c r="E374" s="96" t="s">
        <v>2388</v>
      </c>
      <c r="F374" s="96" t="s">
        <v>2389</v>
      </c>
      <c r="G374" s="88">
        <v>1973577000000</v>
      </c>
      <c r="H374" s="91">
        <v>1973.577</v>
      </c>
      <c r="I374" s="100" t="s">
        <v>2405</v>
      </c>
    </row>
    <row r="375" spans="1:9">
      <c r="A375" s="95" t="s">
        <v>2409</v>
      </c>
      <c r="B375" s="96" t="s">
        <v>1034</v>
      </c>
      <c r="C375" s="96" t="s">
        <v>1239</v>
      </c>
      <c r="D375" s="96" t="s">
        <v>2390</v>
      </c>
      <c r="E375" s="96" t="s">
        <v>2391</v>
      </c>
      <c r="F375" s="96" t="s">
        <v>1631</v>
      </c>
      <c r="G375" s="88">
        <v>727783000000</v>
      </c>
      <c r="H375" s="91">
        <v>727.78300000000002</v>
      </c>
      <c r="I375" s="100" t="s">
        <v>2405</v>
      </c>
    </row>
    <row r="376" spans="1:9">
      <c r="A376" s="95" t="s">
        <v>2409</v>
      </c>
      <c r="B376" s="96" t="s">
        <v>1034</v>
      </c>
      <c r="C376" s="96" t="s">
        <v>1239</v>
      </c>
      <c r="D376" s="96" t="s">
        <v>2392</v>
      </c>
      <c r="E376" s="96" t="s">
        <v>2393</v>
      </c>
      <c r="F376" s="96" t="s">
        <v>2394</v>
      </c>
      <c r="G376" s="88">
        <v>1245794000000</v>
      </c>
      <c r="H376" s="91">
        <v>1245.7940000000001</v>
      </c>
      <c r="I376" s="100" t="s">
        <v>2405</v>
      </c>
    </row>
    <row r="377" spans="1:9">
      <c r="A377" s="95" t="s">
        <v>2409</v>
      </c>
      <c r="B377" s="96" t="s">
        <v>1034</v>
      </c>
      <c r="C377" s="96" t="s">
        <v>1239</v>
      </c>
      <c r="D377" s="96" t="s">
        <v>2395</v>
      </c>
      <c r="E377" s="96" t="s">
        <v>2396</v>
      </c>
      <c r="F377" s="96" t="s">
        <v>2397</v>
      </c>
      <c r="G377" s="88">
        <v>819</v>
      </c>
      <c r="H377" s="91">
        <v>8.1900000000000001E-7</v>
      </c>
      <c r="I377" s="100" t="s">
        <v>2405</v>
      </c>
    </row>
    <row r="378" spans="1:9">
      <c r="A378" s="95" t="s">
        <v>2409</v>
      </c>
      <c r="B378" s="96" t="s">
        <v>1034</v>
      </c>
      <c r="C378" s="96" t="s">
        <v>1239</v>
      </c>
      <c r="D378" s="96" t="s">
        <v>2398</v>
      </c>
      <c r="E378" s="96" t="s">
        <v>2399</v>
      </c>
      <c r="F378" s="96" t="s">
        <v>2400</v>
      </c>
      <c r="G378" s="88">
        <v>0</v>
      </c>
      <c r="H378" s="91">
        <v>0</v>
      </c>
      <c r="I378" s="100" t="s">
        <v>2405</v>
      </c>
    </row>
    <row r="379" spans="1:9">
      <c r="A379" s="97" t="s">
        <v>2409</v>
      </c>
      <c r="B379" s="98" t="s">
        <v>1034</v>
      </c>
      <c r="C379" s="98" t="s">
        <v>1239</v>
      </c>
      <c r="D379" s="98" t="s">
        <v>2401</v>
      </c>
      <c r="E379" s="98" t="s">
        <v>2402</v>
      </c>
      <c r="F379" s="98" t="s">
        <v>2403</v>
      </c>
      <c r="G379" s="89">
        <v>1341193000000</v>
      </c>
      <c r="H379" s="92">
        <v>1341.193</v>
      </c>
      <c r="I379" s="101" t="s">
        <v>2405</v>
      </c>
    </row>
  </sheetData>
  <mergeCells count="2">
    <mergeCell ref="A1:I1"/>
    <mergeCell ref="A2:I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1834"/>
  <sheetViews>
    <sheetView showGridLines="0" workbookViewId="0">
      <selection sqref="A1:I1"/>
    </sheetView>
  </sheetViews>
  <sheetFormatPr defaultRowHeight="13.8"/>
  <cols>
    <col min="1" max="2" width="12" customWidth="1"/>
    <col min="3" max="3" width="20" customWidth="1"/>
    <col min="4" max="4" width="34" customWidth="1"/>
    <col min="5" max="5" width="36" customWidth="1"/>
    <col min="6" max="6" width="44" customWidth="1"/>
    <col min="7" max="7" width="18" customWidth="1"/>
    <col min="8" max="8" width="16" customWidth="1"/>
    <col min="9" max="9" width="32" customWidth="1"/>
  </cols>
  <sheetData>
    <row r="1" spans="1:9" ht="27.9" customHeight="1">
      <c r="A1" s="473" t="s">
        <v>2410</v>
      </c>
      <c r="B1" s="452"/>
      <c r="C1" s="452"/>
      <c r="D1" s="452"/>
      <c r="E1" s="452"/>
      <c r="F1" s="452"/>
      <c r="G1" s="452"/>
      <c r="H1" s="452"/>
      <c r="I1" s="452"/>
    </row>
    <row r="2" spans="1:9">
      <c r="A2" s="476" t="s">
        <v>2326</v>
      </c>
      <c r="B2" s="452"/>
      <c r="C2" s="452"/>
      <c r="D2" s="452"/>
      <c r="E2" s="452"/>
      <c r="F2" s="452"/>
      <c r="G2" s="452"/>
      <c r="H2" s="452"/>
      <c r="I2" s="452"/>
    </row>
    <row r="4" spans="1:9" ht="15" customHeight="1">
      <c r="A4" s="360" t="s">
        <v>551</v>
      </c>
      <c r="B4" s="360" t="s">
        <v>1149</v>
      </c>
      <c r="C4" s="360" t="s">
        <v>2327</v>
      </c>
      <c r="D4" s="360" t="s">
        <v>2328</v>
      </c>
      <c r="E4" s="360" t="s">
        <v>2329</v>
      </c>
      <c r="F4" s="360" t="s">
        <v>2330</v>
      </c>
      <c r="G4" s="360" t="s">
        <v>2331</v>
      </c>
      <c r="H4" s="360" t="s">
        <v>2332</v>
      </c>
      <c r="I4" s="360" t="s">
        <v>150</v>
      </c>
    </row>
    <row r="5" spans="1:9">
      <c r="A5" s="93" t="s">
        <v>602</v>
      </c>
      <c r="B5" s="94" t="s">
        <v>2333</v>
      </c>
      <c r="C5" s="94" t="s">
        <v>1241</v>
      </c>
      <c r="D5" s="94" t="s">
        <v>68</v>
      </c>
      <c r="E5" s="94" t="s">
        <v>2411</v>
      </c>
      <c r="F5" s="94" t="s">
        <v>2412</v>
      </c>
      <c r="G5" s="87">
        <v>77201650782966</v>
      </c>
      <c r="H5" s="90">
        <v>77201.650782965997</v>
      </c>
      <c r="I5" s="99" t="s">
        <v>2337</v>
      </c>
    </row>
    <row r="6" spans="1:9">
      <c r="A6" s="95" t="s">
        <v>602</v>
      </c>
      <c r="B6" s="96" t="s">
        <v>2333</v>
      </c>
      <c r="C6" s="96" t="s">
        <v>1241</v>
      </c>
      <c r="D6" s="96" t="s">
        <v>58</v>
      </c>
      <c r="E6" s="96" t="s">
        <v>2413</v>
      </c>
      <c r="F6" s="96" t="s">
        <v>2414</v>
      </c>
      <c r="G6" s="88">
        <v>4999925717187</v>
      </c>
      <c r="H6" s="91">
        <v>4999.9257171870004</v>
      </c>
      <c r="I6" s="100" t="s">
        <v>2337</v>
      </c>
    </row>
    <row r="7" spans="1:9">
      <c r="A7" s="95" t="s">
        <v>602</v>
      </c>
      <c r="B7" s="96" t="s">
        <v>2333</v>
      </c>
      <c r="C7" s="96" t="s">
        <v>1241</v>
      </c>
      <c r="D7" s="96" t="s">
        <v>1699</v>
      </c>
      <c r="E7" s="96" t="s">
        <v>2415</v>
      </c>
      <c r="F7" s="96" t="s">
        <v>2416</v>
      </c>
      <c r="G7" s="88">
        <v>4960375717187</v>
      </c>
      <c r="H7" s="91">
        <v>4960.3757171870002</v>
      </c>
      <c r="I7" s="100" t="s">
        <v>2337</v>
      </c>
    </row>
    <row r="8" spans="1:9">
      <c r="A8" s="95" t="s">
        <v>602</v>
      </c>
      <c r="B8" s="96" t="s">
        <v>2333</v>
      </c>
      <c r="C8" s="96" t="s">
        <v>1241</v>
      </c>
      <c r="D8" s="96" t="s">
        <v>1701</v>
      </c>
      <c r="E8" s="96" t="s">
        <v>2417</v>
      </c>
      <c r="F8" s="96" t="s">
        <v>2418</v>
      </c>
      <c r="G8" s="88">
        <v>39550000000</v>
      </c>
      <c r="H8" s="91">
        <v>39.549999999999997</v>
      </c>
      <c r="I8" s="100" t="s">
        <v>2337</v>
      </c>
    </row>
    <row r="9" spans="1:9">
      <c r="A9" s="95" t="s">
        <v>602</v>
      </c>
      <c r="B9" s="96" t="s">
        <v>2333</v>
      </c>
      <c r="C9" s="96" t="s">
        <v>1241</v>
      </c>
      <c r="D9" s="96" t="s">
        <v>2053</v>
      </c>
      <c r="E9" s="96" t="s">
        <v>2419</v>
      </c>
      <c r="F9" s="96" t="s">
        <v>2420</v>
      </c>
      <c r="G9" s="88">
        <v>33874270102700</v>
      </c>
      <c r="H9" s="91">
        <v>33874.2701027</v>
      </c>
      <c r="I9" s="100" t="s">
        <v>2337</v>
      </c>
    </row>
    <row r="10" spans="1:9">
      <c r="A10" s="95" t="s">
        <v>602</v>
      </c>
      <c r="B10" s="96" t="s">
        <v>2333</v>
      </c>
      <c r="C10" s="96" t="s">
        <v>1241</v>
      </c>
      <c r="D10" s="96" t="s">
        <v>2053</v>
      </c>
      <c r="E10" s="96" t="s">
        <v>2419</v>
      </c>
      <c r="F10" s="96" t="s">
        <v>2420</v>
      </c>
      <c r="G10" s="88">
        <v>0</v>
      </c>
      <c r="H10" s="91">
        <v>0</v>
      </c>
      <c r="I10" s="100" t="s">
        <v>2337</v>
      </c>
    </row>
    <row r="11" spans="1:9">
      <c r="A11" s="95" t="s">
        <v>602</v>
      </c>
      <c r="B11" s="96" t="s">
        <v>2333</v>
      </c>
      <c r="C11" s="96" t="s">
        <v>1241</v>
      </c>
      <c r="D11" s="96" t="s">
        <v>2421</v>
      </c>
      <c r="E11" s="96" t="s">
        <v>2422</v>
      </c>
      <c r="F11" s="96" t="s">
        <v>2423</v>
      </c>
      <c r="G11" s="88">
        <v>0</v>
      </c>
      <c r="H11" s="91">
        <v>0</v>
      </c>
      <c r="I11" s="100" t="s">
        <v>2337</v>
      </c>
    </row>
    <row r="12" spans="1:9">
      <c r="A12" s="95" t="s">
        <v>602</v>
      </c>
      <c r="B12" s="96" t="s">
        <v>2333</v>
      </c>
      <c r="C12" s="96" t="s">
        <v>1241</v>
      </c>
      <c r="D12" s="96" t="s">
        <v>2424</v>
      </c>
      <c r="E12" s="96" t="s">
        <v>2425</v>
      </c>
      <c r="F12" s="96" t="s">
        <v>2426</v>
      </c>
      <c r="G12" s="88">
        <v>10182835978469</v>
      </c>
      <c r="H12" s="91">
        <v>10182.835978469</v>
      </c>
      <c r="I12" s="100" t="s">
        <v>2337</v>
      </c>
    </row>
    <row r="13" spans="1:9">
      <c r="A13" s="95" t="s">
        <v>602</v>
      </c>
      <c r="B13" s="96" t="s">
        <v>2333</v>
      </c>
      <c r="C13" s="96" t="s">
        <v>1241</v>
      </c>
      <c r="D13" s="96" t="s">
        <v>2427</v>
      </c>
      <c r="E13" s="96" t="s">
        <v>2428</v>
      </c>
      <c r="F13" s="96" t="s">
        <v>2429</v>
      </c>
      <c r="G13" s="88">
        <v>253358838280</v>
      </c>
      <c r="H13" s="91">
        <v>253.35883827999999</v>
      </c>
      <c r="I13" s="100" t="s">
        <v>2337</v>
      </c>
    </row>
    <row r="14" spans="1:9">
      <c r="A14" s="95" t="s">
        <v>602</v>
      </c>
      <c r="B14" s="96" t="s">
        <v>2333</v>
      </c>
      <c r="C14" s="96" t="s">
        <v>1241</v>
      </c>
      <c r="D14" s="96" t="s">
        <v>2430</v>
      </c>
      <c r="E14" s="96" t="s">
        <v>2431</v>
      </c>
      <c r="F14" s="96" t="s">
        <v>2432</v>
      </c>
      <c r="G14" s="88">
        <v>141627187798</v>
      </c>
      <c r="H14" s="91">
        <v>141.62718779799999</v>
      </c>
      <c r="I14" s="100" t="s">
        <v>2337</v>
      </c>
    </row>
    <row r="15" spans="1:9">
      <c r="A15" s="95" t="s">
        <v>602</v>
      </c>
      <c r="B15" s="96" t="s">
        <v>2333</v>
      </c>
      <c r="C15" s="96" t="s">
        <v>1241</v>
      </c>
      <c r="D15" s="96" t="s">
        <v>2433</v>
      </c>
      <c r="E15" s="96" t="s">
        <v>2434</v>
      </c>
      <c r="F15" s="96" t="s">
        <v>2435</v>
      </c>
      <c r="G15" s="88">
        <v>0</v>
      </c>
      <c r="H15" s="91">
        <v>0</v>
      </c>
      <c r="I15" s="100" t="s">
        <v>2337</v>
      </c>
    </row>
    <row r="16" spans="1:9">
      <c r="A16" s="95" t="s">
        <v>602</v>
      </c>
      <c r="B16" s="96" t="s">
        <v>2333</v>
      </c>
      <c r="C16" s="96" t="s">
        <v>1241</v>
      </c>
      <c r="D16" s="96" t="s">
        <v>2436</v>
      </c>
      <c r="E16" s="96" t="s">
        <v>2437</v>
      </c>
      <c r="F16" s="96" t="s">
        <v>2438</v>
      </c>
      <c r="G16" s="88">
        <v>0</v>
      </c>
      <c r="H16" s="91">
        <v>0</v>
      </c>
      <c r="I16" s="100" t="s">
        <v>2337</v>
      </c>
    </row>
    <row r="17" spans="1:9">
      <c r="A17" s="95" t="s">
        <v>602</v>
      </c>
      <c r="B17" s="96" t="s">
        <v>2333</v>
      </c>
      <c r="C17" s="96" t="s">
        <v>1241</v>
      </c>
      <c r="D17" s="96" t="s">
        <v>2439</v>
      </c>
      <c r="E17" s="96" t="s">
        <v>2440</v>
      </c>
      <c r="F17" s="96" t="s">
        <v>2441</v>
      </c>
      <c r="G17" s="88">
        <v>2877349952391</v>
      </c>
      <c r="H17" s="91">
        <v>2877.349952391</v>
      </c>
      <c r="I17" s="100" t="s">
        <v>2337</v>
      </c>
    </row>
    <row r="18" spans="1:9">
      <c r="A18" s="95" t="s">
        <v>602</v>
      </c>
      <c r="B18" s="96" t="s">
        <v>2333</v>
      </c>
      <c r="C18" s="96" t="s">
        <v>1241</v>
      </c>
      <c r="D18" s="96" t="s">
        <v>2442</v>
      </c>
      <c r="E18" s="96" t="s">
        <v>2443</v>
      </c>
      <c r="F18" s="96" t="s">
        <v>2444</v>
      </c>
      <c r="G18" s="88">
        <v>0</v>
      </c>
      <c r="H18" s="91">
        <v>0</v>
      </c>
      <c r="I18" s="100" t="s">
        <v>2337</v>
      </c>
    </row>
    <row r="19" spans="1:9">
      <c r="A19" s="95" t="s">
        <v>602</v>
      </c>
      <c r="B19" s="96" t="s">
        <v>2333</v>
      </c>
      <c r="C19" s="96" t="s">
        <v>1241</v>
      </c>
      <c r="D19" s="96" t="s">
        <v>2445</v>
      </c>
      <c r="E19" s="96" t="s">
        <v>2446</v>
      </c>
      <c r="F19" s="96" t="s">
        <v>2447</v>
      </c>
      <c r="G19" s="88">
        <v>27266851974258</v>
      </c>
      <c r="H19" s="91">
        <v>27266.851974257999</v>
      </c>
      <c r="I19" s="100" t="s">
        <v>2337</v>
      </c>
    </row>
    <row r="20" spans="1:9">
      <c r="A20" s="95" t="s">
        <v>602</v>
      </c>
      <c r="B20" s="96" t="s">
        <v>2333</v>
      </c>
      <c r="C20" s="96" t="s">
        <v>1241</v>
      </c>
      <c r="D20" s="96" t="s">
        <v>64</v>
      </c>
      <c r="E20" s="96" t="s">
        <v>2448</v>
      </c>
      <c r="F20" s="96" t="s">
        <v>2449</v>
      </c>
      <c r="G20" s="88">
        <v>27876446129267</v>
      </c>
      <c r="H20" s="91">
        <v>27876.446129266998</v>
      </c>
      <c r="I20" s="100" t="s">
        <v>2337</v>
      </c>
    </row>
    <row r="21" spans="1:9">
      <c r="A21" s="95" t="s">
        <v>602</v>
      </c>
      <c r="B21" s="96" t="s">
        <v>2333</v>
      </c>
      <c r="C21" s="96" t="s">
        <v>1241</v>
      </c>
      <c r="D21" s="96" t="s">
        <v>2450</v>
      </c>
      <c r="E21" s="96" t="s">
        <v>2451</v>
      </c>
      <c r="F21" s="96" t="s">
        <v>2452</v>
      </c>
      <c r="G21" s="88">
        <v>-609594155009</v>
      </c>
      <c r="H21" s="91">
        <v>-609.59415500900002</v>
      </c>
      <c r="I21" s="100" t="s">
        <v>2337</v>
      </c>
    </row>
    <row r="22" spans="1:9">
      <c r="A22" s="95" t="s">
        <v>602</v>
      </c>
      <c r="B22" s="96" t="s">
        <v>2333</v>
      </c>
      <c r="C22" s="96" t="s">
        <v>1241</v>
      </c>
      <c r="D22" s="96" t="s">
        <v>2059</v>
      </c>
      <c r="E22" s="96" t="s">
        <v>2453</v>
      </c>
      <c r="F22" s="96" t="s">
        <v>2454</v>
      </c>
      <c r="G22" s="88">
        <v>877767010352</v>
      </c>
      <c r="H22" s="91">
        <v>877.76701035200006</v>
      </c>
      <c r="I22" s="100" t="s">
        <v>2337</v>
      </c>
    </row>
    <row r="23" spans="1:9">
      <c r="A23" s="95" t="s">
        <v>602</v>
      </c>
      <c r="B23" s="96" t="s">
        <v>2333</v>
      </c>
      <c r="C23" s="96" t="s">
        <v>1241</v>
      </c>
      <c r="D23" s="96" t="s">
        <v>2455</v>
      </c>
      <c r="E23" s="96" t="s">
        <v>2456</v>
      </c>
      <c r="F23" s="96" t="s">
        <v>2457</v>
      </c>
      <c r="G23" s="88">
        <v>518599409258</v>
      </c>
      <c r="H23" s="91">
        <v>518.59940925800004</v>
      </c>
      <c r="I23" s="100" t="s">
        <v>2337</v>
      </c>
    </row>
    <row r="24" spans="1:9">
      <c r="A24" s="95" t="s">
        <v>602</v>
      </c>
      <c r="B24" s="96" t="s">
        <v>2333</v>
      </c>
      <c r="C24" s="96" t="s">
        <v>1241</v>
      </c>
      <c r="D24" s="96" t="s">
        <v>2458</v>
      </c>
      <c r="E24" s="96" t="s">
        <v>2459</v>
      </c>
      <c r="F24" s="96" t="s">
        <v>2460</v>
      </c>
      <c r="G24" s="88">
        <v>314874106182</v>
      </c>
      <c r="H24" s="91">
        <v>314.87410618199999</v>
      </c>
      <c r="I24" s="100" t="s">
        <v>2337</v>
      </c>
    </row>
    <row r="25" spans="1:9">
      <c r="A25" s="95" t="s">
        <v>602</v>
      </c>
      <c r="B25" s="96" t="s">
        <v>2333</v>
      </c>
      <c r="C25" s="96" t="s">
        <v>1241</v>
      </c>
      <c r="D25" s="96" t="s">
        <v>2461</v>
      </c>
      <c r="E25" s="96" t="s">
        <v>2462</v>
      </c>
      <c r="F25" s="96" t="s">
        <v>2463</v>
      </c>
      <c r="G25" s="88">
        <v>44293494912</v>
      </c>
      <c r="H25" s="91">
        <v>44.293494912</v>
      </c>
      <c r="I25" s="100" t="s">
        <v>2337</v>
      </c>
    </row>
    <row r="26" spans="1:9">
      <c r="A26" s="95" t="s">
        <v>602</v>
      </c>
      <c r="B26" s="96" t="s">
        <v>2333</v>
      </c>
      <c r="C26" s="96" t="s">
        <v>1241</v>
      </c>
      <c r="D26" s="96" t="s">
        <v>2059</v>
      </c>
      <c r="E26" s="96" t="s">
        <v>2453</v>
      </c>
      <c r="F26" s="96" t="s">
        <v>2454</v>
      </c>
      <c r="G26" s="88">
        <v>0</v>
      </c>
      <c r="H26" s="91">
        <v>0</v>
      </c>
      <c r="I26" s="100" t="s">
        <v>2337</v>
      </c>
    </row>
    <row r="27" spans="1:9">
      <c r="A27" s="95" t="s">
        <v>602</v>
      </c>
      <c r="B27" s="96" t="s">
        <v>2333</v>
      </c>
      <c r="C27" s="96" t="s">
        <v>1241</v>
      </c>
      <c r="D27" s="96" t="s">
        <v>1753</v>
      </c>
      <c r="E27" s="96" t="s">
        <v>2464</v>
      </c>
      <c r="F27" s="96" t="s">
        <v>2465</v>
      </c>
      <c r="G27" s="88">
        <v>6743968829068</v>
      </c>
      <c r="H27" s="91">
        <v>6743.9688290679996</v>
      </c>
      <c r="I27" s="100" t="s">
        <v>2337</v>
      </c>
    </row>
    <row r="28" spans="1:9">
      <c r="A28" s="95" t="s">
        <v>602</v>
      </c>
      <c r="B28" s="96" t="s">
        <v>2333</v>
      </c>
      <c r="C28" s="96" t="s">
        <v>1241</v>
      </c>
      <c r="D28" s="96" t="s">
        <v>1757</v>
      </c>
      <c r="E28" s="96" t="s">
        <v>2466</v>
      </c>
      <c r="F28" s="96" t="s">
        <v>2467</v>
      </c>
      <c r="G28" s="88">
        <v>403823784845</v>
      </c>
      <c r="H28" s="91">
        <v>403.82378484499998</v>
      </c>
      <c r="I28" s="100" t="s">
        <v>2337</v>
      </c>
    </row>
    <row r="29" spans="1:9">
      <c r="A29" s="95" t="s">
        <v>602</v>
      </c>
      <c r="B29" s="96" t="s">
        <v>2333</v>
      </c>
      <c r="C29" s="96" t="s">
        <v>1241</v>
      </c>
      <c r="D29" s="96" t="s">
        <v>2468</v>
      </c>
      <c r="E29" s="96" t="s">
        <v>2469</v>
      </c>
      <c r="F29" s="96" t="s">
        <v>2470</v>
      </c>
      <c r="G29" s="88">
        <v>0</v>
      </c>
      <c r="H29" s="91">
        <v>0</v>
      </c>
      <c r="I29" s="100" t="s">
        <v>2337</v>
      </c>
    </row>
    <row r="30" spans="1:9">
      <c r="A30" s="95" t="s">
        <v>602</v>
      </c>
      <c r="B30" s="96" t="s">
        <v>2333</v>
      </c>
      <c r="C30" s="96" t="s">
        <v>1241</v>
      </c>
      <c r="D30" s="96" t="s">
        <v>2471</v>
      </c>
      <c r="E30" s="96" t="s">
        <v>2472</v>
      </c>
      <c r="F30" s="96" t="s">
        <v>2473</v>
      </c>
      <c r="G30" s="88">
        <v>0</v>
      </c>
      <c r="H30" s="91">
        <v>0</v>
      </c>
      <c r="I30" s="100" t="s">
        <v>2337</v>
      </c>
    </row>
    <row r="31" spans="1:9">
      <c r="A31" s="95" t="s">
        <v>602</v>
      </c>
      <c r="B31" s="96" t="s">
        <v>2333</v>
      </c>
      <c r="C31" s="96" t="s">
        <v>1241</v>
      </c>
      <c r="D31" s="96" t="s">
        <v>1767</v>
      </c>
      <c r="E31" s="96" t="s">
        <v>2474</v>
      </c>
      <c r="F31" s="96" t="s">
        <v>2475</v>
      </c>
      <c r="G31" s="88">
        <v>403823784845</v>
      </c>
      <c r="H31" s="91">
        <v>403.82378484499998</v>
      </c>
      <c r="I31" s="100" t="s">
        <v>2337</v>
      </c>
    </row>
    <row r="32" spans="1:9">
      <c r="A32" s="95" t="s">
        <v>602</v>
      </c>
      <c r="B32" s="96" t="s">
        <v>2333</v>
      </c>
      <c r="C32" s="96" t="s">
        <v>1241</v>
      </c>
      <c r="D32" s="96" t="s">
        <v>2476</v>
      </c>
      <c r="E32" s="96" t="s">
        <v>2477</v>
      </c>
      <c r="F32" s="96" t="s">
        <v>2478</v>
      </c>
      <c r="G32" s="88">
        <v>0</v>
      </c>
      <c r="H32" s="91">
        <v>0</v>
      </c>
      <c r="I32" s="100" t="s">
        <v>2337</v>
      </c>
    </row>
    <row r="33" spans="1:9">
      <c r="A33" s="95" t="s">
        <v>602</v>
      </c>
      <c r="B33" s="96" t="s">
        <v>2333</v>
      </c>
      <c r="C33" s="96" t="s">
        <v>1241</v>
      </c>
      <c r="D33" s="96" t="s">
        <v>70</v>
      </c>
      <c r="E33" s="96" t="s">
        <v>2061</v>
      </c>
      <c r="F33" s="96" t="s">
        <v>2479</v>
      </c>
      <c r="G33" s="88">
        <v>2598189217583</v>
      </c>
      <c r="H33" s="91">
        <v>2598.1892175829998</v>
      </c>
      <c r="I33" s="100" t="s">
        <v>2337</v>
      </c>
    </row>
    <row r="34" spans="1:9">
      <c r="A34" s="95" t="s">
        <v>602</v>
      </c>
      <c r="B34" s="96" t="s">
        <v>2333</v>
      </c>
      <c r="C34" s="96" t="s">
        <v>1241</v>
      </c>
      <c r="D34" s="96" t="s">
        <v>1771</v>
      </c>
      <c r="E34" s="96" t="s">
        <v>2480</v>
      </c>
      <c r="F34" s="96" t="s">
        <v>2481</v>
      </c>
      <c r="G34" s="88">
        <v>2540074321107</v>
      </c>
      <c r="H34" s="91">
        <v>2540.0743211069998</v>
      </c>
      <c r="I34" s="100" t="s">
        <v>2337</v>
      </c>
    </row>
    <row r="35" spans="1:9">
      <c r="A35" s="95" t="s">
        <v>602</v>
      </c>
      <c r="B35" s="96" t="s">
        <v>2333</v>
      </c>
      <c r="C35" s="96" t="s">
        <v>1241</v>
      </c>
      <c r="D35" s="96" t="s">
        <v>1773</v>
      </c>
      <c r="E35" s="96" t="s">
        <v>2482</v>
      </c>
      <c r="F35" s="96" t="s">
        <v>2483</v>
      </c>
      <c r="G35" s="88">
        <v>19478200234864</v>
      </c>
      <c r="H35" s="91">
        <v>19478.200234864002</v>
      </c>
      <c r="I35" s="100" t="s">
        <v>2337</v>
      </c>
    </row>
    <row r="36" spans="1:9">
      <c r="A36" s="95" t="s">
        <v>602</v>
      </c>
      <c r="B36" s="96" t="s">
        <v>2333</v>
      </c>
      <c r="C36" s="96" t="s">
        <v>1241</v>
      </c>
      <c r="D36" s="96" t="s">
        <v>1775</v>
      </c>
      <c r="E36" s="96" t="s">
        <v>2484</v>
      </c>
      <c r="F36" s="96" t="s">
        <v>2485</v>
      </c>
      <c r="G36" s="88">
        <v>-16938125913757</v>
      </c>
      <c r="H36" s="91">
        <v>-16938.125913757001</v>
      </c>
      <c r="I36" s="100" t="s">
        <v>2337</v>
      </c>
    </row>
    <row r="37" spans="1:9">
      <c r="A37" s="95" t="s">
        <v>602</v>
      </c>
      <c r="B37" s="96" t="s">
        <v>2333</v>
      </c>
      <c r="C37" s="96" t="s">
        <v>1241</v>
      </c>
      <c r="D37" s="96" t="s">
        <v>2486</v>
      </c>
      <c r="E37" s="96" t="s">
        <v>2487</v>
      </c>
      <c r="F37" s="96" t="s">
        <v>2488</v>
      </c>
      <c r="G37" s="88">
        <v>0</v>
      </c>
      <c r="H37" s="91">
        <v>0</v>
      </c>
      <c r="I37" s="100" t="s">
        <v>2337</v>
      </c>
    </row>
    <row r="38" spans="1:9">
      <c r="A38" s="95" t="s">
        <v>602</v>
      </c>
      <c r="B38" s="96" t="s">
        <v>2333</v>
      </c>
      <c r="C38" s="96" t="s">
        <v>1241</v>
      </c>
      <c r="D38" s="96" t="s">
        <v>1773</v>
      </c>
      <c r="E38" s="96" t="s">
        <v>2482</v>
      </c>
      <c r="F38" s="96" t="s">
        <v>2489</v>
      </c>
      <c r="G38" s="88">
        <v>0</v>
      </c>
      <c r="H38" s="91">
        <v>0</v>
      </c>
      <c r="I38" s="100" t="s">
        <v>2337</v>
      </c>
    </row>
    <row r="39" spans="1:9">
      <c r="A39" s="95" t="s">
        <v>602</v>
      </c>
      <c r="B39" s="96" t="s">
        <v>2333</v>
      </c>
      <c r="C39" s="96" t="s">
        <v>1241</v>
      </c>
      <c r="D39" s="96" t="s">
        <v>1775</v>
      </c>
      <c r="E39" s="96" t="s">
        <v>2484</v>
      </c>
      <c r="F39" s="96" t="s">
        <v>2490</v>
      </c>
      <c r="G39" s="88">
        <v>0</v>
      </c>
      <c r="H39" s="91">
        <v>0</v>
      </c>
      <c r="I39" s="100" t="s">
        <v>2337</v>
      </c>
    </row>
    <row r="40" spans="1:9">
      <c r="A40" s="95" t="s">
        <v>602</v>
      </c>
      <c r="B40" s="96" t="s">
        <v>2333</v>
      </c>
      <c r="C40" s="96" t="s">
        <v>1241</v>
      </c>
      <c r="D40" s="96" t="s">
        <v>1781</v>
      </c>
      <c r="E40" s="96" t="s">
        <v>2491</v>
      </c>
      <c r="F40" s="96" t="s">
        <v>2492</v>
      </c>
      <c r="G40" s="88">
        <v>58114896476</v>
      </c>
      <c r="H40" s="91">
        <v>58.114896475999998</v>
      </c>
      <c r="I40" s="100" t="s">
        <v>2337</v>
      </c>
    </row>
    <row r="41" spans="1:9">
      <c r="A41" s="95" t="s">
        <v>602</v>
      </c>
      <c r="B41" s="96" t="s">
        <v>2333</v>
      </c>
      <c r="C41" s="96" t="s">
        <v>1241</v>
      </c>
      <c r="D41" s="96" t="s">
        <v>1773</v>
      </c>
      <c r="E41" s="96" t="s">
        <v>2482</v>
      </c>
      <c r="F41" s="96" t="s">
        <v>2493</v>
      </c>
      <c r="G41" s="88">
        <v>90297772827</v>
      </c>
      <c r="H41" s="91">
        <v>90.297772827000003</v>
      </c>
      <c r="I41" s="100" t="s">
        <v>2337</v>
      </c>
    </row>
    <row r="42" spans="1:9">
      <c r="A42" s="95" t="s">
        <v>602</v>
      </c>
      <c r="B42" s="96" t="s">
        <v>2333</v>
      </c>
      <c r="C42" s="96" t="s">
        <v>1241</v>
      </c>
      <c r="D42" s="96" t="s">
        <v>1775</v>
      </c>
      <c r="E42" s="96" t="s">
        <v>2484</v>
      </c>
      <c r="F42" s="96" t="s">
        <v>2494</v>
      </c>
      <c r="G42" s="88">
        <v>-32182876351</v>
      </c>
      <c r="H42" s="91">
        <v>-32.182876350999997</v>
      </c>
      <c r="I42" s="100" t="s">
        <v>2337</v>
      </c>
    </row>
    <row r="43" spans="1:9">
      <c r="A43" s="95" t="s">
        <v>602</v>
      </c>
      <c r="B43" s="96" t="s">
        <v>2333</v>
      </c>
      <c r="C43" s="96" t="s">
        <v>1241</v>
      </c>
      <c r="D43" s="96" t="s">
        <v>2495</v>
      </c>
      <c r="E43" s="96" t="s">
        <v>2496</v>
      </c>
      <c r="F43" s="96" t="s">
        <v>2497</v>
      </c>
      <c r="G43" s="88">
        <v>0</v>
      </c>
      <c r="H43" s="91">
        <v>0</v>
      </c>
      <c r="I43" s="100" t="s">
        <v>2337</v>
      </c>
    </row>
    <row r="44" spans="1:9">
      <c r="A44" s="95" t="s">
        <v>602</v>
      </c>
      <c r="B44" s="96" t="s">
        <v>2333</v>
      </c>
      <c r="C44" s="96" t="s">
        <v>1241</v>
      </c>
      <c r="D44" s="96" t="s">
        <v>1802</v>
      </c>
      <c r="E44" s="96" t="s">
        <v>2498</v>
      </c>
      <c r="F44" s="96" t="s">
        <v>2499</v>
      </c>
      <c r="G44" s="88">
        <v>0</v>
      </c>
      <c r="H44" s="91">
        <v>0</v>
      </c>
      <c r="I44" s="100" t="s">
        <v>2337</v>
      </c>
    </row>
    <row r="45" spans="1:9">
      <c r="A45" s="95" t="s">
        <v>602</v>
      </c>
      <c r="B45" s="96" t="s">
        <v>2333</v>
      </c>
      <c r="C45" s="96" t="s">
        <v>1241</v>
      </c>
      <c r="D45" s="96" t="s">
        <v>1773</v>
      </c>
      <c r="E45" s="96" t="s">
        <v>2482</v>
      </c>
      <c r="F45" s="96" t="s">
        <v>2500</v>
      </c>
      <c r="G45" s="88">
        <v>0</v>
      </c>
      <c r="H45" s="91">
        <v>0</v>
      </c>
      <c r="I45" s="100" t="s">
        <v>2337</v>
      </c>
    </row>
    <row r="46" spans="1:9">
      <c r="A46" s="95" t="s">
        <v>602</v>
      </c>
      <c r="B46" s="96" t="s">
        <v>2333</v>
      </c>
      <c r="C46" s="96" t="s">
        <v>1241</v>
      </c>
      <c r="D46" s="96" t="s">
        <v>1775</v>
      </c>
      <c r="E46" s="96" t="s">
        <v>2484</v>
      </c>
      <c r="F46" s="96" t="s">
        <v>2501</v>
      </c>
      <c r="G46" s="88">
        <v>0</v>
      </c>
      <c r="H46" s="91">
        <v>0</v>
      </c>
      <c r="I46" s="100" t="s">
        <v>2337</v>
      </c>
    </row>
    <row r="47" spans="1:9">
      <c r="A47" s="95" t="s">
        <v>602</v>
      </c>
      <c r="B47" s="96" t="s">
        <v>2333</v>
      </c>
      <c r="C47" s="96" t="s">
        <v>1241</v>
      </c>
      <c r="D47" s="96" t="s">
        <v>2063</v>
      </c>
      <c r="E47" s="96" t="s">
        <v>2502</v>
      </c>
      <c r="F47" s="96" t="s">
        <v>2503</v>
      </c>
      <c r="G47" s="88">
        <v>3136315564517</v>
      </c>
      <c r="H47" s="91">
        <v>3136.315564517</v>
      </c>
      <c r="I47" s="100" t="s">
        <v>2337</v>
      </c>
    </row>
    <row r="48" spans="1:9">
      <c r="A48" s="95" t="s">
        <v>602</v>
      </c>
      <c r="B48" s="96" t="s">
        <v>2333</v>
      </c>
      <c r="C48" s="96" t="s">
        <v>1241</v>
      </c>
      <c r="D48" s="96" t="s">
        <v>1812</v>
      </c>
      <c r="E48" s="96" t="s">
        <v>2504</v>
      </c>
      <c r="F48" s="96" t="s">
        <v>2505</v>
      </c>
      <c r="G48" s="88">
        <v>0</v>
      </c>
      <c r="H48" s="91">
        <v>0</v>
      </c>
      <c r="I48" s="100" t="s">
        <v>2337</v>
      </c>
    </row>
    <row r="49" spans="1:9">
      <c r="A49" s="95" t="s">
        <v>602</v>
      </c>
      <c r="B49" s="96" t="s">
        <v>2333</v>
      </c>
      <c r="C49" s="96" t="s">
        <v>1241</v>
      </c>
      <c r="D49" s="96" t="s">
        <v>2506</v>
      </c>
      <c r="E49" s="96" t="s">
        <v>2507</v>
      </c>
      <c r="F49" s="96" t="s">
        <v>2508</v>
      </c>
      <c r="G49" s="88">
        <v>371159064517</v>
      </c>
      <c r="H49" s="91">
        <v>371.15906451699999</v>
      </c>
      <c r="I49" s="100" t="s">
        <v>2337</v>
      </c>
    </row>
    <row r="50" spans="1:9">
      <c r="A50" s="95" t="s">
        <v>602</v>
      </c>
      <c r="B50" s="96" t="s">
        <v>2333</v>
      </c>
      <c r="C50" s="96" t="s">
        <v>1241</v>
      </c>
      <c r="D50" s="96" t="s">
        <v>1824</v>
      </c>
      <c r="E50" s="96" t="s">
        <v>2509</v>
      </c>
      <c r="F50" s="96" t="s">
        <v>2510</v>
      </c>
      <c r="G50" s="88">
        <v>0</v>
      </c>
      <c r="H50" s="91">
        <v>0</v>
      </c>
      <c r="I50" s="100" t="s">
        <v>2337</v>
      </c>
    </row>
    <row r="51" spans="1:9">
      <c r="A51" s="95" t="s">
        <v>602</v>
      </c>
      <c r="B51" s="96" t="s">
        <v>2333</v>
      </c>
      <c r="C51" s="96" t="s">
        <v>1241</v>
      </c>
      <c r="D51" s="96" t="s">
        <v>2511</v>
      </c>
      <c r="E51" s="96" t="s">
        <v>2512</v>
      </c>
      <c r="F51" s="96" t="s">
        <v>2513</v>
      </c>
      <c r="G51" s="88">
        <v>0</v>
      </c>
      <c r="H51" s="91">
        <v>0</v>
      </c>
      <c r="I51" s="100" t="s">
        <v>2337</v>
      </c>
    </row>
    <row r="52" spans="1:9">
      <c r="A52" s="95" t="s">
        <v>602</v>
      </c>
      <c r="B52" s="96" t="s">
        <v>2333</v>
      </c>
      <c r="C52" s="96" t="s">
        <v>1241</v>
      </c>
      <c r="D52" s="96" t="s">
        <v>1836</v>
      </c>
      <c r="E52" s="96" t="s">
        <v>2514</v>
      </c>
      <c r="F52" s="96" t="s">
        <v>2515</v>
      </c>
      <c r="G52" s="88">
        <v>0</v>
      </c>
      <c r="H52" s="91">
        <v>0</v>
      </c>
      <c r="I52" s="100" t="s">
        <v>2337</v>
      </c>
    </row>
    <row r="53" spans="1:9">
      <c r="A53" s="95" t="s">
        <v>602</v>
      </c>
      <c r="B53" s="96" t="s">
        <v>2333</v>
      </c>
      <c r="C53" s="96" t="s">
        <v>1241</v>
      </c>
      <c r="D53" s="96" t="s">
        <v>74</v>
      </c>
      <c r="E53" s="96" t="s">
        <v>2064</v>
      </c>
      <c r="F53" s="96" t="s">
        <v>2516</v>
      </c>
      <c r="G53" s="88">
        <v>514740794251</v>
      </c>
      <c r="H53" s="91">
        <v>514.74079425100001</v>
      </c>
      <c r="I53" s="100" t="s">
        <v>2337</v>
      </c>
    </row>
    <row r="54" spans="1:9">
      <c r="A54" s="95" t="s">
        <v>602</v>
      </c>
      <c r="B54" s="96" t="s">
        <v>2333</v>
      </c>
      <c r="C54" s="96" t="s">
        <v>1241</v>
      </c>
      <c r="D54" s="96" t="s">
        <v>2517</v>
      </c>
      <c r="E54" s="96" t="s">
        <v>2518</v>
      </c>
      <c r="F54" s="96" t="s">
        <v>2519</v>
      </c>
      <c r="G54" s="88">
        <v>63643388286</v>
      </c>
      <c r="H54" s="91">
        <v>63.643388285999997</v>
      </c>
      <c r="I54" s="100" t="s">
        <v>2337</v>
      </c>
    </row>
    <row r="55" spans="1:9">
      <c r="A55" s="95" t="s">
        <v>602</v>
      </c>
      <c r="B55" s="96" t="s">
        <v>2333</v>
      </c>
      <c r="C55" s="96" t="s">
        <v>1241</v>
      </c>
      <c r="D55" s="96" t="s">
        <v>1828</v>
      </c>
      <c r="E55" s="96" t="s">
        <v>2520</v>
      </c>
      <c r="F55" s="96" t="s">
        <v>2521</v>
      </c>
      <c r="G55" s="88">
        <v>451097405965</v>
      </c>
      <c r="H55" s="91">
        <v>451.09740596500001</v>
      </c>
      <c r="I55" s="100" t="s">
        <v>2337</v>
      </c>
    </row>
    <row r="56" spans="1:9">
      <c r="A56" s="95" t="s">
        <v>602</v>
      </c>
      <c r="B56" s="96" t="s">
        <v>2333</v>
      </c>
      <c r="C56" s="96" t="s">
        <v>1241</v>
      </c>
      <c r="D56" s="96" t="s">
        <v>74</v>
      </c>
      <c r="E56" s="96" t="s">
        <v>2064</v>
      </c>
      <c r="F56" s="96" t="s">
        <v>2522</v>
      </c>
      <c r="G56" s="88">
        <v>0</v>
      </c>
      <c r="H56" s="91">
        <v>0</v>
      </c>
      <c r="I56" s="100" t="s">
        <v>2337</v>
      </c>
    </row>
    <row r="57" spans="1:9">
      <c r="A57" s="95" t="s">
        <v>602</v>
      </c>
      <c r="B57" s="96" t="s">
        <v>2333</v>
      </c>
      <c r="C57" s="96" t="s">
        <v>1241</v>
      </c>
      <c r="D57" s="96" t="s">
        <v>76</v>
      </c>
      <c r="E57" s="96" t="s">
        <v>75</v>
      </c>
      <c r="F57" s="96" t="s">
        <v>1643</v>
      </c>
      <c r="G57" s="88">
        <v>83945619612034</v>
      </c>
      <c r="H57" s="91">
        <v>83945.619612034003</v>
      </c>
      <c r="I57" s="100" t="s">
        <v>2337</v>
      </c>
    </row>
    <row r="58" spans="1:9">
      <c r="A58" s="95" t="s">
        <v>602</v>
      </c>
      <c r="B58" s="96" t="s">
        <v>2333</v>
      </c>
      <c r="C58" s="96" t="s">
        <v>1241</v>
      </c>
      <c r="D58" s="96" t="s">
        <v>2523</v>
      </c>
      <c r="E58" s="96" t="s">
        <v>487</v>
      </c>
      <c r="F58" s="96" t="s">
        <v>2524</v>
      </c>
      <c r="G58" s="88">
        <v>50769502237457</v>
      </c>
      <c r="H58" s="91">
        <v>50769.502237457004</v>
      </c>
      <c r="I58" s="100" t="s">
        <v>2337</v>
      </c>
    </row>
    <row r="59" spans="1:9">
      <c r="A59" s="95" t="s">
        <v>602</v>
      </c>
      <c r="B59" s="96" t="s">
        <v>2333</v>
      </c>
      <c r="C59" s="96" t="s">
        <v>1241</v>
      </c>
      <c r="D59" s="96" t="s">
        <v>82</v>
      </c>
      <c r="E59" s="96" t="s">
        <v>2070</v>
      </c>
      <c r="F59" s="96" t="s">
        <v>2525</v>
      </c>
      <c r="G59" s="88">
        <v>50769502237457</v>
      </c>
      <c r="H59" s="91">
        <v>50769.502237457004</v>
      </c>
      <c r="I59" s="100" t="s">
        <v>2337</v>
      </c>
    </row>
    <row r="60" spans="1:9">
      <c r="A60" s="95" t="s">
        <v>602</v>
      </c>
      <c r="B60" s="96" t="s">
        <v>2333</v>
      </c>
      <c r="C60" s="96" t="s">
        <v>1241</v>
      </c>
      <c r="D60" s="96" t="s">
        <v>2526</v>
      </c>
      <c r="E60" s="96" t="s">
        <v>2527</v>
      </c>
      <c r="F60" s="96" t="s">
        <v>2528</v>
      </c>
      <c r="G60" s="88">
        <v>29930942961668</v>
      </c>
      <c r="H60" s="91">
        <v>29930.942961667999</v>
      </c>
      <c r="I60" s="100" t="s">
        <v>2337</v>
      </c>
    </row>
    <row r="61" spans="1:9">
      <c r="A61" s="95" t="s">
        <v>602</v>
      </c>
      <c r="B61" s="96" t="s">
        <v>2333</v>
      </c>
      <c r="C61" s="96" t="s">
        <v>1241</v>
      </c>
      <c r="D61" s="96" t="s">
        <v>2529</v>
      </c>
      <c r="E61" s="96" t="s">
        <v>2530</v>
      </c>
      <c r="F61" s="96" t="s">
        <v>2531</v>
      </c>
      <c r="G61" s="88">
        <v>13113899672272</v>
      </c>
      <c r="H61" s="91">
        <v>13113.899672272</v>
      </c>
      <c r="I61" s="100" t="s">
        <v>2337</v>
      </c>
    </row>
    <row r="62" spans="1:9">
      <c r="A62" s="95" t="s">
        <v>602</v>
      </c>
      <c r="B62" s="96" t="s">
        <v>2333</v>
      </c>
      <c r="C62" s="96" t="s">
        <v>1241</v>
      </c>
      <c r="D62" s="96" t="s">
        <v>2532</v>
      </c>
      <c r="E62" s="96" t="s">
        <v>2533</v>
      </c>
      <c r="F62" s="96" t="s">
        <v>2534</v>
      </c>
      <c r="G62" s="88">
        <v>210360719303</v>
      </c>
      <c r="H62" s="91">
        <v>210.360719303</v>
      </c>
      <c r="I62" s="100" t="s">
        <v>2337</v>
      </c>
    </row>
    <row r="63" spans="1:9">
      <c r="A63" s="95" t="s">
        <v>602</v>
      </c>
      <c r="B63" s="96" t="s">
        <v>2333</v>
      </c>
      <c r="C63" s="96" t="s">
        <v>1241</v>
      </c>
      <c r="D63" s="96" t="s">
        <v>2535</v>
      </c>
      <c r="E63" s="96" t="s">
        <v>2536</v>
      </c>
      <c r="F63" s="96" t="s">
        <v>2537</v>
      </c>
      <c r="G63" s="88">
        <v>899553978698</v>
      </c>
      <c r="H63" s="91">
        <v>899.55397869800004</v>
      </c>
      <c r="I63" s="100" t="s">
        <v>2337</v>
      </c>
    </row>
    <row r="64" spans="1:9">
      <c r="A64" s="95" t="s">
        <v>602</v>
      </c>
      <c r="B64" s="96" t="s">
        <v>2333</v>
      </c>
      <c r="C64" s="96" t="s">
        <v>1241</v>
      </c>
      <c r="D64" s="96" t="s">
        <v>1846</v>
      </c>
      <c r="E64" s="96" t="s">
        <v>2538</v>
      </c>
      <c r="F64" s="96" t="s">
        <v>2539</v>
      </c>
      <c r="G64" s="88">
        <v>342221054994</v>
      </c>
      <c r="H64" s="91">
        <v>342.22105499399999</v>
      </c>
      <c r="I64" s="100" t="s">
        <v>2337</v>
      </c>
    </row>
    <row r="65" spans="1:9">
      <c r="A65" s="95" t="s">
        <v>602</v>
      </c>
      <c r="B65" s="96" t="s">
        <v>2333</v>
      </c>
      <c r="C65" s="96" t="s">
        <v>1241</v>
      </c>
      <c r="D65" s="96" t="s">
        <v>2540</v>
      </c>
      <c r="E65" s="96" t="s">
        <v>2541</v>
      </c>
      <c r="F65" s="96" t="s">
        <v>2542</v>
      </c>
      <c r="G65" s="88">
        <v>4474359546479</v>
      </c>
      <c r="H65" s="91">
        <v>4474.3595464789996</v>
      </c>
      <c r="I65" s="100" t="s">
        <v>2337</v>
      </c>
    </row>
    <row r="66" spans="1:9">
      <c r="A66" s="95" t="s">
        <v>602</v>
      </c>
      <c r="B66" s="96" t="s">
        <v>2333</v>
      </c>
      <c r="C66" s="96" t="s">
        <v>1241</v>
      </c>
      <c r="D66" s="96" t="s">
        <v>2543</v>
      </c>
      <c r="E66" s="96" t="s">
        <v>2544</v>
      </c>
      <c r="F66" s="96" t="s">
        <v>2545</v>
      </c>
      <c r="G66" s="88">
        <v>0</v>
      </c>
      <c r="H66" s="91">
        <v>0</v>
      </c>
      <c r="I66" s="100" t="s">
        <v>2337</v>
      </c>
    </row>
    <row r="67" spans="1:9">
      <c r="A67" s="95" t="s">
        <v>602</v>
      </c>
      <c r="B67" s="96" t="s">
        <v>2333</v>
      </c>
      <c r="C67" s="96" t="s">
        <v>1241</v>
      </c>
      <c r="D67" s="96" t="s">
        <v>2546</v>
      </c>
      <c r="E67" s="96" t="s">
        <v>2547</v>
      </c>
      <c r="F67" s="96" t="s">
        <v>2548</v>
      </c>
      <c r="G67" s="88">
        <v>0</v>
      </c>
      <c r="H67" s="91">
        <v>0</v>
      </c>
      <c r="I67" s="100" t="s">
        <v>2337</v>
      </c>
    </row>
    <row r="68" spans="1:9">
      <c r="A68" s="95" t="s">
        <v>602</v>
      </c>
      <c r="B68" s="96" t="s">
        <v>2333</v>
      </c>
      <c r="C68" s="96" t="s">
        <v>1241</v>
      </c>
      <c r="D68" s="96" t="s">
        <v>2549</v>
      </c>
      <c r="E68" s="96" t="s">
        <v>2550</v>
      </c>
      <c r="F68" s="96" t="s">
        <v>2551</v>
      </c>
      <c r="G68" s="88">
        <v>1171729524469</v>
      </c>
      <c r="H68" s="91">
        <v>1171.7295244689999</v>
      </c>
      <c r="I68" s="100" t="s">
        <v>2337</v>
      </c>
    </row>
    <row r="69" spans="1:9">
      <c r="A69" s="95" t="s">
        <v>602</v>
      </c>
      <c r="B69" s="96" t="s">
        <v>2333</v>
      </c>
      <c r="C69" s="96" t="s">
        <v>1241</v>
      </c>
      <c r="D69" s="96" t="s">
        <v>2552</v>
      </c>
      <c r="E69" s="96" t="s">
        <v>2553</v>
      </c>
      <c r="F69" s="96" t="s">
        <v>2554</v>
      </c>
      <c r="G69" s="88">
        <v>89498061130</v>
      </c>
      <c r="H69" s="91">
        <v>89.498061129999996</v>
      </c>
      <c r="I69" s="100" t="s">
        <v>2337</v>
      </c>
    </row>
    <row r="70" spans="1:9">
      <c r="A70" s="95" t="s">
        <v>602</v>
      </c>
      <c r="B70" s="96" t="s">
        <v>2333</v>
      </c>
      <c r="C70" s="96" t="s">
        <v>1241</v>
      </c>
      <c r="D70" s="96" t="s">
        <v>2555</v>
      </c>
      <c r="E70" s="96" t="s">
        <v>2556</v>
      </c>
      <c r="F70" s="96" t="s">
        <v>2557</v>
      </c>
      <c r="G70" s="88">
        <v>0</v>
      </c>
      <c r="H70" s="91">
        <v>0</v>
      </c>
      <c r="I70" s="100" t="s">
        <v>2337</v>
      </c>
    </row>
    <row r="71" spans="1:9">
      <c r="A71" s="95" t="s">
        <v>602</v>
      </c>
      <c r="B71" s="96" t="s">
        <v>2333</v>
      </c>
      <c r="C71" s="96" t="s">
        <v>1241</v>
      </c>
      <c r="D71" s="96" t="s">
        <v>86</v>
      </c>
      <c r="E71" s="96" t="s">
        <v>2073</v>
      </c>
      <c r="F71" s="96" t="s">
        <v>2558</v>
      </c>
      <c r="G71" s="88">
        <v>0</v>
      </c>
      <c r="H71" s="91">
        <v>0</v>
      </c>
      <c r="I71" s="100" t="s">
        <v>2337</v>
      </c>
    </row>
    <row r="72" spans="1:9">
      <c r="A72" s="95" t="s">
        <v>602</v>
      </c>
      <c r="B72" s="96" t="s">
        <v>2333</v>
      </c>
      <c r="C72" s="96" t="s">
        <v>1241</v>
      </c>
      <c r="D72" s="96" t="s">
        <v>1866</v>
      </c>
      <c r="E72" s="96" t="s">
        <v>2559</v>
      </c>
      <c r="F72" s="96" t="s">
        <v>2560</v>
      </c>
      <c r="G72" s="88">
        <v>0</v>
      </c>
      <c r="H72" s="91">
        <v>0</v>
      </c>
      <c r="I72" s="100" t="s">
        <v>2337</v>
      </c>
    </row>
    <row r="73" spans="1:9">
      <c r="A73" s="95" t="s">
        <v>602</v>
      </c>
      <c r="B73" s="96" t="s">
        <v>2333</v>
      </c>
      <c r="C73" s="96" t="s">
        <v>1241</v>
      </c>
      <c r="D73" s="96" t="s">
        <v>2561</v>
      </c>
      <c r="E73" s="96" t="s">
        <v>2562</v>
      </c>
      <c r="F73" s="96" t="s">
        <v>2563</v>
      </c>
      <c r="G73" s="88">
        <v>0</v>
      </c>
      <c r="H73" s="91">
        <v>0</v>
      </c>
      <c r="I73" s="100" t="s">
        <v>2337</v>
      </c>
    </row>
    <row r="74" spans="1:9">
      <c r="A74" s="95" t="s">
        <v>602</v>
      </c>
      <c r="B74" s="96" t="s">
        <v>2333</v>
      </c>
      <c r="C74" s="96" t="s">
        <v>1241</v>
      </c>
      <c r="D74" s="96" t="s">
        <v>2564</v>
      </c>
      <c r="E74" s="96" t="s">
        <v>2565</v>
      </c>
      <c r="F74" s="96" t="s">
        <v>2566</v>
      </c>
      <c r="G74" s="88">
        <v>0</v>
      </c>
      <c r="H74" s="91">
        <v>0</v>
      </c>
      <c r="I74" s="100" t="s">
        <v>2337</v>
      </c>
    </row>
    <row r="75" spans="1:9">
      <c r="A75" s="95" t="s">
        <v>602</v>
      </c>
      <c r="B75" s="96" t="s">
        <v>2333</v>
      </c>
      <c r="C75" s="96" t="s">
        <v>1241</v>
      </c>
      <c r="D75" s="96" t="s">
        <v>2567</v>
      </c>
      <c r="E75" s="96" t="s">
        <v>2568</v>
      </c>
      <c r="F75" s="96" t="s">
        <v>2569</v>
      </c>
      <c r="G75" s="88">
        <v>0</v>
      </c>
      <c r="H75" s="91">
        <v>0</v>
      </c>
      <c r="I75" s="100" t="s">
        <v>2337</v>
      </c>
    </row>
    <row r="76" spans="1:9">
      <c r="A76" s="95" t="s">
        <v>602</v>
      </c>
      <c r="B76" s="96" t="s">
        <v>2333</v>
      </c>
      <c r="C76" s="96" t="s">
        <v>1241</v>
      </c>
      <c r="D76" s="96" t="s">
        <v>1886</v>
      </c>
      <c r="E76" s="96" t="s">
        <v>2570</v>
      </c>
      <c r="F76" s="96" t="s">
        <v>2521</v>
      </c>
      <c r="G76" s="88">
        <v>0</v>
      </c>
      <c r="H76" s="91">
        <v>0</v>
      </c>
      <c r="I76" s="100" t="s">
        <v>2337</v>
      </c>
    </row>
    <row r="77" spans="1:9">
      <c r="A77" s="95" t="s">
        <v>602</v>
      </c>
      <c r="B77" s="96" t="s">
        <v>2333</v>
      </c>
      <c r="C77" s="96" t="s">
        <v>1241</v>
      </c>
      <c r="D77" s="96" t="s">
        <v>1892</v>
      </c>
      <c r="E77" s="96" t="s">
        <v>2571</v>
      </c>
      <c r="F77" s="96" t="s">
        <v>2572</v>
      </c>
      <c r="G77" s="88">
        <v>0</v>
      </c>
      <c r="H77" s="91">
        <v>0</v>
      </c>
      <c r="I77" s="100" t="s">
        <v>2337</v>
      </c>
    </row>
    <row r="78" spans="1:9">
      <c r="A78" s="95" t="s">
        <v>602</v>
      </c>
      <c r="B78" s="96" t="s">
        <v>2333</v>
      </c>
      <c r="C78" s="96" t="s">
        <v>1241</v>
      </c>
      <c r="D78" s="96" t="s">
        <v>1888</v>
      </c>
      <c r="E78" s="96" t="s">
        <v>2573</v>
      </c>
      <c r="F78" s="96" t="s">
        <v>2574</v>
      </c>
      <c r="G78" s="88">
        <v>0</v>
      </c>
      <c r="H78" s="91">
        <v>0</v>
      </c>
      <c r="I78" s="100" t="s">
        <v>2337</v>
      </c>
    </row>
    <row r="79" spans="1:9">
      <c r="A79" s="95" t="s">
        <v>602</v>
      </c>
      <c r="B79" s="96" t="s">
        <v>2333</v>
      </c>
      <c r="C79" s="96" t="s">
        <v>1241</v>
      </c>
      <c r="D79" s="96" t="s">
        <v>2575</v>
      </c>
      <c r="E79" s="96" t="s">
        <v>2576</v>
      </c>
      <c r="F79" s="96" t="s">
        <v>2577</v>
      </c>
      <c r="G79" s="88">
        <v>0</v>
      </c>
      <c r="H79" s="91">
        <v>0</v>
      </c>
      <c r="I79" s="100" t="s">
        <v>2337</v>
      </c>
    </row>
    <row r="80" spans="1:9">
      <c r="A80" s="95" t="s">
        <v>602</v>
      </c>
      <c r="B80" s="96" t="s">
        <v>2333</v>
      </c>
      <c r="C80" s="96" t="s">
        <v>1241</v>
      </c>
      <c r="D80" s="96" t="s">
        <v>2578</v>
      </c>
      <c r="E80" s="96" t="s">
        <v>2579</v>
      </c>
      <c r="F80" s="96" t="s">
        <v>2580</v>
      </c>
      <c r="G80" s="88">
        <v>0</v>
      </c>
      <c r="H80" s="91">
        <v>0</v>
      </c>
      <c r="I80" s="100" t="s">
        <v>2337</v>
      </c>
    </row>
    <row r="81" spans="1:9">
      <c r="A81" s="95" t="s">
        <v>602</v>
      </c>
      <c r="B81" s="96" t="s">
        <v>2333</v>
      </c>
      <c r="C81" s="96" t="s">
        <v>1241</v>
      </c>
      <c r="D81" s="96" t="s">
        <v>2581</v>
      </c>
      <c r="E81" s="96" t="s">
        <v>2582</v>
      </c>
      <c r="F81" s="96" t="s">
        <v>2583</v>
      </c>
      <c r="G81" s="88">
        <v>33176117374577</v>
      </c>
      <c r="H81" s="91">
        <v>33176.117374576999</v>
      </c>
      <c r="I81" s="100" t="s">
        <v>2337</v>
      </c>
    </row>
    <row r="82" spans="1:9">
      <c r="A82" s="95" t="s">
        <v>602</v>
      </c>
      <c r="B82" s="96" t="s">
        <v>2333</v>
      </c>
      <c r="C82" s="96" t="s">
        <v>1241</v>
      </c>
      <c r="D82" s="96" t="s">
        <v>2584</v>
      </c>
      <c r="E82" s="96" t="s">
        <v>2585</v>
      </c>
      <c r="F82" s="96" t="s">
        <v>2586</v>
      </c>
      <c r="G82" s="88">
        <v>33176117374577</v>
      </c>
      <c r="H82" s="91">
        <v>33176.117374576999</v>
      </c>
      <c r="I82" s="100" t="s">
        <v>2337</v>
      </c>
    </row>
    <row r="83" spans="1:9">
      <c r="A83" s="95" t="s">
        <v>602</v>
      </c>
      <c r="B83" s="96" t="s">
        <v>2333</v>
      </c>
      <c r="C83" s="96" t="s">
        <v>1241</v>
      </c>
      <c r="D83" s="96" t="s">
        <v>2587</v>
      </c>
      <c r="E83" s="96" t="s">
        <v>2588</v>
      </c>
      <c r="F83" s="96" t="s">
        <v>2589</v>
      </c>
      <c r="G83" s="88">
        <v>14696931770000</v>
      </c>
      <c r="H83" s="91">
        <v>14696.931769999999</v>
      </c>
      <c r="I83" s="100" t="s">
        <v>2337</v>
      </c>
    </row>
    <row r="84" spans="1:9">
      <c r="A84" s="95" t="s">
        <v>602</v>
      </c>
      <c r="B84" s="96" t="s">
        <v>2333</v>
      </c>
      <c r="C84" s="96" t="s">
        <v>1241</v>
      </c>
      <c r="D84" s="96" t="s">
        <v>1900</v>
      </c>
      <c r="E84" s="96" t="s">
        <v>2590</v>
      </c>
      <c r="F84" s="96" t="s">
        <v>2591</v>
      </c>
      <c r="G84" s="88">
        <v>-152995820060</v>
      </c>
      <c r="H84" s="91">
        <v>-152.99582006</v>
      </c>
      <c r="I84" s="100" t="s">
        <v>2337</v>
      </c>
    </row>
    <row r="85" spans="1:9">
      <c r="A85" s="95" t="s">
        <v>602</v>
      </c>
      <c r="B85" s="96" t="s">
        <v>2333</v>
      </c>
      <c r="C85" s="96" t="s">
        <v>1241</v>
      </c>
      <c r="D85" s="96" t="s">
        <v>2592</v>
      </c>
      <c r="E85" s="96" t="s">
        <v>2593</v>
      </c>
      <c r="F85" s="96" t="s">
        <v>2594</v>
      </c>
      <c r="G85" s="88">
        <v>0</v>
      </c>
      <c r="H85" s="91">
        <v>0</v>
      </c>
      <c r="I85" s="100" t="s">
        <v>2337</v>
      </c>
    </row>
    <row r="86" spans="1:9">
      <c r="A86" s="95" t="s">
        <v>602</v>
      </c>
      <c r="B86" s="96" t="s">
        <v>2333</v>
      </c>
      <c r="C86" s="96" t="s">
        <v>1241</v>
      </c>
      <c r="D86" s="96" t="s">
        <v>1906</v>
      </c>
      <c r="E86" s="96" t="s">
        <v>2595</v>
      </c>
      <c r="F86" s="96" t="s">
        <v>2596</v>
      </c>
      <c r="G86" s="88">
        <v>-12364140000</v>
      </c>
      <c r="H86" s="91">
        <v>-12.364140000000001</v>
      </c>
      <c r="I86" s="100" t="s">
        <v>2337</v>
      </c>
    </row>
    <row r="87" spans="1:9">
      <c r="A87" s="95" t="s">
        <v>602</v>
      </c>
      <c r="B87" s="96" t="s">
        <v>2333</v>
      </c>
      <c r="C87" s="96" t="s">
        <v>1241</v>
      </c>
      <c r="D87" s="96" t="s">
        <v>2597</v>
      </c>
      <c r="E87" s="96" t="s">
        <v>2598</v>
      </c>
      <c r="F87" s="96" t="s">
        <v>2599</v>
      </c>
      <c r="G87" s="88">
        <v>0</v>
      </c>
      <c r="H87" s="91">
        <v>0</v>
      </c>
      <c r="I87" s="100" t="s">
        <v>2337</v>
      </c>
    </row>
    <row r="88" spans="1:9">
      <c r="A88" s="95" t="s">
        <v>602</v>
      </c>
      <c r="B88" s="96" t="s">
        <v>2333</v>
      </c>
      <c r="C88" s="96" t="s">
        <v>1241</v>
      </c>
      <c r="D88" s="96" t="s">
        <v>1910</v>
      </c>
      <c r="E88" s="96" t="s">
        <v>2600</v>
      </c>
      <c r="F88" s="96" t="s">
        <v>2601</v>
      </c>
      <c r="G88" s="88">
        <v>0</v>
      </c>
      <c r="H88" s="91">
        <v>0</v>
      </c>
      <c r="I88" s="100" t="s">
        <v>2337</v>
      </c>
    </row>
    <row r="89" spans="1:9">
      <c r="A89" s="95" t="s">
        <v>602</v>
      </c>
      <c r="B89" s="96" t="s">
        <v>2333</v>
      </c>
      <c r="C89" s="96" t="s">
        <v>1241</v>
      </c>
      <c r="D89" s="96" t="s">
        <v>2602</v>
      </c>
      <c r="E89" s="96" t="s">
        <v>2603</v>
      </c>
      <c r="F89" s="96" t="s">
        <v>2604</v>
      </c>
      <c r="G89" s="88">
        <v>0</v>
      </c>
      <c r="H89" s="91">
        <v>0</v>
      </c>
      <c r="I89" s="100" t="s">
        <v>2337</v>
      </c>
    </row>
    <row r="90" spans="1:9">
      <c r="A90" s="95" t="s">
        <v>602</v>
      </c>
      <c r="B90" s="96" t="s">
        <v>2333</v>
      </c>
      <c r="C90" s="96" t="s">
        <v>1241</v>
      </c>
      <c r="D90" s="96" t="s">
        <v>2605</v>
      </c>
      <c r="E90" s="96" t="s">
        <v>2606</v>
      </c>
      <c r="F90" s="96" t="s">
        <v>2607</v>
      </c>
      <c r="G90" s="88">
        <v>0</v>
      </c>
      <c r="H90" s="91">
        <v>0</v>
      </c>
      <c r="I90" s="100" t="s">
        <v>2337</v>
      </c>
    </row>
    <row r="91" spans="1:9">
      <c r="A91" s="95" t="s">
        <v>602</v>
      </c>
      <c r="B91" s="96" t="s">
        <v>2333</v>
      </c>
      <c r="C91" s="96" t="s">
        <v>1241</v>
      </c>
      <c r="D91" s="96" t="s">
        <v>2608</v>
      </c>
      <c r="E91" s="96" t="s">
        <v>2609</v>
      </c>
      <c r="F91" s="96" t="s">
        <v>2610</v>
      </c>
      <c r="G91" s="88">
        <v>0</v>
      </c>
      <c r="H91" s="91">
        <v>0</v>
      </c>
      <c r="I91" s="100" t="s">
        <v>2337</v>
      </c>
    </row>
    <row r="92" spans="1:9">
      <c r="A92" s="95" t="s">
        <v>602</v>
      </c>
      <c r="B92" s="96" t="s">
        <v>2333</v>
      </c>
      <c r="C92" s="96" t="s">
        <v>1241</v>
      </c>
      <c r="D92" s="96" t="s">
        <v>2611</v>
      </c>
      <c r="E92" s="96" t="s">
        <v>2612</v>
      </c>
      <c r="F92" s="96" t="s">
        <v>2613</v>
      </c>
      <c r="G92" s="88">
        <v>18068194576159</v>
      </c>
      <c r="H92" s="91">
        <v>18068.194576159</v>
      </c>
      <c r="I92" s="100" t="s">
        <v>2337</v>
      </c>
    </row>
    <row r="93" spans="1:9">
      <c r="A93" s="95" t="s">
        <v>602</v>
      </c>
      <c r="B93" s="96" t="s">
        <v>2333</v>
      </c>
      <c r="C93" s="96" t="s">
        <v>1241</v>
      </c>
      <c r="D93" s="96" t="s">
        <v>2614</v>
      </c>
      <c r="E93" s="96" t="s">
        <v>2615</v>
      </c>
      <c r="F93" s="96" t="s">
        <v>2616</v>
      </c>
      <c r="G93" s="88">
        <v>0</v>
      </c>
      <c r="H93" s="91">
        <v>0</v>
      </c>
      <c r="I93" s="100" t="s">
        <v>2337</v>
      </c>
    </row>
    <row r="94" spans="1:9">
      <c r="A94" s="95" t="s">
        <v>602</v>
      </c>
      <c r="B94" s="96" t="s">
        <v>2333</v>
      </c>
      <c r="C94" s="96" t="s">
        <v>1241</v>
      </c>
      <c r="D94" s="96" t="s">
        <v>2617</v>
      </c>
      <c r="E94" s="96" t="s">
        <v>2618</v>
      </c>
      <c r="F94" s="96" t="s">
        <v>2619</v>
      </c>
      <c r="G94" s="88">
        <v>0</v>
      </c>
      <c r="H94" s="91">
        <v>0</v>
      </c>
      <c r="I94" s="100" t="s">
        <v>2337</v>
      </c>
    </row>
    <row r="95" spans="1:9">
      <c r="A95" s="95" t="s">
        <v>602</v>
      </c>
      <c r="B95" s="96" t="s">
        <v>2333</v>
      </c>
      <c r="C95" s="96" t="s">
        <v>1241</v>
      </c>
      <c r="D95" s="96" t="s">
        <v>2620</v>
      </c>
      <c r="E95" s="96" t="s">
        <v>2621</v>
      </c>
      <c r="F95" s="96" t="s">
        <v>2622</v>
      </c>
      <c r="G95" s="88">
        <v>0</v>
      </c>
      <c r="H95" s="91">
        <v>0</v>
      </c>
      <c r="I95" s="100" t="s">
        <v>2337</v>
      </c>
    </row>
    <row r="96" spans="1:9">
      <c r="A96" s="95" t="s">
        <v>602</v>
      </c>
      <c r="B96" s="96" t="s">
        <v>2333</v>
      </c>
      <c r="C96" s="96" t="s">
        <v>1241</v>
      </c>
      <c r="D96" s="96" t="s">
        <v>2617</v>
      </c>
      <c r="E96" s="96" t="s">
        <v>2618</v>
      </c>
      <c r="F96" s="96" t="s">
        <v>2623</v>
      </c>
      <c r="G96" s="88">
        <v>0</v>
      </c>
      <c r="H96" s="91">
        <v>0</v>
      </c>
      <c r="I96" s="100" t="s">
        <v>2337</v>
      </c>
    </row>
    <row r="97" spans="1:9">
      <c r="A97" s="95" t="s">
        <v>602</v>
      </c>
      <c r="B97" s="96" t="s">
        <v>2333</v>
      </c>
      <c r="C97" s="96" t="s">
        <v>1241</v>
      </c>
      <c r="D97" s="96" t="s">
        <v>2624</v>
      </c>
      <c r="E97" s="96" t="s">
        <v>2625</v>
      </c>
      <c r="F97" s="96" t="s">
        <v>1631</v>
      </c>
      <c r="G97" s="88">
        <v>0</v>
      </c>
      <c r="H97" s="91">
        <v>0</v>
      </c>
      <c r="I97" s="100" t="s">
        <v>2337</v>
      </c>
    </row>
    <row r="98" spans="1:9">
      <c r="A98" s="95" t="s">
        <v>602</v>
      </c>
      <c r="B98" s="96" t="s">
        <v>2333</v>
      </c>
      <c r="C98" s="96" t="s">
        <v>1241</v>
      </c>
      <c r="D98" s="96" t="s">
        <v>2626</v>
      </c>
      <c r="E98" s="96" t="s">
        <v>2627</v>
      </c>
      <c r="F98" s="96" t="s">
        <v>2628</v>
      </c>
      <c r="G98" s="88">
        <v>83945619612034</v>
      </c>
      <c r="H98" s="91">
        <v>83945.619612034003</v>
      </c>
      <c r="I98" s="100" t="s">
        <v>2337</v>
      </c>
    </row>
    <row r="99" spans="1:9">
      <c r="A99" s="95" t="s">
        <v>602</v>
      </c>
      <c r="B99" s="96" t="s">
        <v>2333</v>
      </c>
      <c r="C99" s="96" t="s">
        <v>1241</v>
      </c>
      <c r="D99" s="96" t="s">
        <v>2629</v>
      </c>
      <c r="E99" s="96" t="s">
        <v>2630</v>
      </c>
      <c r="F99" s="96" t="s">
        <v>2631</v>
      </c>
      <c r="G99" s="88">
        <v>0</v>
      </c>
      <c r="H99" s="91">
        <v>0</v>
      </c>
      <c r="I99" s="100" t="s">
        <v>2337</v>
      </c>
    </row>
    <row r="100" spans="1:9">
      <c r="A100" s="95" t="s">
        <v>602</v>
      </c>
      <c r="B100" s="96" t="s">
        <v>2333</v>
      </c>
      <c r="C100" s="96" t="s">
        <v>1241</v>
      </c>
      <c r="D100" s="96" t="s">
        <v>2632</v>
      </c>
      <c r="E100" s="96" t="s">
        <v>2633</v>
      </c>
      <c r="F100" s="96" t="s">
        <v>2634</v>
      </c>
      <c r="G100" s="88">
        <v>33874270102700</v>
      </c>
      <c r="H100" s="91">
        <v>33874.2701027</v>
      </c>
      <c r="I100" s="100" t="s">
        <v>2337</v>
      </c>
    </row>
    <row r="101" spans="1:9">
      <c r="A101" s="95" t="s">
        <v>602</v>
      </c>
      <c r="B101" s="96" t="s">
        <v>2333</v>
      </c>
      <c r="C101" s="96" t="s">
        <v>1241</v>
      </c>
      <c r="D101" s="96" t="s">
        <v>2635</v>
      </c>
      <c r="E101" s="96" t="s">
        <v>2636</v>
      </c>
      <c r="F101" s="96" t="s">
        <v>2637</v>
      </c>
      <c r="G101" s="88">
        <v>0</v>
      </c>
      <c r="H101" s="91">
        <v>0</v>
      </c>
      <c r="I101" s="100" t="s">
        <v>2337</v>
      </c>
    </row>
    <row r="102" spans="1:9">
      <c r="A102" s="95" t="s">
        <v>602</v>
      </c>
      <c r="B102" s="96" t="s">
        <v>2333</v>
      </c>
      <c r="C102" s="96" t="s">
        <v>1241</v>
      </c>
      <c r="D102" s="96" t="s">
        <v>2638</v>
      </c>
      <c r="E102" s="96" t="s">
        <v>2639</v>
      </c>
      <c r="F102" s="96" t="s">
        <v>2640</v>
      </c>
      <c r="G102" s="88">
        <v>0</v>
      </c>
      <c r="H102" s="91">
        <v>0</v>
      </c>
      <c r="I102" s="100" t="s">
        <v>2337</v>
      </c>
    </row>
    <row r="103" spans="1:9">
      <c r="A103" s="95" t="s">
        <v>602</v>
      </c>
      <c r="B103" s="96" t="s">
        <v>2333</v>
      </c>
      <c r="C103" s="96" t="s">
        <v>1241</v>
      </c>
      <c r="D103" s="96" t="s">
        <v>2641</v>
      </c>
      <c r="E103" s="96" t="s">
        <v>2642</v>
      </c>
      <c r="F103" s="96" t="s">
        <v>2643</v>
      </c>
      <c r="G103" s="88">
        <v>6910500000000</v>
      </c>
      <c r="H103" s="91">
        <v>6910.5</v>
      </c>
      <c r="I103" s="100" t="s">
        <v>2337</v>
      </c>
    </row>
    <row r="104" spans="1:9">
      <c r="A104" s="95" t="s">
        <v>602</v>
      </c>
      <c r="B104" s="96" t="s">
        <v>2333</v>
      </c>
      <c r="C104" s="96" t="s">
        <v>1241</v>
      </c>
      <c r="D104" s="96" t="s">
        <v>2644</v>
      </c>
      <c r="E104" s="96" t="s">
        <v>2645</v>
      </c>
      <c r="F104" s="96" t="s">
        <v>2646</v>
      </c>
      <c r="G104" s="88">
        <v>0</v>
      </c>
      <c r="H104" s="91">
        <v>0</v>
      </c>
      <c r="I104" s="100" t="s">
        <v>2337</v>
      </c>
    </row>
    <row r="105" spans="1:9">
      <c r="A105" s="95" t="s">
        <v>602</v>
      </c>
      <c r="B105" s="96" t="s">
        <v>2333</v>
      </c>
      <c r="C105" s="96" t="s">
        <v>1241</v>
      </c>
      <c r="D105" s="96" t="s">
        <v>1759</v>
      </c>
      <c r="E105" s="96" t="s">
        <v>2647</v>
      </c>
      <c r="F105" s="96" t="s">
        <v>2648</v>
      </c>
      <c r="G105" s="88">
        <v>0</v>
      </c>
      <c r="H105" s="91">
        <v>0</v>
      </c>
      <c r="I105" s="100" t="s">
        <v>2337</v>
      </c>
    </row>
    <row r="106" spans="1:9">
      <c r="A106" s="95" t="s">
        <v>602</v>
      </c>
      <c r="B106" s="96" t="s">
        <v>2333</v>
      </c>
      <c r="C106" s="96" t="s">
        <v>1241</v>
      </c>
      <c r="D106" s="96" t="s">
        <v>2649</v>
      </c>
      <c r="E106" s="96" t="s">
        <v>2650</v>
      </c>
      <c r="F106" s="96" t="s">
        <v>2651</v>
      </c>
      <c r="G106" s="88">
        <v>0</v>
      </c>
      <c r="H106" s="91">
        <v>0</v>
      </c>
      <c r="I106" s="100" t="s">
        <v>2337</v>
      </c>
    </row>
    <row r="107" spans="1:9">
      <c r="A107" s="95" t="s">
        <v>602</v>
      </c>
      <c r="B107" s="96" t="s">
        <v>2333</v>
      </c>
      <c r="C107" s="96" t="s">
        <v>1241</v>
      </c>
      <c r="D107" s="96" t="s">
        <v>2652</v>
      </c>
      <c r="E107" s="96" t="s">
        <v>2653</v>
      </c>
      <c r="F107" s="96" t="s">
        <v>2654</v>
      </c>
      <c r="G107" s="88">
        <v>90899467872</v>
      </c>
      <c r="H107" s="91">
        <v>90.899467872000002</v>
      </c>
      <c r="I107" s="100" t="s">
        <v>2337</v>
      </c>
    </row>
    <row r="108" spans="1:9">
      <c r="A108" s="95" t="s">
        <v>602</v>
      </c>
      <c r="B108" s="96" t="s">
        <v>2333</v>
      </c>
      <c r="C108" s="96" t="s">
        <v>1241</v>
      </c>
      <c r="D108" s="96" t="s">
        <v>2655</v>
      </c>
      <c r="E108" s="96" t="s">
        <v>2656</v>
      </c>
      <c r="F108" s="96" t="s">
        <v>2657</v>
      </c>
      <c r="G108" s="88">
        <v>0</v>
      </c>
      <c r="H108" s="91">
        <v>0</v>
      </c>
      <c r="I108" s="100" t="s">
        <v>2337</v>
      </c>
    </row>
    <row r="109" spans="1:9">
      <c r="A109" s="95" t="s">
        <v>602</v>
      </c>
      <c r="B109" s="96" t="s">
        <v>2333</v>
      </c>
      <c r="C109" s="96" t="s">
        <v>1241</v>
      </c>
      <c r="D109" s="96" t="s">
        <v>2632</v>
      </c>
      <c r="E109" s="96" t="s">
        <v>2633</v>
      </c>
      <c r="F109" s="96" t="s">
        <v>2634</v>
      </c>
      <c r="G109" s="88">
        <v>2765156500000</v>
      </c>
      <c r="H109" s="91">
        <v>2765.1565000000001</v>
      </c>
      <c r="I109" s="100" t="s">
        <v>2337</v>
      </c>
    </row>
    <row r="110" spans="1:9">
      <c r="A110" s="95" t="s">
        <v>602</v>
      </c>
      <c r="B110" s="96" t="s">
        <v>2333</v>
      </c>
      <c r="C110" s="96" t="s">
        <v>1241</v>
      </c>
      <c r="D110" s="96" t="s">
        <v>2658</v>
      </c>
      <c r="E110" s="96" t="s">
        <v>2659</v>
      </c>
      <c r="F110" s="96" t="s">
        <v>2660</v>
      </c>
      <c r="G110" s="88">
        <v>0</v>
      </c>
      <c r="H110" s="91">
        <v>0</v>
      </c>
      <c r="I110" s="100" t="s">
        <v>2337</v>
      </c>
    </row>
    <row r="111" spans="1:9">
      <c r="A111" s="95" t="s">
        <v>602</v>
      </c>
      <c r="B111" s="96" t="s">
        <v>2333</v>
      </c>
      <c r="C111" s="96" t="s">
        <v>1241</v>
      </c>
      <c r="D111" s="96" t="s">
        <v>2661</v>
      </c>
      <c r="E111" s="96" t="s">
        <v>2662</v>
      </c>
      <c r="F111" s="96" t="s">
        <v>2663</v>
      </c>
      <c r="G111" s="88">
        <v>536936718444</v>
      </c>
      <c r="H111" s="91">
        <v>536.93671844400001</v>
      </c>
      <c r="I111" s="100" t="s">
        <v>2337</v>
      </c>
    </row>
    <row r="112" spans="1:9">
      <c r="A112" s="95" t="s">
        <v>602</v>
      </c>
      <c r="B112" s="96" t="s">
        <v>2333</v>
      </c>
      <c r="C112" s="96" t="s">
        <v>1241</v>
      </c>
      <c r="D112" s="96" t="s">
        <v>1862</v>
      </c>
      <c r="E112" s="96" t="s">
        <v>2664</v>
      </c>
      <c r="F112" s="96" t="s">
        <v>2665</v>
      </c>
      <c r="G112" s="88">
        <v>0</v>
      </c>
      <c r="H112" s="91">
        <v>0</v>
      </c>
      <c r="I112" s="100" t="s">
        <v>2337</v>
      </c>
    </row>
    <row r="113" spans="1:9">
      <c r="A113" s="95" t="s">
        <v>602</v>
      </c>
      <c r="B113" s="96" t="s">
        <v>2333</v>
      </c>
      <c r="C113" s="96" t="s">
        <v>1241</v>
      </c>
      <c r="D113" s="96" t="s">
        <v>2644</v>
      </c>
      <c r="E113" s="96" t="s">
        <v>2645</v>
      </c>
      <c r="F113" s="96" t="s">
        <v>2666</v>
      </c>
      <c r="G113" s="88">
        <v>0</v>
      </c>
      <c r="H113" s="91">
        <v>0</v>
      </c>
      <c r="I113" s="100" t="s">
        <v>2337</v>
      </c>
    </row>
    <row r="114" spans="1:9">
      <c r="A114" s="95" t="s">
        <v>602</v>
      </c>
      <c r="B114" s="96" t="s">
        <v>2333</v>
      </c>
      <c r="C114" s="96" t="s">
        <v>1241</v>
      </c>
      <c r="D114" s="96" t="s">
        <v>1868</v>
      </c>
      <c r="E114" s="96" t="s">
        <v>2667</v>
      </c>
      <c r="F114" s="96" t="s">
        <v>2668</v>
      </c>
      <c r="G114" s="88">
        <v>0</v>
      </c>
      <c r="H114" s="91">
        <v>0</v>
      </c>
      <c r="I114" s="100" t="s">
        <v>2337</v>
      </c>
    </row>
    <row r="115" spans="1:9">
      <c r="A115" s="95" t="s">
        <v>602</v>
      </c>
      <c r="B115" s="96" t="s">
        <v>2333</v>
      </c>
      <c r="C115" s="96" t="s">
        <v>1241</v>
      </c>
      <c r="D115" s="96" t="s">
        <v>1872</v>
      </c>
      <c r="E115" s="96" t="s">
        <v>2669</v>
      </c>
      <c r="F115" s="96" t="s">
        <v>2670</v>
      </c>
      <c r="G115" s="88">
        <v>0</v>
      </c>
      <c r="H115" s="91">
        <v>0</v>
      </c>
      <c r="I115" s="100" t="s">
        <v>2337</v>
      </c>
    </row>
    <row r="116" spans="1:9">
      <c r="A116" s="95" t="s">
        <v>602</v>
      </c>
      <c r="B116" s="96" t="s">
        <v>2333</v>
      </c>
      <c r="C116" s="96" t="s">
        <v>1241</v>
      </c>
      <c r="D116" s="96" t="s">
        <v>2671</v>
      </c>
      <c r="E116" s="96" t="s">
        <v>2672</v>
      </c>
      <c r="F116" s="96" t="s">
        <v>2673</v>
      </c>
      <c r="G116" s="88">
        <v>0</v>
      </c>
      <c r="H116" s="91">
        <v>0</v>
      </c>
      <c r="I116" s="100" t="s">
        <v>2337</v>
      </c>
    </row>
    <row r="117" spans="1:9">
      <c r="A117" s="95" t="s">
        <v>602</v>
      </c>
      <c r="B117" s="96" t="s">
        <v>2333</v>
      </c>
      <c r="C117" s="96" t="s">
        <v>1241</v>
      </c>
      <c r="D117" s="96" t="s">
        <v>1882</v>
      </c>
      <c r="E117" s="96" t="s">
        <v>2674</v>
      </c>
      <c r="F117" s="96" t="s">
        <v>2675</v>
      </c>
      <c r="G117" s="88">
        <v>0</v>
      </c>
      <c r="H117" s="91">
        <v>0</v>
      </c>
      <c r="I117" s="100" t="s">
        <v>2337</v>
      </c>
    </row>
    <row r="118" spans="1:9">
      <c r="A118" s="95" t="s">
        <v>602</v>
      </c>
      <c r="B118" s="96" t="s">
        <v>2333</v>
      </c>
      <c r="C118" s="96" t="s">
        <v>1241</v>
      </c>
      <c r="D118" s="96" t="s">
        <v>2629</v>
      </c>
      <c r="E118" s="96" t="s">
        <v>2630</v>
      </c>
      <c r="F118" s="96" t="s">
        <v>2631</v>
      </c>
      <c r="G118" s="88">
        <v>0</v>
      </c>
      <c r="H118" s="91">
        <v>0</v>
      </c>
      <c r="I118" s="100" t="s">
        <v>2337</v>
      </c>
    </row>
    <row r="119" spans="1:9">
      <c r="A119" s="95" t="s">
        <v>602</v>
      </c>
      <c r="B119" s="96" t="s">
        <v>2333</v>
      </c>
      <c r="C119" s="96" t="s">
        <v>1241</v>
      </c>
      <c r="D119" s="96" t="s">
        <v>2676</v>
      </c>
      <c r="E119" s="96" t="s">
        <v>2677</v>
      </c>
      <c r="F119" s="96" t="s">
        <v>2678</v>
      </c>
      <c r="G119" s="88">
        <v>14696931770000</v>
      </c>
      <c r="H119" s="91">
        <v>14696.931769999999</v>
      </c>
      <c r="I119" s="100" t="s">
        <v>2337</v>
      </c>
    </row>
    <row r="120" spans="1:9">
      <c r="A120" s="95" t="s">
        <v>602</v>
      </c>
      <c r="B120" s="96" t="s">
        <v>2333</v>
      </c>
      <c r="C120" s="96" t="s">
        <v>1241</v>
      </c>
      <c r="D120" s="96" t="s">
        <v>2679</v>
      </c>
      <c r="E120" s="96" t="s">
        <v>2680</v>
      </c>
      <c r="F120" s="96" t="s">
        <v>2681</v>
      </c>
      <c r="G120" s="88">
        <v>0</v>
      </c>
      <c r="H120" s="91">
        <v>0</v>
      </c>
      <c r="I120" s="100" t="s">
        <v>2337</v>
      </c>
    </row>
    <row r="121" spans="1:9">
      <c r="A121" s="95" t="s">
        <v>602</v>
      </c>
      <c r="B121" s="96" t="s">
        <v>2333</v>
      </c>
      <c r="C121" s="96" t="s">
        <v>1241</v>
      </c>
      <c r="D121" s="96" t="s">
        <v>2682</v>
      </c>
      <c r="E121" s="96" t="s">
        <v>2683</v>
      </c>
      <c r="F121" s="96" t="s">
        <v>2684</v>
      </c>
      <c r="G121" s="88">
        <v>11034463805990</v>
      </c>
      <c r="H121" s="91">
        <v>11034.463805990001</v>
      </c>
      <c r="I121" s="100" t="s">
        <v>2337</v>
      </c>
    </row>
    <row r="122" spans="1:9">
      <c r="A122" s="95" t="s">
        <v>602</v>
      </c>
      <c r="B122" s="96" t="s">
        <v>2333</v>
      </c>
      <c r="C122" s="96" t="s">
        <v>1241</v>
      </c>
      <c r="D122" s="96" t="s">
        <v>2685</v>
      </c>
      <c r="E122" s="96" t="s">
        <v>2686</v>
      </c>
      <c r="F122" s="96" t="s">
        <v>2687</v>
      </c>
      <c r="G122" s="88">
        <v>7033730770169</v>
      </c>
      <c r="H122" s="91">
        <v>7033.7307701689997</v>
      </c>
      <c r="I122" s="100" t="s">
        <v>2337</v>
      </c>
    </row>
    <row r="123" spans="1:9">
      <c r="A123" s="95" t="s">
        <v>602</v>
      </c>
      <c r="B123" s="96" t="s">
        <v>2333</v>
      </c>
      <c r="C123" s="96" t="s">
        <v>1241</v>
      </c>
      <c r="D123" s="96" t="s">
        <v>1810</v>
      </c>
      <c r="E123" s="96" t="s">
        <v>2688</v>
      </c>
      <c r="F123" s="96" t="s">
        <v>2689</v>
      </c>
      <c r="G123" s="88">
        <v>90899467872</v>
      </c>
      <c r="H123" s="91">
        <v>90.899467872000002</v>
      </c>
      <c r="I123" s="100" t="s">
        <v>2337</v>
      </c>
    </row>
    <row r="124" spans="1:9">
      <c r="A124" s="95" t="s">
        <v>602</v>
      </c>
      <c r="B124" s="96" t="s">
        <v>2333</v>
      </c>
      <c r="C124" s="96" t="s">
        <v>1241</v>
      </c>
      <c r="D124" s="96" t="s">
        <v>1834</v>
      </c>
      <c r="E124" s="96" t="s">
        <v>2690</v>
      </c>
      <c r="F124" s="96" t="s">
        <v>2691</v>
      </c>
      <c r="G124" s="88">
        <v>0</v>
      </c>
      <c r="H124" s="91">
        <v>0</v>
      </c>
      <c r="I124" s="100" t="s">
        <v>2337</v>
      </c>
    </row>
    <row r="125" spans="1:9">
      <c r="A125" s="95" t="s">
        <v>602</v>
      </c>
      <c r="B125" s="96" t="s">
        <v>2333</v>
      </c>
      <c r="C125" s="96" t="s">
        <v>1241</v>
      </c>
      <c r="D125" s="96" t="s">
        <v>2390</v>
      </c>
      <c r="E125" s="96" t="s">
        <v>2391</v>
      </c>
      <c r="F125" s="96" t="s">
        <v>2692</v>
      </c>
      <c r="G125" s="88">
        <v>576350988478</v>
      </c>
      <c r="H125" s="91">
        <v>576.35098847799998</v>
      </c>
      <c r="I125" s="100" t="s">
        <v>2337</v>
      </c>
    </row>
    <row r="126" spans="1:9">
      <c r="A126" s="95" t="s">
        <v>602</v>
      </c>
      <c r="B126" s="96" t="s">
        <v>2333</v>
      </c>
      <c r="C126" s="96" t="s">
        <v>1241</v>
      </c>
      <c r="D126" s="96" t="s">
        <v>2693</v>
      </c>
      <c r="E126" s="96" t="s">
        <v>2694</v>
      </c>
      <c r="F126" s="96" t="s">
        <v>2695</v>
      </c>
      <c r="G126" s="88">
        <v>0</v>
      </c>
      <c r="H126" s="91">
        <v>0</v>
      </c>
      <c r="I126" s="100" t="s">
        <v>2337</v>
      </c>
    </row>
    <row r="127" spans="1:9">
      <c r="A127" s="95" t="s">
        <v>602</v>
      </c>
      <c r="B127" s="96" t="s">
        <v>2404</v>
      </c>
      <c r="C127" s="96" t="s">
        <v>1241</v>
      </c>
      <c r="D127" s="96" t="s">
        <v>68</v>
      </c>
      <c r="E127" s="96" t="s">
        <v>2411</v>
      </c>
      <c r="F127" s="96" t="s">
        <v>2412</v>
      </c>
      <c r="G127" s="88">
        <v>68350202307085</v>
      </c>
      <c r="H127" s="91">
        <v>68350.202307084997</v>
      </c>
      <c r="I127" s="100" t="s">
        <v>2405</v>
      </c>
    </row>
    <row r="128" spans="1:9">
      <c r="A128" s="95" t="s">
        <v>602</v>
      </c>
      <c r="B128" s="96" t="s">
        <v>2404</v>
      </c>
      <c r="C128" s="96" t="s">
        <v>1241</v>
      </c>
      <c r="D128" s="96" t="s">
        <v>58</v>
      </c>
      <c r="E128" s="96" t="s">
        <v>2413</v>
      </c>
      <c r="F128" s="96" t="s">
        <v>2414</v>
      </c>
      <c r="G128" s="88">
        <v>2658218136149</v>
      </c>
      <c r="H128" s="91">
        <v>2658.2181361490002</v>
      </c>
      <c r="I128" s="100" t="s">
        <v>2405</v>
      </c>
    </row>
    <row r="129" spans="1:9">
      <c r="A129" s="95" t="s">
        <v>602</v>
      </c>
      <c r="B129" s="96" t="s">
        <v>2404</v>
      </c>
      <c r="C129" s="96" t="s">
        <v>1241</v>
      </c>
      <c r="D129" s="96" t="s">
        <v>1699</v>
      </c>
      <c r="E129" s="96" t="s">
        <v>2415</v>
      </c>
      <c r="F129" s="96" t="s">
        <v>2416</v>
      </c>
      <c r="G129" s="88">
        <v>2658218136149</v>
      </c>
      <c r="H129" s="91">
        <v>2658.2181361490002</v>
      </c>
      <c r="I129" s="100" t="s">
        <v>2405</v>
      </c>
    </row>
    <row r="130" spans="1:9">
      <c r="A130" s="95" t="s">
        <v>602</v>
      </c>
      <c r="B130" s="96" t="s">
        <v>2404</v>
      </c>
      <c r="C130" s="96" t="s">
        <v>1241</v>
      </c>
      <c r="D130" s="96" t="s">
        <v>1701</v>
      </c>
      <c r="E130" s="96" t="s">
        <v>2417</v>
      </c>
      <c r="F130" s="96" t="s">
        <v>2418</v>
      </c>
      <c r="G130" s="88">
        <v>0</v>
      </c>
      <c r="H130" s="91">
        <v>0</v>
      </c>
      <c r="I130" s="100" t="s">
        <v>2405</v>
      </c>
    </row>
    <row r="131" spans="1:9">
      <c r="A131" s="95" t="s">
        <v>602</v>
      </c>
      <c r="B131" s="96" t="s">
        <v>2404</v>
      </c>
      <c r="C131" s="96" t="s">
        <v>1241</v>
      </c>
      <c r="D131" s="96" t="s">
        <v>2053</v>
      </c>
      <c r="E131" s="96" t="s">
        <v>2419</v>
      </c>
      <c r="F131" s="96" t="s">
        <v>2420</v>
      </c>
      <c r="G131" s="88">
        <v>32390515015620</v>
      </c>
      <c r="H131" s="91">
        <v>32390.51501562</v>
      </c>
      <c r="I131" s="100" t="s">
        <v>2405</v>
      </c>
    </row>
    <row r="132" spans="1:9">
      <c r="A132" s="95" t="s">
        <v>602</v>
      </c>
      <c r="B132" s="96" t="s">
        <v>2404</v>
      </c>
      <c r="C132" s="96" t="s">
        <v>1241</v>
      </c>
      <c r="D132" s="96" t="s">
        <v>2053</v>
      </c>
      <c r="E132" s="96" t="s">
        <v>2419</v>
      </c>
      <c r="F132" s="96" t="s">
        <v>2420</v>
      </c>
      <c r="G132" s="88">
        <v>0</v>
      </c>
      <c r="H132" s="91">
        <v>0</v>
      </c>
      <c r="I132" s="100" t="s">
        <v>2405</v>
      </c>
    </row>
    <row r="133" spans="1:9">
      <c r="A133" s="95" t="s">
        <v>602</v>
      </c>
      <c r="B133" s="96" t="s">
        <v>2404</v>
      </c>
      <c r="C133" s="96" t="s">
        <v>1241</v>
      </c>
      <c r="D133" s="96" t="s">
        <v>2421</v>
      </c>
      <c r="E133" s="96" t="s">
        <v>2422</v>
      </c>
      <c r="F133" s="96" t="s">
        <v>2423</v>
      </c>
      <c r="G133" s="88">
        <v>0</v>
      </c>
      <c r="H133" s="91">
        <v>0</v>
      </c>
      <c r="I133" s="100" t="s">
        <v>2405</v>
      </c>
    </row>
    <row r="134" spans="1:9">
      <c r="A134" s="95" t="s">
        <v>602</v>
      </c>
      <c r="B134" s="96" t="s">
        <v>2404</v>
      </c>
      <c r="C134" s="96" t="s">
        <v>1241</v>
      </c>
      <c r="D134" s="96" t="s">
        <v>2424</v>
      </c>
      <c r="E134" s="96" t="s">
        <v>2425</v>
      </c>
      <c r="F134" s="96" t="s">
        <v>2426</v>
      </c>
      <c r="G134" s="88">
        <v>9862532179881</v>
      </c>
      <c r="H134" s="91">
        <v>9862.532179881</v>
      </c>
      <c r="I134" s="100" t="s">
        <v>2405</v>
      </c>
    </row>
    <row r="135" spans="1:9">
      <c r="A135" s="95" t="s">
        <v>602</v>
      </c>
      <c r="B135" s="96" t="s">
        <v>2404</v>
      </c>
      <c r="C135" s="96" t="s">
        <v>1241</v>
      </c>
      <c r="D135" s="96" t="s">
        <v>2427</v>
      </c>
      <c r="E135" s="96" t="s">
        <v>2428</v>
      </c>
      <c r="F135" s="96" t="s">
        <v>2429</v>
      </c>
      <c r="G135" s="88">
        <v>238308586301</v>
      </c>
      <c r="H135" s="91">
        <v>238.30858630099999</v>
      </c>
      <c r="I135" s="100" t="s">
        <v>2405</v>
      </c>
    </row>
    <row r="136" spans="1:9">
      <c r="A136" s="95" t="s">
        <v>602</v>
      </c>
      <c r="B136" s="96" t="s">
        <v>2404</v>
      </c>
      <c r="C136" s="96" t="s">
        <v>1241</v>
      </c>
      <c r="D136" s="96" t="s">
        <v>2430</v>
      </c>
      <c r="E136" s="96" t="s">
        <v>2431</v>
      </c>
      <c r="F136" s="96" t="s">
        <v>2432</v>
      </c>
      <c r="G136" s="88">
        <v>62660193813</v>
      </c>
      <c r="H136" s="91">
        <v>62.660193812999999</v>
      </c>
      <c r="I136" s="100" t="s">
        <v>2405</v>
      </c>
    </row>
    <row r="137" spans="1:9">
      <c r="A137" s="95" t="s">
        <v>602</v>
      </c>
      <c r="B137" s="96" t="s">
        <v>2404</v>
      </c>
      <c r="C137" s="96" t="s">
        <v>1241</v>
      </c>
      <c r="D137" s="96" t="s">
        <v>2433</v>
      </c>
      <c r="E137" s="96" t="s">
        <v>2434</v>
      </c>
      <c r="F137" s="96" t="s">
        <v>2435</v>
      </c>
      <c r="G137" s="88">
        <v>0</v>
      </c>
      <c r="H137" s="91">
        <v>0</v>
      </c>
      <c r="I137" s="100" t="s">
        <v>2405</v>
      </c>
    </row>
    <row r="138" spans="1:9">
      <c r="A138" s="95" t="s">
        <v>602</v>
      </c>
      <c r="B138" s="96" t="s">
        <v>2404</v>
      </c>
      <c r="C138" s="96" t="s">
        <v>1241</v>
      </c>
      <c r="D138" s="96" t="s">
        <v>2436</v>
      </c>
      <c r="E138" s="96" t="s">
        <v>2437</v>
      </c>
      <c r="F138" s="96" t="s">
        <v>2438</v>
      </c>
      <c r="G138" s="88">
        <v>0</v>
      </c>
      <c r="H138" s="91">
        <v>0</v>
      </c>
      <c r="I138" s="100" t="s">
        <v>2405</v>
      </c>
    </row>
    <row r="139" spans="1:9">
      <c r="A139" s="95" t="s">
        <v>602</v>
      </c>
      <c r="B139" s="96" t="s">
        <v>2404</v>
      </c>
      <c r="C139" s="96" t="s">
        <v>1241</v>
      </c>
      <c r="D139" s="96" t="s">
        <v>2439</v>
      </c>
      <c r="E139" s="96" t="s">
        <v>2440</v>
      </c>
      <c r="F139" s="96" t="s">
        <v>2441</v>
      </c>
      <c r="G139" s="88">
        <v>2589563399767</v>
      </c>
      <c r="H139" s="91">
        <v>2589.5633997670002</v>
      </c>
      <c r="I139" s="100" t="s">
        <v>2405</v>
      </c>
    </row>
    <row r="140" spans="1:9">
      <c r="A140" s="95" t="s">
        <v>602</v>
      </c>
      <c r="B140" s="96" t="s">
        <v>2404</v>
      </c>
      <c r="C140" s="96" t="s">
        <v>1241</v>
      </c>
      <c r="D140" s="96" t="s">
        <v>2442</v>
      </c>
      <c r="E140" s="96" t="s">
        <v>2443</v>
      </c>
      <c r="F140" s="96" t="s">
        <v>2444</v>
      </c>
      <c r="G140" s="88">
        <v>0</v>
      </c>
      <c r="H140" s="91">
        <v>0</v>
      </c>
      <c r="I140" s="100" t="s">
        <v>2405</v>
      </c>
    </row>
    <row r="141" spans="1:9">
      <c r="A141" s="95" t="s">
        <v>602</v>
      </c>
      <c r="B141" s="96" t="s">
        <v>2404</v>
      </c>
      <c r="C141" s="96" t="s">
        <v>1241</v>
      </c>
      <c r="D141" s="96" t="s">
        <v>2445</v>
      </c>
      <c r="E141" s="96" t="s">
        <v>2446</v>
      </c>
      <c r="F141" s="96" t="s">
        <v>2447</v>
      </c>
      <c r="G141" s="88">
        <v>22808478321986</v>
      </c>
      <c r="H141" s="91">
        <v>22808.478321986</v>
      </c>
      <c r="I141" s="100" t="s">
        <v>2405</v>
      </c>
    </row>
    <row r="142" spans="1:9">
      <c r="A142" s="95" t="s">
        <v>602</v>
      </c>
      <c r="B142" s="96" t="s">
        <v>2404</v>
      </c>
      <c r="C142" s="96" t="s">
        <v>1241</v>
      </c>
      <c r="D142" s="96" t="s">
        <v>64</v>
      </c>
      <c r="E142" s="96" t="s">
        <v>2448</v>
      </c>
      <c r="F142" s="96" t="s">
        <v>2449</v>
      </c>
      <c r="G142" s="88">
        <v>23243566847543</v>
      </c>
      <c r="H142" s="91">
        <v>23243.566847542999</v>
      </c>
      <c r="I142" s="100" t="s">
        <v>2405</v>
      </c>
    </row>
    <row r="143" spans="1:9">
      <c r="A143" s="95" t="s">
        <v>602</v>
      </c>
      <c r="B143" s="96" t="s">
        <v>2404</v>
      </c>
      <c r="C143" s="96" t="s">
        <v>1241</v>
      </c>
      <c r="D143" s="96" t="s">
        <v>2450</v>
      </c>
      <c r="E143" s="96" t="s">
        <v>2451</v>
      </c>
      <c r="F143" s="96" t="s">
        <v>2452</v>
      </c>
      <c r="G143" s="88">
        <v>-435088525557</v>
      </c>
      <c r="H143" s="91">
        <v>-435.08852555700003</v>
      </c>
      <c r="I143" s="100" t="s">
        <v>2405</v>
      </c>
    </row>
    <row r="144" spans="1:9">
      <c r="A144" s="95" t="s">
        <v>602</v>
      </c>
      <c r="B144" s="96" t="s">
        <v>2404</v>
      </c>
      <c r="C144" s="96" t="s">
        <v>1241</v>
      </c>
      <c r="D144" s="96" t="s">
        <v>2059</v>
      </c>
      <c r="E144" s="96" t="s">
        <v>2453</v>
      </c>
      <c r="F144" s="96" t="s">
        <v>2454</v>
      </c>
      <c r="G144" s="88">
        <v>630458653449</v>
      </c>
      <c r="H144" s="91">
        <v>630.45865344900005</v>
      </c>
      <c r="I144" s="100" t="s">
        <v>2405</v>
      </c>
    </row>
    <row r="145" spans="1:9">
      <c r="A145" s="95" t="s">
        <v>602</v>
      </c>
      <c r="B145" s="96" t="s">
        <v>2404</v>
      </c>
      <c r="C145" s="96" t="s">
        <v>1241</v>
      </c>
      <c r="D145" s="96" t="s">
        <v>2455</v>
      </c>
      <c r="E145" s="96" t="s">
        <v>2456</v>
      </c>
      <c r="F145" s="96" t="s">
        <v>2457</v>
      </c>
      <c r="G145" s="88">
        <v>415902715899</v>
      </c>
      <c r="H145" s="91">
        <v>415.90271589899999</v>
      </c>
      <c r="I145" s="100" t="s">
        <v>2405</v>
      </c>
    </row>
    <row r="146" spans="1:9">
      <c r="A146" s="95" t="s">
        <v>602</v>
      </c>
      <c r="B146" s="96" t="s">
        <v>2404</v>
      </c>
      <c r="C146" s="96" t="s">
        <v>1241</v>
      </c>
      <c r="D146" s="96" t="s">
        <v>2458</v>
      </c>
      <c r="E146" s="96" t="s">
        <v>2459</v>
      </c>
      <c r="F146" s="96" t="s">
        <v>2460</v>
      </c>
      <c r="G146" s="88">
        <v>184457538049</v>
      </c>
      <c r="H146" s="91">
        <v>184.45753804899999</v>
      </c>
      <c r="I146" s="100" t="s">
        <v>2405</v>
      </c>
    </row>
    <row r="147" spans="1:9">
      <c r="A147" s="95" t="s">
        <v>602</v>
      </c>
      <c r="B147" s="96" t="s">
        <v>2404</v>
      </c>
      <c r="C147" s="96" t="s">
        <v>1241</v>
      </c>
      <c r="D147" s="96" t="s">
        <v>2461</v>
      </c>
      <c r="E147" s="96" t="s">
        <v>2462</v>
      </c>
      <c r="F147" s="96" t="s">
        <v>2463</v>
      </c>
      <c r="G147" s="88">
        <v>30098399501</v>
      </c>
      <c r="H147" s="91">
        <v>30.098399500999999</v>
      </c>
      <c r="I147" s="100" t="s">
        <v>2405</v>
      </c>
    </row>
    <row r="148" spans="1:9">
      <c r="A148" s="95" t="s">
        <v>602</v>
      </c>
      <c r="B148" s="96" t="s">
        <v>2404</v>
      </c>
      <c r="C148" s="96" t="s">
        <v>1241</v>
      </c>
      <c r="D148" s="96" t="s">
        <v>2059</v>
      </c>
      <c r="E148" s="96" t="s">
        <v>2453</v>
      </c>
      <c r="F148" s="96" t="s">
        <v>2454</v>
      </c>
      <c r="G148" s="88">
        <v>0</v>
      </c>
      <c r="H148" s="91">
        <v>0</v>
      </c>
      <c r="I148" s="100" t="s">
        <v>2405</v>
      </c>
    </row>
    <row r="149" spans="1:9">
      <c r="A149" s="95" t="s">
        <v>602</v>
      </c>
      <c r="B149" s="96" t="s">
        <v>2404</v>
      </c>
      <c r="C149" s="96" t="s">
        <v>1241</v>
      </c>
      <c r="D149" s="96" t="s">
        <v>1753</v>
      </c>
      <c r="E149" s="96" t="s">
        <v>2464</v>
      </c>
      <c r="F149" s="96" t="s">
        <v>2465</v>
      </c>
      <c r="G149" s="88">
        <v>4329022407862</v>
      </c>
      <c r="H149" s="91">
        <v>4329.0224078620004</v>
      </c>
      <c r="I149" s="100" t="s">
        <v>2405</v>
      </c>
    </row>
    <row r="150" spans="1:9">
      <c r="A150" s="95" t="s">
        <v>602</v>
      </c>
      <c r="B150" s="96" t="s">
        <v>2404</v>
      </c>
      <c r="C150" s="96" t="s">
        <v>1241</v>
      </c>
      <c r="D150" s="96" t="s">
        <v>1757</v>
      </c>
      <c r="E150" s="96" t="s">
        <v>2466</v>
      </c>
      <c r="F150" s="96" t="s">
        <v>2467</v>
      </c>
      <c r="G150" s="88">
        <v>398376958399</v>
      </c>
      <c r="H150" s="91">
        <v>398.37695839899999</v>
      </c>
      <c r="I150" s="100" t="s">
        <v>2405</v>
      </c>
    </row>
    <row r="151" spans="1:9">
      <c r="A151" s="95" t="s">
        <v>602</v>
      </c>
      <c r="B151" s="96" t="s">
        <v>2404</v>
      </c>
      <c r="C151" s="96" t="s">
        <v>1241</v>
      </c>
      <c r="D151" s="96" t="s">
        <v>2468</v>
      </c>
      <c r="E151" s="96" t="s">
        <v>2469</v>
      </c>
      <c r="F151" s="96" t="s">
        <v>2470</v>
      </c>
      <c r="G151" s="88">
        <v>0</v>
      </c>
      <c r="H151" s="91">
        <v>0</v>
      </c>
      <c r="I151" s="100" t="s">
        <v>2405</v>
      </c>
    </row>
    <row r="152" spans="1:9">
      <c r="A152" s="95" t="s">
        <v>602</v>
      </c>
      <c r="B152" s="96" t="s">
        <v>2404</v>
      </c>
      <c r="C152" s="96" t="s">
        <v>1241</v>
      </c>
      <c r="D152" s="96" t="s">
        <v>2471</v>
      </c>
      <c r="E152" s="96" t="s">
        <v>2472</v>
      </c>
      <c r="F152" s="96" t="s">
        <v>2473</v>
      </c>
      <c r="G152" s="88">
        <v>0</v>
      </c>
      <c r="H152" s="91">
        <v>0</v>
      </c>
      <c r="I152" s="100" t="s">
        <v>2405</v>
      </c>
    </row>
    <row r="153" spans="1:9">
      <c r="A153" s="95" t="s">
        <v>602</v>
      </c>
      <c r="B153" s="96" t="s">
        <v>2404</v>
      </c>
      <c r="C153" s="96" t="s">
        <v>1241</v>
      </c>
      <c r="D153" s="96" t="s">
        <v>1767</v>
      </c>
      <c r="E153" s="96" t="s">
        <v>2474</v>
      </c>
      <c r="F153" s="96" t="s">
        <v>2475</v>
      </c>
      <c r="G153" s="88">
        <v>398376958399</v>
      </c>
      <c r="H153" s="91">
        <v>398.37695839899999</v>
      </c>
      <c r="I153" s="100" t="s">
        <v>2405</v>
      </c>
    </row>
    <row r="154" spans="1:9">
      <c r="A154" s="95" t="s">
        <v>602</v>
      </c>
      <c r="B154" s="96" t="s">
        <v>2404</v>
      </c>
      <c r="C154" s="96" t="s">
        <v>1241</v>
      </c>
      <c r="D154" s="96" t="s">
        <v>2476</v>
      </c>
      <c r="E154" s="96" t="s">
        <v>2477</v>
      </c>
      <c r="F154" s="96" t="s">
        <v>2478</v>
      </c>
      <c r="G154" s="88">
        <v>0</v>
      </c>
      <c r="H154" s="91">
        <v>0</v>
      </c>
      <c r="I154" s="100" t="s">
        <v>2405</v>
      </c>
    </row>
    <row r="155" spans="1:9">
      <c r="A155" s="95" t="s">
        <v>602</v>
      </c>
      <c r="B155" s="96" t="s">
        <v>2404</v>
      </c>
      <c r="C155" s="96" t="s">
        <v>1241</v>
      </c>
      <c r="D155" s="96" t="s">
        <v>70</v>
      </c>
      <c r="E155" s="96" t="s">
        <v>2061</v>
      </c>
      <c r="F155" s="96" t="s">
        <v>2479</v>
      </c>
      <c r="G155" s="88">
        <v>3233901626643</v>
      </c>
      <c r="H155" s="91">
        <v>3233.9016266429999</v>
      </c>
      <c r="I155" s="100" t="s">
        <v>2405</v>
      </c>
    </row>
    <row r="156" spans="1:9">
      <c r="A156" s="95" t="s">
        <v>602</v>
      </c>
      <c r="B156" s="96" t="s">
        <v>2404</v>
      </c>
      <c r="C156" s="96" t="s">
        <v>1241</v>
      </c>
      <c r="D156" s="96" t="s">
        <v>1771</v>
      </c>
      <c r="E156" s="96" t="s">
        <v>2480</v>
      </c>
      <c r="F156" s="96" t="s">
        <v>2481</v>
      </c>
      <c r="G156" s="88">
        <v>3171772227920</v>
      </c>
      <c r="H156" s="91">
        <v>3171.7722279200002</v>
      </c>
      <c r="I156" s="100" t="s">
        <v>2405</v>
      </c>
    </row>
    <row r="157" spans="1:9">
      <c r="A157" s="95" t="s">
        <v>602</v>
      </c>
      <c r="B157" s="96" t="s">
        <v>2404</v>
      </c>
      <c r="C157" s="96" t="s">
        <v>1241</v>
      </c>
      <c r="D157" s="96" t="s">
        <v>1773</v>
      </c>
      <c r="E157" s="96" t="s">
        <v>2482</v>
      </c>
      <c r="F157" s="96" t="s">
        <v>2483</v>
      </c>
      <c r="G157" s="88">
        <v>19305596081131</v>
      </c>
      <c r="H157" s="91">
        <v>19305.596081131</v>
      </c>
      <c r="I157" s="100" t="s">
        <v>2405</v>
      </c>
    </row>
    <row r="158" spans="1:9">
      <c r="A158" s="95" t="s">
        <v>602</v>
      </c>
      <c r="B158" s="96" t="s">
        <v>2404</v>
      </c>
      <c r="C158" s="96" t="s">
        <v>1241</v>
      </c>
      <c r="D158" s="96" t="s">
        <v>1775</v>
      </c>
      <c r="E158" s="96" t="s">
        <v>2484</v>
      </c>
      <c r="F158" s="96" t="s">
        <v>2485</v>
      </c>
      <c r="G158" s="88">
        <v>-16133823853211</v>
      </c>
      <c r="H158" s="91">
        <v>-16133.823853211001</v>
      </c>
      <c r="I158" s="100" t="s">
        <v>2405</v>
      </c>
    </row>
    <row r="159" spans="1:9">
      <c r="A159" s="95" t="s">
        <v>602</v>
      </c>
      <c r="B159" s="96" t="s">
        <v>2404</v>
      </c>
      <c r="C159" s="96" t="s">
        <v>1241</v>
      </c>
      <c r="D159" s="96" t="s">
        <v>2486</v>
      </c>
      <c r="E159" s="96" t="s">
        <v>2487</v>
      </c>
      <c r="F159" s="96" t="s">
        <v>2488</v>
      </c>
      <c r="G159" s="88">
        <v>0</v>
      </c>
      <c r="H159" s="91">
        <v>0</v>
      </c>
      <c r="I159" s="100" t="s">
        <v>2405</v>
      </c>
    </row>
    <row r="160" spans="1:9">
      <c r="A160" s="95" t="s">
        <v>602</v>
      </c>
      <c r="B160" s="96" t="s">
        <v>2404</v>
      </c>
      <c r="C160" s="96" t="s">
        <v>1241</v>
      </c>
      <c r="D160" s="96" t="s">
        <v>1773</v>
      </c>
      <c r="E160" s="96" t="s">
        <v>2482</v>
      </c>
      <c r="F160" s="96" t="s">
        <v>2489</v>
      </c>
      <c r="G160" s="88">
        <v>0</v>
      </c>
      <c r="H160" s="91">
        <v>0</v>
      </c>
      <c r="I160" s="100" t="s">
        <v>2405</v>
      </c>
    </row>
    <row r="161" spans="1:9">
      <c r="A161" s="95" t="s">
        <v>602</v>
      </c>
      <c r="B161" s="96" t="s">
        <v>2404</v>
      </c>
      <c r="C161" s="96" t="s">
        <v>1241</v>
      </c>
      <c r="D161" s="96" t="s">
        <v>1775</v>
      </c>
      <c r="E161" s="96" t="s">
        <v>2484</v>
      </c>
      <c r="F161" s="96" t="s">
        <v>2490</v>
      </c>
      <c r="G161" s="88">
        <v>0</v>
      </c>
      <c r="H161" s="91">
        <v>0</v>
      </c>
      <c r="I161" s="100" t="s">
        <v>2405</v>
      </c>
    </row>
    <row r="162" spans="1:9">
      <c r="A162" s="95" t="s">
        <v>602</v>
      </c>
      <c r="B162" s="96" t="s">
        <v>2404</v>
      </c>
      <c r="C162" s="96" t="s">
        <v>1241</v>
      </c>
      <c r="D162" s="96" t="s">
        <v>1781</v>
      </c>
      <c r="E162" s="96" t="s">
        <v>2491</v>
      </c>
      <c r="F162" s="96" t="s">
        <v>2492</v>
      </c>
      <c r="G162" s="88">
        <v>62129398723</v>
      </c>
      <c r="H162" s="91">
        <v>62.129398723000001</v>
      </c>
      <c r="I162" s="100" t="s">
        <v>2405</v>
      </c>
    </row>
    <row r="163" spans="1:9">
      <c r="A163" s="95" t="s">
        <v>602</v>
      </c>
      <c r="B163" s="96" t="s">
        <v>2404</v>
      </c>
      <c r="C163" s="96" t="s">
        <v>1241</v>
      </c>
      <c r="D163" s="96" t="s">
        <v>1773</v>
      </c>
      <c r="E163" s="96" t="s">
        <v>2482</v>
      </c>
      <c r="F163" s="96" t="s">
        <v>2493</v>
      </c>
      <c r="G163" s="88">
        <v>90297772827</v>
      </c>
      <c r="H163" s="91">
        <v>90.297772827000003</v>
      </c>
      <c r="I163" s="100" t="s">
        <v>2405</v>
      </c>
    </row>
    <row r="164" spans="1:9">
      <c r="A164" s="95" t="s">
        <v>602</v>
      </c>
      <c r="B164" s="96" t="s">
        <v>2404</v>
      </c>
      <c r="C164" s="96" t="s">
        <v>1241</v>
      </c>
      <c r="D164" s="96" t="s">
        <v>1775</v>
      </c>
      <c r="E164" s="96" t="s">
        <v>2484</v>
      </c>
      <c r="F164" s="96" t="s">
        <v>2494</v>
      </c>
      <c r="G164" s="88">
        <v>-28168374104</v>
      </c>
      <c r="H164" s="91">
        <v>-28.168374104000002</v>
      </c>
      <c r="I164" s="100" t="s">
        <v>2405</v>
      </c>
    </row>
    <row r="165" spans="1:9">
      <c r="A165" s="95" t="s">
        <v>602</v>
      </c>
      <c r="B165" s="96" t="s">
        <v>2404</v>
      </c>
      <c r="C165" s="96" t="s">
        <v>1241</v>
      </c>
      <c r="D165" s="96" t="s">
        <v>2495</v>
      </c>
      <c r="E165" s="96" t="s">
        <v>2496</v>
      </c>
      <c r="F165" s="96" t="s">
        <v>2497</v>
      </c>
      <c r="G165" s="88">
        <v>0</v>
      </c>
      <c r="H165" s="91">
        <v>0</v>
      </c>
      <c r="I165" s="100" t="s">
        <v>2405</v>
      </c>
    </row>
    <row r="166" spans="1:9">
      <c r="A166" s="95" t="s">
        <v>602</v>
      </c>
      <c r="B166" s="96" t="s">
        <v>2404</v>
      </c>
      <c r="C166" s="96" t="s">
        <v>1241</v>
      </c>
      <c r="D166" s="96" t="s">
        <v>1802</v>
      </c>
      <c r="E166" s="96" t="s">
        <v>2498</v>
      </c>
      <c r="F166" s="96" t="s">
        <v>2499</v>
      </c>
      <c r="G166" s="88">
        <v>0</v>
      </c>
      <c r="H166" s="91">
        <v>0</v>
      </c>
      <c r="I166" s="100" t="s">
        <v>2405</v>
      </c>
    </row>
    <row r="167" spans="1:9">
      <c r="A167" s="95" t="s">
        <v>602</v>
      </c>
      <c r="B167" s="96" t="s">
        <v>2404</v>
      </c>
      <c r="C167" s="96" t="s">
        <v>1241</v>
      </c>
      <c r="D167" s="96" t="s">
        <v>1773</v>
      </c>
      <c r="E167" s="96" t="s">
        <v>2482</v>
      </c>
      <c r="F167" s="96" t="s">
        <v>2500</v>
      </c>
      <c r="G167" s="88">
        <v>0</v>
      </c>
      <c r="H167" s="91">
        <v>0</v>
      </c>
      <c r="I167" s="100" t="s">
        <v>2405</v>
      </c>
    </row>
    <row r="168" spans="1:9">
      <c r="A168" s="95" t="s">
        <v>602</v>
      </c>
      <c r="B168" s="96" t="s">
        <v>2404</v>
      </c>
      <c r="C168" s="96" t="s">
        <v>1241</v>
      </c>
      <c r="D168" s="96" t="s">
        <v>1775</v>
      </c>
      <c r="E168" s="96" t="s">
        <v>2484</v>
      </c>
      <c r="F168" s="96" t="s">
        <v>2501</v>
      </c>
      <c r="G168" s="88">
        <v>0</v>
      </c>
      <c r="H168" s="91">
        <v>0</v>
      </c>
      <c r="I168" s="100" t="s">
        <v>2405</v>
      </c>
    </row>
    <row r="169" spans="1:9">
      <c r="A169" s="95" t="s">
        <v>602</v>
      </c>
      <c r="B169" s="96" t="s">
        <v>2404</v>
      </c>
      <c r="C169" s="96" t="s">
        <v>1241</v>
      </c>
      <c r="D169" s="96" t="s">
        <v>2063</v>
      </c>
      <c r="E169" s="96" t="s">
        <v>2502</v>
      </c>
      <c r="F169" s="96" t="s">
        <v>2503</v>
      </c>
      <c r="G169" s="88">
        <v>245165572130</v>
      </c>
      <c r="H169" s="91">
        <v>245.16557212999999</v>
      </c>
      <c r="I169" s="100" t="s">
        <v>2405</v>
      </c>
    </row>
    <row r="170" spans="1:9">
      <c r="A170" s="95" t="s">
        <v>602</v>
      </c>
      <c r="B170" s="96" t="s">
        <v>2404</v>
      </c>
      <c r="C170" s="96" t="s">
        <v>1241</v>
      </c>
      <c r="D170" s="96" t="s">
        <v>1812</v>
      </c>
      <c r="E170" s="96" t="s">
        <v>2504</v>
      </c>
      <c r="F170" s="96" t="s">
        <v>2505</v>
      </c>
      <c r="G170" s="88">
        <v>0</v>
      </c>
      <c r="H170" s="91">
        <v>0</v>
      </c>
      <c r="I170" s="100" t="s">
        <v>2405</v>
      </c>
    </row>
    <row r="171" spans="1:9">
      <c r="A171" s="95" t="s">
        <v>602</v>
      </c>
      <c r="B171" s="96" t="s">
        <v>2404</v>
      </c>
      <c r="C171" s="96" t="s">
        <v>1241</v>
      </c>
      <c r="D171" s="96" t="s">
        <v>2506</v>
      </c>
      <c r="E171" s="96" t="s">
        <v>2507</v>
      </c>
      <c r="F171" s="96" t="s">
        <v>2508</v>
      </c>
      <c r="G171" s="88">
        <v>245165572130</v>
      </c>
      <c r="H171" s="91">
        <v>245.16557212999999</v>
      </c>
      <c r="I171" s="100" t="s">
        <v>2405</v>
      </c>
    </row>
    <row r="172" spans="1:9">
      <c r="A172" s="95" t="s">
        <v>602</v>
      </c>
      <c r="B172" s="96" t="s">
        <v>2404</v>
      </c>
      <c r="C172" s="96" t="s">
        <v>1241</v>
      </c>
      <c r="D172" s="96" t="s">
        <v>1824</v>
      </c>
      <c r="E172" s="96" t="s">
        <v>2509</v>
      </c>
      <c r="F172" s="96" t="s">
        <v>2510</v>
      </c>
      <c r="G172" s="88">
        <v>0</v>
      </c>
      <c r="H172" s="91">
        <v>0</v>
      </c>
      <c r="I172" s="100" t="s">
        <v>2405</v>
      </c>
    </row>
    <row r="173" spans="1:9">
      <c r="A173" s="95" t="s">
        <v>602</v>
      </c>
      <c r="B173" s="96" t="s">
        <v>2404</v>
      </c>
      <c r="C173" s="96" t="s">
        <v>1241</v>
      </c>
      <c r="D173" s="96" t="s">
        <v>2511</v>
      </c>
      <c r="E173" s="96" t="s">
        <v>2512</v>
      </c>
      <c r="F173" s="96" t="s">
        <v>2513</v>
      </c>
      <c r="G173" s="88">
        <v>0</v>
      </c>
      <c r="H173" s="91">
        <v>0</v>
      </c>
      <c r="I173" s="100" t="s">
        <v>2405</v>
      </c>
    </row>
    <row r="174" spans="1:9">
      <c r="A174" s="95" t="s">
        <v>602</v>
      </c>
      <c r="B174" s="96" t="s">
        <v>2404</v>
      </c>
      <c r="C174" s="96" t="s">
        <v>1241</v>
      </c>
      <c r="D174" s="96" t="s">
        <v>1836</v>
      </c>
      <c r="E174" s="96" t="s">
        <v>2514</v>
      </c>
      <c r="F174" s="96" t="s">
        <v>2515</v>
      </c>
      <c r="G174" s="88">
        <v>0</v>
      </c>
      <c r="H174" s="91">
        <v>0</v>
      </c>
      <c r="I174" s="100" t="s">
        <v>2405</v>
      </c>
    </row>
    <row r="175" spans="1:9">
      <c r="A175" s="95" t="s">
        <v>602</v>
      </c>
      <c r="B175" s="96" t="s">
        <v>2404</v>
      </c>
      <c r="C175" s="96" t="s">
        <v>1241</v>
      </c>
      <c r="D175" s="96" t="s">
        <v>74</v>
      </c>
      <c r="E175" s="96" t="s">
        <v>2064</v>
      </c>
      <c r="F175" s="96" t="s">
        <v>2516</v>
      </c>
      <c r="G175" s="88">
        <v>395223532870</v>
      </c>
      <c r="H175" s="91">
        <v>395.22353286999999</v>
      </c>
      <c r="I175" s="100" t="s">
        <v>2405</v>
      </c>
    </row>
    <row r="176" spans="1:9">
      <c r="A176" s="95" t="s">
        <v>602</v>
      </c>
      <c r="B176" s="96" t="s">
        <v>2404</v>
      </c>
      <c r="C176" s="96" t="s">
        <v>1241</v>
      </c>
      <c r="D176" s="96" t="s">
        <v>2517</v>
      </c>
      <c r="E176" s="96" t="s">
        <v>2518</v>
      </c>
      <c r="F176" s="96" t="s">
        <v>2519</v>
      </c>
      <c r="G176" s="88">
        <v>94346155484</v>
      </c>
      <c r="H176" s="91">
        <v>94.346155483999993</v>
      </c>
      <c r="I176" s="100" t="s">
        <v>2405</v>
      </c>
    </row>
    <row r="177" spans="1:9">
      <c r="A177" s="95" t="s">
        <v>602</v>
      </c>
      <c r="B177" s="96" t="s">
        <v>2404</v>
      </c>
      <c r="C177" s="96" t="s">
        <v>1241</v>
      </c>
      <c r="D177" s="96" t="s">
        <v>1828</v>
      </c>
      <c r="E177" s="96" t="s">
        <v>2520</v>
      </c>
      <c r="F177" s="96" t="s">
        <v>2521</v>
      </c>
      <c r="G177" s="88">
        <v>300877377386</v>
      </c>
      <c r="H177" s="91">
        <v>300.87737738599998</v>
      </c>
      <c r="I177" s="100" t="s">
        <v>2405</v>
      </c>
    </row>
    <row r="178" spans="1:9">
      <c r="A178" s="95" t="s">
        <v>602</v>
      </c>
      <c r="B178" s="96" t="s">
        <v>2404</v>
      </c>
      <c r="C178" s="96" t="s">
        <v>1241</v>
      </c>
      <c r="D178" s="96" t="s">
        <v>74</v>
      </c>
      <c r="E178" s="96" t="s">
        <v>2064</v>
      </c>
      <c r="F178" s="96" t="s">
        <v>2522</v>
      </c>
      <c r="G178" s="88">
        <v>0</v>
      </c>
      <c r="H178" s="91">
        <v>0</v>
      </c>
      <c r="I178" s="100" t="s">
        <v>2405</v>
      </c>
    </row>
    <row r="179" spans="1:9">
      <c r="A179" s="95" t="s">
        <v>602</v>
      </c>
      <c r="B179" s="96" t="s">
        <v>2404</v>
      </c>
      <c r="C179" s="96" t="s">
        <v>1241</v>
      </c>
      <c r="D179" s="96" t="s">
        <v>76</v>
      </c>
      <c r="E179" s="96" t="s">
        <v>75</v>
      </c>
      <c r="F179" s="96" t="s">
        <v>1643</v>
      </c>
      <c r="G179" s="88">
        <v>72679224714947</v>
      </c>
      <c r="H179" s="91">
        <v>72679.224714947006</v>
      </c>
      <c r="I179" s="100" t="s">
        <v>2405</v>
      </c>
    </row>
    <row r="180" spans="1:9">
      <c r="A180" s="95" t="s">
        <v>602</v>
      </c>
      <c r="B180" s="96" t="s">
        <v>2404</v>
      </c>
      <c r="C180" s="96" t="s">
        <v>1241</v>
      </c>
      <c r="D180" s="96" t="s">
        <v>2523</v>
      </c>
      <c r="E180" s="96" t="s">
        <v>487</v>
      </c>
      <c r="F180" s="96" t="s">
        <v>2524</v>
      </c>
      <c r="G180" s="88">
        <v>43010091137156</v>
      </c>
      <c r="H180" s="91">
        <v>43010.091137156</v>
      </c>
      <c r="I180" s="100" t="s">
        <v>2405</v>
      </c>
    </row>
    <row r="181" spans="1:9">
      <c r="A181" s="95" t="s">
        <v>602</v>
      </c>
      <c r="B181" s="96" t="s">
        <v>2404</v>
      </c>
      <c r="C181" s="96" t="s">
        <v>1241</v>
      </c>
      <c r="D181" s="96" t="s">
        <v>82</v>
      </c>
      <c r="E181" s="96" t="s">
        <v>2070</v>
      </c>
      <c r="F181" s="96" t="s">
        <v>2525</v>
      </c>
      <c r="G181" s="88">
        <v>43010091137156</v>
      </c>
      <c r="H181" s="91">
        <v>43010.091137156</v>
      </c>
      <c r="I181" s="100" t="s">
        <v>2405</v>
      </c>
    </row>
    <row r="182" spans="1:9">
      <c r="A182" s="95" t="s">
        <v>602</v>
      </c>
      <c r="B182" s="96" t="s">
        <v>2404</v>
      </c>
      <c r="C182" s="96" t="s">
        <v>1241</v>
      </c>
      <c r="D182" s="96" t="s">
        <v>2526</v>
      </c>
      <c r="E182" s="96" t="s">
        <v>2527</v>
      </c>
      <c r="F182" s="96" t="s">
        <v>2528</v>
      </c>
      <c r="G182" s="88">
        <v>26222186029667</v>
      </c>
      <c r="H182" s="91">
        <v>26222.186029666998</v>
      </c>
      <c r="I182" s="100" t="s">
        <v>2405</v>
      </c>
    </row>
    <row r="183" spans="1:9">
      <c r="A183" s="95" t="s">
        <v>602</v>
      </c>
      <c r="B183" s="96" t="s">
        <v>2404</v>
      </c>
      <c r="C183" s="96" t="s">
        <v>1241</v>
      </c>
      <c r="D183" s="96" t="s">
        <v>2529</v>
      </c>
      <c r="E183" s="96" t="s">
        <v>2530</v>
      </c>
      <c r="F183" s="96" t="s">
        <v>2531</v>
      </c>
      <c r="G183" s="88">
        <v>11308958826610</v>
      </c>
      <c r="H183" s="91">
        <v>11308.95882661</v>
      </c>
      <c r="I183" s="100" t="s">
        <v>2405</v>
      </c>
    </row>
    <row r="184" spans="1:9">
      <c r="A184" s="95" t="s">
        <v>602</v>
      </c>
      <c r="B184" s="96" t="s">
        <v>2404</v>
      </c>
      <c r="C184" s="96" t="s">
        <v>1241</v>
      </c>
      <c r="D184" s="96" t="s">
        <v>2532</v>
      </c>
      <c r="E184" s="96" t="s">
        <v>2533</v>
      </c>
      <c r="F184" s="96" t="s">
        <v>2534</v>
      </c>
      <c r="G184" s="88">
        <v>74354490258</v>
      </c>
      <c r="H184" s="91">
        <v>74.354490257999998</v>
      </c>
      <c r="I184" s="100" t="s">
        <v>2405</v>
      </c>
    </row>
    <row r="185" spans="1:9">
      <c r="A185" s="95" t="s">
        <v>602</v>
      </c>
      <c r="B185" s="96" t="s">
        <v>2404</v>
      </c>
      <c r="C185" s="96" t="s">
        <v>1241</v>
      </c>
      <c r="D185" s="96" t="s">
        <v>2535</v>
      </c>
      <c r="E185" s="96" t="s">
        <v>2536</v>
      </c>
      <c r="F185" s="96" t="s">
        <v>2537</v>
      </c>
      <c r="G185" s="88">
        <v>532077002204</v>
      </c>
      <c r="H185" s="91">
        <v>532.077002204</v>
      </c>
      <c r="I185" s="100" t="s">
        <v>2405</v>
      </c>
    </row>
    <row r="186" spans="1:9">
      <c r="A186" s="95" t="s">
        <v>602</v>
      </c>
      <c r="B186" s="96" t="s">
        <v>2404</v>
      </c>
      <c r="C186" s="96" t="s">
        <v>1241</v>
      </c>
      <c r="D186" s="96" t="s">
        <v>1846</v>
      </c>
      <c r="E186" s="96" t="s">
        <v>2538</v>
      </c>
      <c r="F186" s="96" t="s">
        <v>2539</v>
      </c>
      <c r="G186" s="88">
        <v>344955370721</v>
      </c>
      <c r="H186" s="91">
        <v>344.95537072100001</v>
      </c>
      <c r="I186" s="100" t="s">
        <v>2405</v>
      </c>
    </row>
    <row r="187" spans="1:9">
      <c r="A187" s="95" t="s">
        <v>602</v>
      </c>
      <c r="B187" s="96" t="s">
        <v>2404</v>
      </c>
      <c r="C187" s="96" t="s">
        <v>1241</v>
      </c>
      <c r="D187" s="96" t="s">
        <v>2540</v>
      </c>
      <c r="E187" s="96" t="s">
        <v>2541</v>
      </c>
      <c r="F187" s="96" t="s">
        <v>2542</v>
      </c>
      <c r="G187" s="88">
        <v>3376994911635</v>
      </c>
      <c r="H187" s="91">
        <v>3376.9949116349999</v>
      </c>
      <c r="I187" s="100" t="s">
        <v>2405</v>
      </c>
    </row>
    <row r="188" spans="1:9">
      <c r="A188" s="95" t="s">
        <v>602</v>
      </c>
      <c r="B188" s="96" t="s">
        <v>2404</v>
      </c>
      <c r="C188" s="96" t="s">
        <v>1241</v>
      </c>
      <c r="D188" s="96" t="s">
        <v>2543</v>
      </c>
      <c r="E188" s="96" t="s">
        <v>2544</v>
      </c>
      <c r="F188" s="96" t="s">
        <v>2545</v>
      </c>
      <c r="G188" s="88">
        <v>0</v>
      </c>
      <c r="H188" s="91">
        <v>0</v>
      </c>
      <c r="I188" s="100" t="s">
        <v>2405</v>
      </c>
    </row>
    <row r="189" spans="1:9">
      <c r="A189" s="95" t="s">
        <v>602</v>
      </c>
      <c r="B189" s="96" t="s">
        <v>2404</v>
      </c>
      <c r="C189" s="96" t="s">
        <v>1241</v>
      </c>
      <c r="D189" s="96" t="s">
        <v>2546</v>
      </c>
      <c r="E189" s="96" t="s">
        <v>2547</v>
      </c>
      <c r="F189" s="96" t="s">
        <v>2548</v>
      </c>
      <c r="G189" s="88">
        <v>0</v>
      </c>
      <c r="H189" s="91">
        <v>0</v>
      </c>
      <c r="I189" s="100" t="s">
        <v>2405</v>
      </c>
    </row>
    <row r="190" spans="1:9">
      <c r="A190" s="95" t="s">
        <v>602</v>
      </c>
      <c r="B190" s="96" t="s">
        <v>2404</v>
      </c>
      <c r="C190" s="96" t="s">
        <v>1241</v>
      </c>
      <c r="D190" s="96" t="s">
        <v>2549</v>
      </c>
      <c r="E190" s="96" t="s">
        <v>2550</v>
      </c>
      <c r="F190" s="96" t="s">
        <v>2551</v>
      </c>
      <c r="G190" s="88">
        <v>1034531981330</v>
      </c>
      <c r="H190" s="91">
        <v>1034.53198133</v>
      </c>
      <c r="I190" s="100" t="s">
        <v>2405</v>
      </c>
    </row>
    <row r="191" spans="1:9">
      <c r="A191" s="95" t="s">
        <v>602</v>
      </c>
      <c r="B191" s="96" t="s">
        <v>2404</v>
      </c>
      <c r="C191" s="96" t="s">
        <v>1241</v>
      </c>
      <c r="D191" s="96" t="s">
        <v>2552</v>
      </c>
      <c r="E191" s="96" t="s">
        <v>2553</v>
      </c>
      <c r="F191" s="96" t="s">
        <v>2554</v>
      </c>
      <c r="G191" s="88">
        <v>70239666911</v>
      </c>
      <c r="H191" s="91">
        <v>70.239666911</v>
      </c>
      <c r="I191" s="100" t="s">
        <v>2405</v>
      </c>
    </row>
    <row r="192" spans="1:9">
      <c r="A192" s="95" t="s">
        <v>602</v>
      </c>
      <c r="B192" s="96" t="s">
        <v>2404</v>
      </c>
      <c r="C192" s="96" t="s">
        <v>1241</v>
      </c>
      <c r="D192" s="96" t="s">
        <v>2555</v>
      </c>
      <c r="E192" s="96" t="s">
        <v>2556</v>
      </c>
      <c r="F192" s="96" t="s">
        <v>2557</v>
      </c>
      <c r="G192" s="88">
        <v>0</v>
      </c>
      <c r="H192" s="91">
        <v>0</v>
      </c>
      <c r="I192" s="100" t="s">
        <v>2405</v>
      </c>
    </row>
    <row r="193" spans="1:9">
      <c r="A193" s="95" t="s">
        <v>602</v>
      </c>
      <c r="B193" s="96" t="s">
        <v>2404</v>
      </c>
      <c r="C193" s="96" t="s">
        <v>1241</v>
      </c>
      <c r="D193" s="96" t="s">
        <v>86</v>
      </c>
      <c r="E193" s="96" t="s">
        <v>2073</v>
      </c>
      <c r="F193" s="96" t="s">
        <v>2558</v>
      </c>
      <c r="G193" s="88">
        <v>0</v>
      </c>
      <c r="H193" s="91">
        <v>0</v>
      </c>
      <c r="I193" s="100" t="s">
        <v>2405</v>
      </c>
    </row>
    <row r="194" spans="1:9">
      <c r="A194" s="95" t="s">
        <v>602</v>
      </c>
      <c r="B194" s="96" t="s">
        <v>2404</v>
      </c>
      <c r="C194" s="96" t="s">
        <v>1241</v>
      </c>
      <c r="D194" s="96" t="s">
        <v>1866</v>
      </c>
      <c r="E194" s="96" t="s">
        <v>2559</v>
      </c>
      <c r="F194" s="96" t="s">
        <v>2560</v>
      </c>
      <c r="G194" s="88">
        <v>0</v>
      </c>
      <c r="H194" s="91">
        <v>0</v>
      </c>
      <c r="I194" s="100" t="s">
        <v>2405</v>
      </c>
    </row>
    <row r="195" spans="1:9">
      <c r="A195" s="95" t="s">
        <v>602</v>
      </c>
      <c r="B195" s="96" t="s">
        <v>2404</v>
      </c>
      <c r="C195" s="96" t="s">
        <v>1241</v>
      </c>
      <c r="D195" s="96" t="s">
        <v>2561</v>
      </c>
      <c r="E195" s="96" t="s">
        <v>2562</v>
      </c>
      <c r="F195" s="96" t="s">
        <v>2563</v>
      </c>
      <c r="G195" s="88">
        <v>0</v>
      </c>
      <c r="H195" s="91">
        <v>0</v>
      </c>
      <c r="I195" s="100" t="s">
        <v>2405</v>
      </c>
    </row>
    <row r="196" spans="1:9">
      <c r="A196" s="95" t="s">
        <v>602</v>
      </c>
      <c r="B196" s="96" t="s">
        <v>2404</v>
      </c>
      <c r="C196" s="96" t="s">
        <v>1241</v>
      </c>
      <c r="D196" s="96" t="s">
        <v>2564</v>
      </c>
      <c r="E196" s="96" t="s">
        <v>2565</v>
      </c>
      <c r="F196" s="96" t="s">
        <v>2566</v>
      </c>
      <c r="G196" s="88">
        <v>0</v>
      </c>
      <c r="H196" s="91">
        <v>0</v>
      </c>
      <c r="I196" s="100" t="s">
        <v>2405</v>
      </c>
    </row>
    <row r="197" spans="1:9">
      <c r="A197" s="95" t="s">
        <v>602</v>
      </c>
      <c r="B197" s="96" t="s">
        <v>2404</v>
      </c>
      <c r="C197" s="96" t="s">
        <v>1241</v>
      </c>
      <c r="D197" s="96" t="s">
        <v>2567</v>
      </c>
      <c r="E197" s="96" t="s">
        <v>2568</v>
      </c>
      <c r="F197" s="96" t="s">
        <v>2569</v>
      </c>
      <c r="G197" s="88">
        <v>0</v>
      </c>
      <c r="H197" s="91">
        <v>0</v>
      </c>
      <c r="I197" s="100" t="s">
        <v>2405</v>
      </c>
    </row>
    <row r="198" spans="1:9">
      <c r="A198" s="95" t="s">
        <v>602</v>
      </c>
      <c r="B198" s="96" t="s">
        <v>2404</v>
      </c>
      <c r="C198" s="96" t="s">
        <v>1241</v>
      </c>
      <c r="D198" s="96" t="s">
        <v>1886</v>
      </c>
      <c r="E198" s="96" t="s">
        <v>2570</v>
      </c>
      <c r="F198" s="96" t="s">
        <v>2521</v>
      </c>
      <c r="G198" s="88">
        <v>0</v>
      </c>
      <c r="H198" s="91">
        <v>0</v>
      </c>
      <c r="I198" s="100" t="s">
        <v>2405</v>
      </c>
    </row>
    <row r="199" spans="1:9">
      <c r="A199" s="95" t="s">
        <v>602</v>
      </c>
      <c r="B199" s="96" t="s">
        <v>2404</v>
      </c>
      <c r="C199" s="96" t="s">
        <v>1241</v>
      </c>
      <c r="D199" s="96" t="s">
        <v>1892</v>
      </c>
      <c r="E199" s="96" t="s">
        <v>2571</v>
      </c>
      <c r="F199" s="96" t="s">
        <v>2572</v>
      </c>
      <c r="G199" s="88">
        <v>0</v>
      </c>
      <c r="H199" s="91">
        <v>0</v>
      </c>
      <c r="I199" s="100" t="s">
        <v>2405</v>
      </c>
    </row>
    <row r="200" spans="1:9">
      <c r="A200" s="95" t="s">
        <v>602</v>
      </c>
      <c r="B200" s="96" t="s">
        <v>2404</v>
      </c>
      <c r="C200" s="96" t="s">
        <v>1241</v>
      </c>
      <c r="D200" s="96" t="s">
        <v>1888</v>
      </c>
      <c r="E200" s="96" t="s">
        <v>2573</v>
      </c>
      <c r="F200" s="96" t="s">
        <v>2574</v>
      </c>
      <c r="G200" s="88">
        <v>0</v>
      </c>
      <c r="H200" s="91">
        <v>0</v>
      </c>
      <c r="I200" s="100" t="s">
        <v>2405</v>
      </c>
    </row>
    <row r="201" spans="1:9">
      <c r="A201" s="95" t="s">
        <v>602</v>
      </c>
      <c r="B201" s="96" t="s">
        <v>2404</v>
      </c>
      <c r="C201" s="96" t="s">
        <v>1241</v>
      </c>
      <c r="D201" s="96" t="s">
        <v>2575</v>
      </c>
      <c r="E201" s="96" t="s">
        <v>2576</v>
      </c>
      <c r="F201" s="96" t="s">
        <v>2577</v>
      </c>
      <c r="G201" s="88">
        <v>0</v>
      </c>
      <c r="H201" s="91">
        <v>0</v>
      </c>
      <c r="I201" s="100" t="s">
        <v>2405</v>
      </c>
    </row>
    <row r="202" spans="1:9">
      <c r="A202" s="95" t="s">
        <v>602</v>
      </c>
      <c r="B202" s="96" t="s">
        <v>2404</v>
      </c>
      <c r="C202" s="96" t="s">
        <v>1241</v>
      </c>
      <c r="D202" s="96" t="s">
        <v>2578</v>
      </c>
      <c r="E202" s="96" t="s">
        <v>2579</v>
      </c>
      <c r="F202" s="96" t="s">
        <v>2580</v>
      </c>
      <c r="G202" s="88">
        <v>0</v>
      </c>
      <c r="H202" s="91">
        <v>0</v>
      </c>
      <c r="I202" s="100" t="s">
        <v>2405</v>
      </c>
    </row>
    <row r="203" spans="1:9">
      <c r="A203" s="95" t="s">
        <v>602</v>
      </c>
      <c r="B203" s="96" t="s">
        <v>2404</v>
      </c>
      <c r="C203" s="96" t="s">
        <v>1241</v>
      </c>
      <c r="D203" s="96" t="s">
        <v>2581</v>
      </c>
      <c r="E203" s="96" t="s">
        <v>2582</v>
      </c>
      <c r="F203" s="96" t="s">
        <v>2583</v>
      </c>
      <c r="G203" s="88">
        <v>29669133577791</v>
      </c>
      <c r="H203" s="91">
        <v>29669.133577790999</v>
      </c>
      <c r="I203" s="100" t="s">
        <v>2405</v>
      </c>
    </row>
    <row r="204" spans="1:9">
      <c r="A204" s="95" t="s">
        <v>602</v>
      </c>
      <c r="B204" s="96" t="s">
        <v>2404</v>
      </c>
      <c r="C204" s="96" t="s">
        <v>1241</v>
      </c>
      <c r="D204" s="96" t="s">
        <v>2584</v>
      </c>
      <c r="E204" s="96" t="s">
        <v>2585</v>
      </c>
      <c r="F204" s="96" t="s">
        <v>2586</v>
      </c>
      <c r="G204" s="88">
        <v>29669133577791</v>
      </c>
      <c r="H204" s="91">
        <v>29669.133577790999</v>
      </c>
      <c r="I204" s="100" t="s">
        <v>2405</v>
      </c>
    </row>
    <row r="205" spans="1:9">
      <c r="A205" s="95" t="s">
        <v>602</v>
      </c>
      <c r="B205" s="96" t="s">
        <v>2404</v>
      </c>
      <c r="C205" s="96" t="s">
        <v>1241</v>
      </c>
      <c r="D205" s="96" t="s">
        <v>2587</v>
      </c>
      <c r="E205" s="96" t="s">
        <v>2588</v>
      </c>
      <c r="F205" s="96" t="s">
        <v>2589</v>
      </c>
      <c r="G205" s="88">
        <v>14622441770000</v>
      </c>
      <c r="H205" s="91">
        <v>14622.441769999999</v>
      </c>
      <c r="I205" s="100" t="s">
        <v>2405</v>
      </c>
    </row>
    <row r="206" spans="1:9">
      <c r="A206" s="95" t="s">
        <v>602</v>
      </c>
      <c r="B206" s="96" t="s">
        <v>2404</v>
      </c>
      <c r="C206" s="96" t="s">
        <v>1241</v>
      </c>
      <c r="D206" s="96" t="s">
        <v>1900</v>
      </c>
      <c r="E206" s="96" t="s">
        <v>2590</v>
      </c>
      <c r="F206" s="96" t="s">
        <v>2591</v>
      </c>
      <c r="G206" s="88">
        <v>558110430986</v>
      </c>
      <c r="H206" s="91">
        <v>558.11043098599998</v>
      </c>
      <c r="I206" s="100" t="s">
        <v>2405</v>
      </c>
    </row>
    <row r="207" spans="1:9">
      <c r="A207" s="95" t="s">
        <v>602</v>
      </c>
      <c r="B207" s="96" t="s">
        <v>2404</v>
      </c>
      <c r="C207" s="96" t="s">
        <v>1241</v>
      </c>
      <c r="D207" s="96" t="s">
        <v>2592</v>
      </c>
      <c r="E207" s="96" t="s">
        <v>2593</v>
      </c>
      <c r="F207" s="96" t="s">
        <v>2594</v>
      </c>
      <c r="G207" s="88">
        <v>0</v>
      </c>
      <c r="H207" s="91">
        <v>0</v>
      </c>
      <c r="I207" s="100" t="s">
        <v>2405</v>
      </c>
    </row>
    <row r="208" spans="1:9">
      <c r="A208" s="95" t="s">
        <v>602</v>
      </c>
      <c r="B208" s="96" t="s">
        <v>2404</v>
      </c>
      <c r="C208" s="96" t="s">
        <v>1241</v>
      </c>
      <c r="D208" s="96" t="s">
        <v>1906</v>
      </c>
      <c r="E208" s="96" t="s">
        <v>2595</v>
      </c>
      <c r="F208" s="96" t="s">
        <v>2596</v>
      </c>
      <c r="G208" s="88">
        <v>-7599680000</v>
      </c>
      <c r="H208" s="91">
        <v>-7.5996800000000002</v>
      </c>
      <c r="I208" s="100" t="s">
        <v>2405</v>
      </c>
    </row>
    <row r="209" spans="1:9">
      <c r="A209" s="95" t="s">
        <v>602</v>
      </c>
      <c r="B209" s="96" t="s">
        <v>2404</v>
      </c>
      <c r="C209" s="96" t="s">
        <v>1241</v>
      </c>
      <c r="D209" s="96" t="s">
        <v>2597</v>
      </c>
      <c r="E209" s="96" t="s">
        <v>2598</v>
      </c>
      <c r="F209" s="96" t="s">
        <v>2599</v>
      </c>
      <c r="G209" s="88">
        <v>0</v>
      </c>
      <c r="H209" s="91">
        <v>0</v>
      </c>
      <c r="I209" s="100" t="s">
        <v>2405</v>
      </c>
    </row>
    <row r="210" spans="1:9">
      <c r="A210" s="95" t="s">
        <v>602</v>
      </c>
      <c r="B210" s="96" t="s">
        <v>2404</v>
      </c>
      <c r="C210" s="96" t="s">
        <v>1241</v>
      </c>
      <c r="D210" s="96" t="s">
        <v>1910</v>
      </c>
      <c r="E210" s="96" t="s">
        <v>2600</v>
      </c>
      <c r="F210" s="96" t="s">
        <v>2601</v>
      </c>
      <c r="G210" s="88">
        <v>2458384629</v>
      </c>
      <c r="H210" s="91">
        <v>2.4583846290000002</v>
      </c>
      <c r="I210" s="100" t="s">
        <v>2405</v>
      </c>
    </row>
    <row r="211" spans="1:9">
      <c r="A211" s="95" t="s">
        <v>602</v>
      </c>
      <c r="B211" s="96" t="s">
        <v>2404</v>
      </c>
      <c r="C211" s="96" t="s">
        <v>1241</v>
      </c>
      <c r="D211" s="96" t="s">
        <v>2602</v>
      </c>
      <c r="E211" s="96" t="s">
        <v>2603</v>
      </c>
      <c r="F211" s="96" t="s">
        <v>2604</v>
      </c>
      <c r="G211" s="88">
        <v>0</v>
      </c>
      <c r="H211" s="91">
        <v>0</v>
      </c>
      <c r="I211" s="100" t="s">
        <v>2405</v>
      </c>
    </row>
    <row r="212" spans="1:9">
      <c r="A212" s="95" t="s">
        <v>602</v>
      </c>
      <c r="B212" s="96" t="s">
        <v>2404</v>
      </c>
      <c r="C212" s="96" t="s">
        <v>1241</v>
      </c>
      <c r="D212" s="96" t="s">
        <v>2605</v>
      </c>
      <c r="E212" s="96" t="s">
        <v>2606</v>
      </c>
      <c r="F212" s="96" t="s">
        <v>2607</v>
      </c>
      <c r="G212" s="88">
        <v>0</v>
      </c>
      <c r="H212" s="91">
        <v>0</v>
      </c>
      <c r="I212" s="100" t="s">
        <v>2405</v>
      </c>
    </row>
    <row r="213" spans="1:9">
      <c r="A213" s="95" t="s">
        <v>602</v>
      </c>
      <c r="B213" s="96" t="s">
        <v>2404</v>
      </c>
      <c r="C213" s="96" t="s">
        <v>1241</v>
      </c>
      <c r="D213" s="96" t="s">
        <v>2608</v>
      </c>
      <c r="E213" s="96" t="s">
        <v>2609</v>
      </c>
      <c r="F213" s="96" t="s">
        <v>2610</v>
      </c>
      <c r="G213" s="88">
        <v>0</v>
      </c>
      <c r="H213" s="91">
        <v>0</v>
      </c>
      <c r="I213" s="100" t="s">
        <v>2405</v>
      </c>
    </row>
    <row r="214" spans="1:9">
      <c r="A214" s="95" t="s">
        <v>602</v>
      </c>
      <c r="B214" s="96" t="s">
        <v>2404</v>
      </c>
      <c r="C214" s="96" t="s">
        <v>1241</v>
      </c>
      <c r="D214" s="96" t="s">
        <v>2611</v>
      </c>
      <c r="E214" s="96" t="s">
        <v>2612</v>
      </c>
      <c r="F214" s="96" t="s">
        <v>2613</v>
      </c>
      <c r="G214" s="88">
        <v>14128082357783</v>
      </c>
      <c r="H214" s="91">
        <v>14128.082357783</v>
      </c>
      <c r="I214" s="100" t="s">
        <v>2405</v>
      </c>
    </row>
    <row r="215" spans="1:9">
      <c r="A215" s="95" t="s">
        <v>602</v>
      </c>
      <c r="B215" s="96" t="s">
        <v>2404</v>
      </c>
      <c r="C215" s="96" t="s">
        <v>1241</v>
      </c>
      <c r="D215" s="96" t="s">
        <v>2614</v>
      </c>
      <c r="E215" s="96" t="s">
        <v>2615</v>
      </c>
      <c r="F215" s="96" t="s">
        <v>2616</v>
      </c>
      <c r="G215" s="88">
        <v>0</v>
      </c>
      <c r="H215" s="91">
        <v>0</v>
      </c>
      <c r="I215" s="100" t="s">
        <v>2405</v>
      </c>
    </row>
    <row r="216" spans="1:9">
      <c r="A216" s="95" t="s">
        <v>602</v>
      </c>
      <c r="B216" s="96" t="s">
        <v>2404</v>
      </c>
      <c r="C216" s="96" t="s">
        <v>1241</v>
      </c>
      <c r="D216" s="96" t="s">
        <v>2617</v>
      </c>
      <c r="E216" s="96" t="s">
        <v>2618</v>
      </c>
      <c r="F216" s="96" t="s">
        <v>2619</v>
      </c>
      <c r="G216" s="88">
        <v>0</v>
      </c>
      <c r="H216" s="91">
        <v>0</v>
      </c>
      <c r="I216" s="100" t="s">
        <v>2405</v>
      </c>
    </row>
    <row r="217" spans="1:9">
      <c r="A217" s="95" t="s">
        <v>602</v>
      </c>
      <c r="B217" s="96" t="s">
        <v>2404</v>
      </c>
      <c r="C217" s="96" t="s">
        <v>1241</v>
      </c>
      <c r="D217" s="96" t="s">
        <v>2620</v>
      </c>
      <c r="E217" s="96" t="s">
        <v>2621</v>
      </c>
      <c r="F217" s="96" t="s">
        <v>2622</v>
      </c>
      <c r="G217" s="88">
        <v>0</v>
      </c>
      <c r="H217" s="91">
        <v>0</v>
      </c>
      <c r="I217" s="100" t="s">
        <v>2405</v>
      </c>
    </row>
    <row r="218" spans="1:9">
      <c r="A218" s="95" t="s">
        <v>602</v>
      </c>
      <c r="B218" s="96" t="s">
        <v>2404</v>
      </c>
      <c r="C218" s="96" t="s">
        <v>1241</v>
      </c>
      <c r="D218" s="96" t="s">
        <v>2617</v>
      </c>
      <c r="E218" s="96" t="s">
        <v>2618</v>
      </c>
      <c r="F218" s="96" t="s">
        <v>2623</v>
      </c>
      <c r="G218" s="88">
        <v>0</v>
      </c>
      <c r="H218" s="91">
        <v>0</v>
      </c>
      <c r="I218" s="100" t="s">
        <v>2405</v>
      </c>
    </row>
    <row r="219" spans="1:9">
      <c r="A219" s="95" t="s">
        <v>602</v>
      </c>
      <c r="B219" s="96" t="s">
        <v>2404</v>
      </c>
      <c r="C219" s="96" t="s">
        <v>1241</v>
      </c>
      <c r="D219" s="96" t="s">
        <v>2624</v>
      </c>
      <c r="E219" s="96" t="s">
        <v>2625</v>
      </c>
      <c r="F219" s="96" t="s">
        <v>1631</v>
      </c>
      <c r="G219" s="88">
        <v>0</v>
      </c>
      <c r="H219" s="91">
        <v>0</v>
      </c>
      <c r="I219" s="100" t="s">
        <v>2405</v>
      </c>
    </row>
    <row r="220" spans="1:9">
      <c r="A220" s="95" t="s">
        <v>602</v>
      </c>
      <c r="B220" s="96" t="s">
        <v>2404</v>
      </c>
      <c r="C220" s="96" t="s">
        <v>1241</v>
      </c>
      <c r="D220" s="96" t="s">
        <v>2626</v>
      </c>
      <c r="E220" s="96" t="s">
        <v>2627</v>
      </c>
      <c r="F220" s="96" t="s">
        <v>2628</v>
      </c>
      <c r="G220" s="88">
        <v>72679224714947</v>
      </c>
      <c r="H220" s="91">
        <v>72679.224714947006</v>
      </c>
      <c r="I220" s="100" t="s">
        <v>2405</v>
      </c>
    </row>
    <row r="221" spans="1:9">
      <c r="A221" s="95" t="s">
        <v>602</v>
      </c>
      <c r="B221" s="96" t="s">
        <v>2404</v>
      </c>
      <c r="C221" s="96" t="s">
        <v>1241</v>
      </c>
      <c r="D221" s="96" t="s">
        <v>2629</v>
      </c>
      <c r="E221" s="96" t="s">
        <v>2630</v>
      </c>
      <c r="F221" s="96" t="s">
        <v>2631</v>
      </c>
      <c r="G221" s="88">
        <v>0</v>
      </c>
      <c r="H221" s="91">
        <v>0</v>
      </c>
      <c r="I221" s="100" t="s">
        <v>2405</v>
      </c>
    </row>
    <row r="222" spans="1:9">
      <c r="A222" s="95" t="s">
        <v>602</v>
      </c>
      <c r="B222" s="96" t="s">
        <v>2404</v>
      </c>
      <c r="C222" s="96" t="s">
        <v>1241</v>
      </c>
      <c r="D222" s="96" t="s">
        <v>2632</v>
      </c>
      <c r="E222" s="96" t="s">
        <v>2633</v>
      </c>
      <c r="F222" s="96" t="s">
        <v>2634</v>
      </c>
      <c r="G222" s="88">
        <v>32390515015620</v>
      </c>
      <c r="H222" s="91">
        <v>32390.51501562</v>
      </c>
      <c r="I222" s="100" t="s">
        <v>2405</v>
      </c>
    </row>
    <row r="223" spans="1:9">
      <c r="A223" s="95" t="s">
        <v>602</v>
      </c>
      <c r="B223" s="96" t="s">
        <v>2404</v>
      </c>
      <c r="C223" s="96" t="s">
        <v>1241</v>
      </c>
      <c r="D223" s="96" t="s">
        <v>2635</v>
      </c>
      <c r="E223" s="96" t="s">
        <v>2636</v>
      </c>
      <c r="F223" s="96" t="s">
        <v>2637</v>
      </c>
      <c r="G223" s="88">
        <v>0</v>
      </c>
      <c r="H223" s="91">
        <v>0</v>
      </c>
      <c r="I223" s="100" t="s">
        <v>2405</v>
      </c>
    </row>
    <row r="224" spans="1:9">
      <c r="A224" s="95" t="s">
        <v>602</v>
      </c>
      <c r="B224" s="96" t="s">
        <v>2404</v>
      </c>
      <c r="C224" s="96" t="s">
        <v>1241</v>
      </c>
      <c r="D224" s="96" t="s">
        <v>2638</v>
      </c>
      <c r="E224" s="96" t="s">
        <v>2639</v>
      </c>
      <c r="F224" s="96" t="s">
        <v>2640</v>
      </c>
      <c r="G224" s="88">
        <v>0</v>
      </c>
      <c r="H224" s="91">
        <v>0</v>
      </c>
      <c r="I224" s="100" t="s">
        <v>2405</v>
      </c>
    </row>
    <row r="225" spans="1:9">
      <c r="A225" s="95" t="s">
        <v>602</v>
      </c>
      <c r="B225" s="96" t="s">
        <v>2404</v>
      </c>
      <c r="C225" s="96" t="s">
        <v>1241</v>
      </c>
      <c r="D225" s="96" t="s">
        <v>2641</v>
      </c>
      <c r="E225" s="96" t="s">
        <v>2642</v>
      </c>
      <c r="F225" s="96" t="s">
        <v>2643</v>
      </c>
      <c r="G225" s="88">
        <v>6972000000000</v>
      </c>
      <c r="H225" s="91">
        <v>6972</v>
      </c>
      <c r="I225" s="100" t="s">
        <v>2405</v>
      </c>
    </row>
    <row r="226" spans="1:9">
      <c r="A226" s="95" t="s">
        <v>602</v>
      </c>
      <c r="B226" s="96" t="s">
        <v>2404</v>
      </c>
      <c r="C226" s="96" t="s">
        <v>1241</v>
      </c>
      <c r="D226" s="96" t="s">
        <v>2644</v>
      </c>
      <c r="E226" s="96" t="s">
        <v>2645</v>
      </c>
      <c r="F226" s="96" t="s">
        <v>2646</v>
      </c>
      <c r="G226" s="88">
        <v>0</v>
      </c>
      <c r="H226" s="91">
        <v>0</v>
      </c>
      <c r="I226" s="100" t="s">
        <v>2405</v>
      </c>
    </row>
    <row r="227" spans="1:9">
      <c r="A227" s="95" t="s">
        <v>602</v>
      </c>
      <c r="B227" s="96" t="s">
        <v>2404</v>
      </c>
      <c r="C227" s="96" t="s">
        <v>1241</v>
      </c>
      <c r="D227" s="96" t="s">
        <v>1759</v>
      </c>
      <c r="E227" s="96" t="s">
        <v>2647</v>
      </c>
      <c r="F227" s="96" t="s">
        <v>2648</v>
      </c>
      <c r="G227" s="88">
        <v>0</v>
      </c>
      <c r="H227" s="91">
        <v>0</v>
      </c>
      <c r="I227" s="100" t="s">
        <v>2405</v>
      </c>
    </row>
    <row r="228" spans="1:9">
      <c r="A228" s="95" t="s">
        <v>602</v>
      </c>
      <c r="B228" s="96" t="s">
        <v>2404</v>
      </c>
      <c r="C228" s="96" t="s">
        <v>1241</v>
      </c>
      <c r="D228" s="96" t="s">
        <v>2649</v>
      </c>
      <c r="E228" s="96" t="s">
        <v>2650</v>
      </c>
      <c r="F228" s="96" t="s">
        <v>2651</v>
      </c>
      <c r="G228" s="88">
        <v>0</v>
      </c>
      <c r="H228" s="91">
        <v>0</v>
      </c>
      <c r="I228" s="100" t="s">
        <v>2405</v>
      </c>
    </row>
    <row r="229" spans="1:9">
      <c r="A229" s="95" t="s">
        <v>602</v>
      </c>
      <c r="B229" s="96" t="s">
        <v>2404</v>
      </c>
      <c r="C229" s="96" t="s">
        <v>1241</v>
      </c>
      <c r="D229" s="96" t="s">
        <v>2652</v>
      </c>
      <c r="E229" s="96" t="s">
        <v>2653</v>
      </c>
      <c r="F229" s="96" t="s">
        <v>2654</v>
      </c>
      <c r="G229" s="88">
        <v>56354717820</v>
      </c>
      <c r="H229" s="91">
        <v>56.354717819999998</v>
      </c>
      <c r="I229" s="100" t="s">
        <v>2405</v>
      </c>
    </row>
    <row r="230" spans="1:9">
      <c r="A230" s="95" t="s">
        <v>602</v>
      </c>
      <c r="B230" s="96" t="s">
        <v>2404</v>
      </c>
      <c r="C230" s="96" t="s">
        <v>1241</v>
      </c>
      <c r="D230" s="96" t="s">
        <v>2655</v>
      </c>
      <c r="E230" s="96" t="s">
        <v>2656</v>
      </c>
      <c r="F230" s="96" t="s">
        <v>2657</v>
      </c>
      <c r="G230" s="88">
        <v>0</v>
      </c>
      <c r="H230" s="91">
        <v>0</v>
      </c>
      <c r="I230" s="100" t="s">
        <v>2405</v>
      </c>
    </row>
    <row r="231" spans="1:9">
      <c r="A231" s="95" t="s">
        <v>602</v>
      </c>
      <c r="B231" s="96" t="s">
        <v>2404</v>
      </c>
      <c r="C231" s="96" t="s">
        <v>1241</v>
      </c>
      <c r="D231" s="96" t="s">
        <v>2632</v>
      </c>
      <c r="E231" s="96" t="s">
        <v>2633</v>
      </c>
      <c r="F231" s="96" t="s">
        <v>2634</v>
      </c>
      <c r="G231" s="88">
        <v>0</v>
      </c>
      <c r="H231" s="91">
        <v>0</v>
      </c>
      <c r="I231" s="100" t="s">
        <v>2405</v>
      </c>
    </row>
    <row r="232" spans="1:9">
      <c r="A232" s="95" t="s">
        <v>602</v>
      </c>
      <c r="B232" s="96" t="s">
        <v>2404</v>
      </c>
      <c r="C232" s="96" t="s">
        <v>1241</v>
      </c>
      <c r="D232" s="96" t="s">
        <v>2658</v>
      </c>
      <c r="E232" s="96" t="s">
        <v>2659</v>
      </c>
      <c r="F232" s="96" t="s">
        <v>2660</v>
      </c>
      <c r="G232" s="88">
        <v>0</v>
      </c>
      <c r="H232" s="91">
        <v>0</v>
      </c>
      <c r="I232" s="100" t="s">
        <v>2405</v>
      </c>
    </row>
    <row r="233" spans="1:9">
      <c r="A233" s="95" t="s">
        <v>602</v>
      </c>
      <c r="B233" s="96" t="s">
        <v>2404</v>
      </c>
      <c r="C233" s="96" t="s">
        <v>1241</v>
      </c>
      <c r="D233" s="96" t="s">
        <v>2661</v>
      </c>
      <c r="E233" s="96" t="s">
        <v>2662</v>
      </c>
      <c r="F233" s="96" t="s">
        <v>2663</v>
      </c>
      <c r="G233" s="88">
        <v>45792857820</v>
      </c>
      <c r="H233" s="91">
        <v>45.792857820000002</v>
      </c>
      <c r="I233" s="100" t="s">
        <v>2405</v>
      </c>
    </row>
    <row r="234" spans="1:9">
      <c r="A234" s="95" t="s">
        <v>602</v>
      </c>
      <c r="B234" s="96" t="s">
        <v>2404</v>
      </c>
      <c r="C234" s="96" t="s">
        <v>1241</v>
      </c>
      <c r="D234" s="96" t="s">
        <v>1862</v>
      </c>
      <c r="E234" s="96" t="s">
        <v>2664</v>
      </c>
      <c r="F234" s="96" t="s">
        <v>2665</v>
      </c>
      <c r="G234" s="88">
        <v>0</v>
      </c>
      <c r="H234" s="91">
        <v>0</v>
      </c>
      <c r="I234" s="100" t="s">
        <v>2405</v>
      </c>
    </row>
    <row r="235" spans="1:9">
      <c r="A235" s="95" t="s">
        <v>602</v>
      </c>
      <c r="B235" s="96" t="s">
        <v>2404</v>
      </c>
      <c r="C235" s="96" t="s">
        <v>1241</v>
      </c>
      <c r="D235" s="96" t="s">
        <v>2644</v>
      </c>
      <c r="E235" s="96" t="s">
        <v>2645</v>
      </c>
      <c r="F235" s="96" t="s">
        <v>2666</v>
      </c>
      <c r="G235" s="88">
        <v>0</v>
      </c>
      <c r="H235" s="91">
        <v>0</v>
      </c>
      <c r="I235" s="100" t="s">
        <v>2405</v>
      </c>
    </row>
    <row r="236" spans="1:9">
      <c r="A236" s="95" t="s">
        <v>602</v>
      </c>
      <c r="B236" s="96" t="s">
        <v>2404</v>
      </c>
      <c r="C236" s="96" t="s">
        <v>1241</v>
      </c>
      <c r="D236" s="96" t="s">
        <v>1868</v>
      </c>
      <c r="E236" s="96" t="s">
        <v>2667</v>
      </c>
      <c r="F236" s="96" t="s">
        <v>2668</v>
      </c>
      <c r="G236" s="88">
        <v>0</v>
      </c>
      <c r="H236" s="91">
        <v>0</v>
      </c>
      <c r="I236" s="100" t="s">
        <v>2405</v>
      </c>
    </row>
    <row r="237" spans="1:9">
      <c r="A237" s="95" t="s">
        <v>602</v>
      </c>
      <c r="B237" s="96" t="s">
        <v>2404</v>
      </c>
      <c r="C237" s="96" t="s">
        <v>1241</v>
      </c>
      <c r="D237" s="96" t="s">
        <v>1872</v>
      </c>
      <c r="E237" s="96" t="s">
        <v>2669</v>
      </c>
      <c r="F237" s="96" t="s">
        <v>2670</v>
      </c>
      <c r="G237" s="88">
        <v>0</v>
      </c>
      <c r="H237" s="91">
        <v>0</v>
      </c>
      <c r="I237" s="100" t="s">
        <v>2405</v>
      </c>
    </row>
    <row r="238" spans="1:9">
      <c r="A238" s="95" t="s">
        <v>602</v>
      </c>
      <c r="B238" s="96" t="s">
        <v>2404</v>
      </c>
      <c r="C238" s="96" t="s">
        <v>1241</v>
      </c>
      <c r="D238" s="96" t="s">
        <v>2671</v>
      </c>
      <c r="E238" s="96" t="s">
        <v>2672</v>
      </c>
      <c r="F238" s="96" t="s">
        <v>2673</v>
      </c>
      <c r="G238" s="88">
        <v>0</v>
      </c>
      <c r="H238" s="91">
        <v>0</v>
      </c>
      <c r="I238" s="100" t="s">
        <v>2405</v>
      </c>
    </row>
    <row r="239" spans="1:9">
      <c r="A239" s="95" t="s">
        <v>602</v>
      </c>
      <c r="B239" s="96" t="s">
        <v>2404</v>
      </c>
      <c r="C239" s="96" t="s">
        <v>1241</v>
      </c>
      <c r="D239" s="96" t="s">
        <v>1882</v>
      </c>
      <c r="E239" s="96" t="s">
        <v>2674</v>
      </c>
      <c r="F239" s="96" t="s">
        <v>2675</v>
      </c>
      <c r="G239" s="88">
        <v>0</v>
      </c>
      <c r="H239" s="91">
        <v>0</v>
      </c>
      <c r="I239" s="100" t="s">
        <v>2405</v>
      </c>
    </row>
    <row r="240" spans="1:9">
      <c r="A240" s="95" t="s">
        <v>602</v>
      </c>
      <c r="B240" s="96" t="s">
        <v>2404</v>
      </c>
      <c r="C240" s="96" t="s">
        <v>1241</v>
      </c>
      <c r="D240" s="96" t="s">
        <v>2629</v>
      </c>
      <c r="E240" s="96" t="s">
        <v>2630</v>
      </c>
      <c r="F240" s="96" t="s">
        <v>2631</v>
      </c>
      <c r="G240" s="88">
        <v>0</v>
      </c>
      <c r="H240" s="91">
        <v>0</v>
      </c>
      <c r="I240" s="100" t="s">
        <v>2405</v>
      </c>
    </row>
    <row r="241" spans="1:9">
      <c r="A241" s="95" t="s">
        <v>602</v>
      </c>
      <c r="B241" s="96" t="s">
        <v>2404</v>
      </c>
      <c r="C241" s="96" t="s">
        <v>1241</v>
      </c>
      <c r="D241" s="96" t="s">
        <v>2676</v>
      </c>
      <c r="E241" s="96" t="s">
        <v>2677</v>
      </c>
      <c r="F241" s="96" t="s">
        <v>2678</v>
      </c>
      <c r="G241" s="88">
        <v>14622441770000</v>
      </c>
      <c r="H241" s="91">
        <v>14622.441769999999</v>
      </c>
      <c r="I241" s="100" t="s">
        <v>2405</v>
      </c>
    </row>
    <row r="242" spans="1:9">
      <c r="A242" s="95" t="s">
        <v>602</v>
      </c>
      <c r="B242" s="96" t="s">
        <v>2404</v>
      </c>
      <c r="C242" s="96" t="s">
        <v>1241</v>
      </c>
      <c r="D242" s="96" t="s">
        <v>2679</v>
      </c>
      <c r="E242" s="96" t="s">
        <v>2680</v>
      </c>
      <c r="F242" s="96" t="s">
        <v>2681</v>
      </c>
      <c r="G242" s="88">
        <v>0</v>
      </c>
      <c r="H242" s="91">
        <v>0</v>
      </c>
      <c r="I242" s="100" t="s">
        <v>2405</v>
      </c>
    </row>
    <row r="243" spans="1:9">
      <c r="A243" s="95" t="s">
        <v>602</v>
      </c>
      <c r="B243" s="96" t="s">
        <v>2404</v>
      </c>
      <c r="C243" s="96" t="s">
        <v>1241</v>
      </c>
      <c r="D243" s="96" t="s">
        <v>2682</v>
      </c>
      <c r="E243" s="96" t="s">
        <v>2683</v>
      </c>
      <c r="F243" s="96" t="s">
        <v>2684</v>
      </c>
      <c r="G243" s="88">
        <v>12582145266842</v>
      </c>
      <c r="H243" s="91">
        <v>12582.145266842001</v>
      </c>
      <c r="I243" s="100" t="s">
        <v>2405</v>
      </c>
    </row>
    <row r="244" spans="1:9">
      <c r="A244" s="95" t="s">
        <v>602</v>
      </c>
      <c r="B244" s="96" t="s">
        <v>2404</v>
      </c>
      <c r="C244" s="96" t="s">
        <v>1241</v>
      </c>
      <c r="D244" s="96" t="s">
        <v>2685</v>
      </c>
      <c r="E244" s="96" t="s">
        <v>2686</v>
      </c>
      <c r="F244" s="96" t="s">
        <v>2687</v>
      </c>
      <c r="G244" s="88">
        <v>1545937090941</v>
      </c>
      <c r="H244" s="91">
        <v>1545.937090941</v>
      </c>
      <c r="I244" s="100" t="s">
        <v>2405</v>
      </c>
    </row>
    <row r="245" spans="1:9">
      <c r="A245" s="95" t="s">
        <v>602</v>
      </c>
      <c r="B245" s="96" t="s">
        <v>2404</v>
      </c>
      <c r="C245" s="96" t="s">
        <v>1241</v>
      </c>
      <c r="D245" s="96" t="s">
        <v>1810</v>
      </c>
      <c r="E245" s="96" t="s">
        <v>2688</v>
      </c>
      <c r="F245" s="96" t="s">
        <v>2689</v>
      </c>
      <c r="G245" s="88">
        <v>56354717820</v>
      </c>
      <c r="H245" s="91">
        <v>56.354717819999998</v>
      </c>
      <c r="I245" s="100" t="s">
        <v>2405</v>
      </c>
    </row>
    <row r="246" spans="1:9">
      <c r="A246" s="95" t="s">
        <v>602</v>
      </c>
      <c r="B246" s="96" t="s">
        <v>2404</v>
      </c>
      <c r="C246" s="96" t="s">
        <v>1241</v>
      </c>
      <c r="D246" s="96" t="s">
        <v>1834</v>
      </c>
      <c r="E246" s="96" t="s">
        <v>2690</v>
      </c>
      <c r="F246" s="96" t="s">
        <v>2691</v>
      </c>
      <c r="G246" s="88">
        <v>0</v>
      </c>
      <c r="H246" s="91">
        <v>0</v>
      </c>
      <c r="I246" s="100" t="s">
        <v>2405</v>
      </c>
    </row>
    <row r="247" spans="1:9">
      <c r="A247" s="95" t="s">
        <v>602</v>
      </c>
      <c r="B247" s="96" t="s">
        <v>2404</v>
      </c>
      <c r="C247" s="96" t="s">
        <v>1241</v>
      </c>
      <c r="D247" s="96" t="s">
        <v>2390</v>
      </c>
      <c r="E247" s="96" t="s">
        <v>2391</v>
      </c>
      <c r="F247" s="96" t="s">
        <v>2692</v>
      </c>
      <c r="G247" s="88">
        <v>365640314393</v>
      </c>
      <c r="H247" s="91">
        <v>365.64031439299998</v>
      </c>
      <c r="I247" s="100" t="s">
        <v>2405</v>
      </c>
    </row>
    <row r="248" spans="1:9">
      <c r="A248" s="95" t="s">
        <v>602</v>
      </c>
      <c r="B248" s="96" t="s">
        <v>2404</v>
      </c>
      <c r="C248" s="96" t="s">
        <v>1241</v>
      </c>
      <c r="D248" s="96" t="s">
        <v>2693</v>
      </c>
      <c r="E248" s="96" t="s">
        <v>2694</v>
      </c>
      <c r="F248" s="96" t="s">
        <v>2695</v>
      </c>
      <c r="G248" s="88">
        <v>0</v>
      </c>
      <c r="H248" s="91">
        <v>0</v>
      </c>
      <c r="I248" s="100" t="s">
        <v>2405</v>
      </c>
    </row>
    <row r="249" spans="1:9">
      <c r="A249" s="95" t="s">
        <v>602</v>
      </c>
      <c r="B249" s="96" t="s">
        <v>1034</v>
      </c>
      <c r="C249" s="96" t="s">
        <v>1241</v>
      </c>
      <c r="D249" s="96" t="s">
        <v>68</v>
      </c>
      <c r="E249" s="96" t="s">
        <v>2411</v>
      </c>
      <c r="F249" s="96" t="s">
        <v>2412</v>
      </c>
      <c r="G249" s="88">
        <v>76834611871316</v>
      </c>
      <c r="H249" s="91">
        <v>76834.611871315996</v>
      </c>
      <c r="I249" s="100" t="s">
        <v>2405</v>
      </c>
    </row>
    <row r="250" spans="1:9">
      <c r="A250" s="95" t="s">
        <v>602</v>
      </c>
      <c r="B250" s="96" t="s">
        <v>1034</v>
      </c>
      <c r="C250" s="96" t="s">
        <v>1241</v>
      </c>
      <c r="D250" s="96" t="s">
        <v>58</v>
      </c>
      <c r="E250" s="96" t="s">
        <v>2413</v>
      </c>
      <c r="F250" s="96" t="s">
        <v>2414</v>
      </c>
      <c r="G250" s="88">
        <v>4553652582201</v>
      </c>
      <c r="H250" s="91">
        <v>4553.6525822009999</v>
      </c>
      <c r="I250" s="100" t="s">
        <v>2405</v>
      </c>
    </row>
    <row r="251" spans="1:9">
      <c r="A251" s="95" t="s">
        <v>602</v>
      </c>
      <c r="B251" s="96" t="s">
        <v>1034</v>
      </c>
      <c r="C251" s="96" t="s">
        <v>1241</v>
      </c>
      <c r="D251" s="96" t="s">
        <v>1699</v>
      </c>
      <c r="E251" s="96" t="s">
        <v>2415</v>
      </c>
      <c r="F251" s="96" t="s">
        <v>2416</v>
      </c>
      <c r="G251" s="88">
        <v>4553652582201</v>
      </c>
      <c r="H251" s="91">
        <v>4553.6525822009999</v>
      </c>
      <c r="I251" s="100" t="s">
        <v>2405</v>
      </c>
    </row>
    <row r="252" spans="1:9">
      <c r="A252" s="95" t="s">
        <v>602</v>
      </c>
      <c r="B252" s="96" t="s">
        <v>1034</v>
      </c>
      <c r="C252" s="96" t="s">
        <v>1241</v>
      </c>
      <c r="D252" s="96" t="s">
        <v>1701</v>
      </c>
      <c r="E252" s="96" t="s">
        <v>2417</v>
      </c>
      <c r="F252" s="96" t="s">
        <v>2418</v>
      </c>
      <c r="G252" s="88">
        <v>0</v>
      </c>
      <c r="H252" s="91">
        <v>0</v>
      </c>
      <c r="I252" s="100" t="s">
        <v>2405</v>
      </c>
    </row>
    <row r="253" spans="1:9">
      <c r="A253" s="95" t="s">
        <v>602</v>
      </c>
      <c r="B253" s="96" t="s">
        <v>1034</v>
      </c>
      <c r="C253" s="96" t="s">
        <v>1241</v>
      </c>
      <c r="D253" s="96" t="s">
        <v>2053</v>
      </c>
      <c r="E253" s="96" t="s">
        <v>2419</v>
      </c>
      <c r="F253" s="96" t="s">
        <v>2420</v>
      </c>
      <c r="G253" s="88">
        <v>41831153715755</v>
      </c>
      <c r="H253" s="91">
        <v>41831.153715754997</v>
      </c>
      <c r="I253" s="100" t="s">
        <v>2405</v>
      </c>
    </row>
    <row r="254" spans="1:9">
      <c r="A254" s="95" t="s">
        <v>602</v>
      </c>
      <c r="B254" s="96" t="s">
        <v>1034</v>
      </c>
      <c r="C254" s="96" t="s">
        <v>1241</v>
      </c>
      <c r="D254" s="96" t="s">
        <v>2053</v>
      </c>
      <c r="E254" s="96" t="s">
        <v>2419</v>
      </c>
      <c r="F254" s="96" t="s">
        <v>2420</v>
      </c>
      <c r="G254" s="88">
        <v>0</v>
      </c>
      <c r="H254" s="91">
        <v>0</v>
      </c>
      <c r="I254" s="100" t="s">
        <v>2405</v>
      </c>
    </row>
    <row r="255" spans="1:9">
      <c r="A255" s="95" t="s">
        <v>602</v>
      </c>
      <c r="B255" s="96" t="s">
        <v>1034</v>
      </c>
      <c r="C255" s="96" t="s">
        <v>1241</v>
      </c>
      <c r="D255" s="96" t="s">
        <v>2421</v>
      </c>
      <c r="E255" s="96" t="s">
        <v>2422</v>
      </c>
      <c r="F255" s="96" t="s">
        <v>2423</v>
      </c>
      <c r="G255" s="88">
        <v>0</v>
      </c>
      <c r="H255" s="91">
        <v>0</v>
      </c>
      <c r="I255" s="100" t="s">
        <v>2405</v>
      </c>
    </row>
    <row r="256" spans="1:9">
      <c r="A256" s="95" t="s">
        <v>602</v>
      </c>
      <c r="B256" s="96" t="s">
        <v>1034</v>
      </c>
      <c r="C256" s="96" t="s">
        <v>1241</v>
      </c>
      <c r="D256" s="96" t="s">
        <v>2424</v>
      </c>
      <c r="E256" s="96" t="s">
        <v>2425</v>
      </c>
      <c r="F256" s="96" t="s">
        <v>2426</v>
      </c>
      <c r="G256" s="88">
        <v>2121015956014</v>
      </c>
      <c r="H256" s="91">
        <v>2121.015956014</v>
      </c>
      <c r="I256" s="100" t="s">
        <v>2405</v>
      </c>
    </row>
    <row r="257" spans="1:9">
      <c r="A257" s="95" t="s">
        <v>602</v>
      </c>
      <c r="B257" s="96" t="s">
        <v>1034</v>
      </c>
      <c r="C257" s="96" t="s">
        <v>1241</v>
      </c>
      <c r="D257" s="96" t="s">
        <v>2427</v>
      </c>
      <c r="E257" s="96" t="s">
        <v>2428</v>
      </c>
      <c r="F257" s="96" t="s">
        <v>2429</v>
      </c>
      <c r="G257" s="88">
        <v>255239898353</v>
      </c>
      <c r="H257" s="91">
        <v>255.239898353</v>
      </c>
      <c r="I257" s="100" t="s">
        <v>2405</v>
      </c>
    </row>
    <row r="258" spans="1:9">
      <c r="A258" s="95" t="s">
        <v>602</v>
      </c>
      <c r="B258" s="96" t="s">
        <v>1034</v>
      </c>
      <c r="C258" s="96" t="s">
        <v>1241</v>
      </c>
      <c r="D258" s="96" t="s">
        <v>2430</v>
      </c>
      <c r="E258" s="96" t="s">
        <v>2431</v>
      </c>
      <c r="F258" s="96" t="s">
        <v>2432</v>
      </c>
      <c r="G258" s="88">
        <v>162975645383</v>
      </c>
      <c r="H258" s="91">
        <v>162.975645383</v>
      </c>
      <c r="I258" s="100" t="s">
        <v>2405</v>
      </c>
    </row>
    <row r="259" spans="1:9">
      <c r="A259" s="95" t="s">
        <v>602</v>
      </c>
      <c r="B259" s="96" t="s">
        <v>1034</v>
      </c>
      <c r="C259" s="96" t="s">
        <v>1241</v>
      </c>
      <c r="D259" s="96" t="s">
        <v>2433</v>
      </c>
      <c r="E259" s="96" t="s">
        <v>2434</v>
      </c>
      <c r="F259" s="96" t="s">
        <v>2435</v>
      </c>
      <c r="G259" s="88">
        <v>0</v>
      </c>
      <c r="H259" s="91">
        <v>0</v>
      </c>
      <c r="I259" s="100" t="s">
        <v>2405</v>
      </c>
    </row>
    <row r="260" spans="1:9">
      <c r="A260" s="95" t="s">
        <v>602</v>
      </c>
      <c r="B260" s="96" t="s">
        <v>1034</v>
      </c>
      <c r="C260" s="96" t="s">
        <v>1241</v>
      </c>
      <c r="D260" s="96" t="s">
        <v>2436</v>
      </c>
      <c r="E260" s="96" t="s">
        <v>2437</v>
      </c>
      <c r="F260" s="96" t="s">
        <v>2438</v>
      </c>
      <c r="G260" s="88">
        <v>0</v>
      </c>
      <c r="H260" s="91">
        <v>0</v>
      </c>
      <c r="I260" s="100" t="s">
        <v>2405</v>
      </c>
    </row>
    <row r="261" spans="1:9">
      <c r="A261" s="95" t="s">
        <v>602</v>
      </c>
      <c r="B261" s="96" t="s">
        <v>1034</v>
      </c>
      <c r="C261" s="96" t="s">
        <v>1241</v>
      </c>
      <c r="D261" s="96" t="s">
        <v>2439</v>
      </c>
      <c r="E261" s="96" t="s">
        <v>2440</v>
      </c>
      <c r="F261" s="96" t="s">
        <v>2441</v>
      </c>
      <c r="G261" s="88">
        <v>1702800412278</v>
      </c>
      <c r="H261" s="91">
        <v>1702.8004122780001</v>
      </c>
      <c r="I261" s="100" t="s">
        <v>2405</v>
      </c>
    </row>
    <row r="262" spans="1:9">
      <c r="A262" s="95" t="s">
        <v>602</v>
      </c>
      <c r="B262" s="96" t="s">
        <v>1034</v>
      </c>
      <c r="C262" s="96" t="s">
        <v>1241</v>
      </c>
      <c r="D262" s="96" t="s">
        <v>2442</v>
      </c>
      <c r="E262" s="96" t="s">
        <v>2443</v>
      </c>
      <c r="F262" s="96" t="s">
        <v>2444</v>
      </c>
      <c r="G262" s="88">
        <v>0</v>
      </c>
      <c r="H262" s="91">
        <v>0</v>
      </c>
      <c r="I262" s="100" t="s">
        <v>2405</v>
      </c>
    </row>
    <row r="263" spans="1:9">
      <c r="A263" s="95" t="s">
        <v>602</v>
      </c>
      <c r="B263" s="96" t="s">
        <v>1034</v>
      </c>
      <c r="C263" s="96" t="s">
        <v>1241</v>
      </c>
      <c r="D263" s="96" t="s">
        <v>2445</v>
      </c>
      <c r="E263" s="96" t="s">
        <v>2446</v>
      </c>
      <c r="F263" s="96" t="s">
        <v>2447</v>
      </c>
      <c r="G263" s="88">
        <v>27600707843304</v>
      </c>
      <c r="H263" s="91">
        <v>27600.707843304001</v>
      </c>
      <c r="I263" s="100" t="s">
        <v>2405</v>
      </c>
    </row>
    <row r="264" spans="1:9">
      <c r="A264" s="95" t="s">
        <v>602</v>
      </c>
      <c r="B264" s="96" t="s">
        <v>1034</v>
      </c>
      <c r="C264" s="96" t="s">
        <v>1241</v>
      </c>
      <c r="D264" s="96" t="s">
        <v>64</v>
      </c>
      <c r="E264" s="96" t="s">
        <v>2448</v>
      </c>
      <c r="F264" s="96" t="s">
        <v>2449</v>
      </c>
      <c r="G264" s="88">
        <v>28349740199616</v>
      </c>
      <c r="H264" s="91">
        <v>28349.740199616001</v>
      </c>
      <c r="I264" s="100" t="s">
        <v>2405</v>
      </c>
    </row>
    <row r="265" spans="1:9">
      <c r="A265" s="95" t="s">
        <v>602</v>
      </c>
      <c r="B265" s="96" t="s">
        <v>1034</v>
      </c>
      <c r="C265" s="96" t="s">
        <v>1241</v>
      </c>
      <c r="D265" s="96" t="s">
        <v>2450</v>
      </c>
      <c r="E265" s="96" t="s">
        <v>2451</v>
      </c>
      <c r="F265" s="96" t="s">
        <v>2452</v>
      </c>
      <c r="G265" s="88">
        <v>-749032356312</v>
      </c>
      <c r="H265" s="91">
        <v>-749.03235631200005</v>
      </c>
      <c r="I265" s="100" t="s">
        <v>2405</v>
      </c>
    </row>
    <row r="266" spans="1:9">
      <c r="A266" s="95" t="s">
        <v>602</v>
      </c>
      <c r="B266" s="96" t="s">
        <v>1034</v>
      </c>
      <c r="C266" s="96" t="s">
        <v>1241</v>
      </c>
      <c r="D266" s="96" t="s">
        <v>2059</v>
      </c>
      <c r="E266" s="96" t="s">
        <v>2453</v>
      </c>
      <c r="F266" s="96" t="s">
        <v>2454</v>
      </c>
      <c r="G266" s="88">
        <v>728081774042</v>
      </c>
      <c r="H266" s="91">
        <v>728.08177404200001</v>
      </c>
      <c r="I266" s="100" t="s">
        <v>2405</v>
      </c>
    </row>
    <row r="267" spans="1:9">
      <c r="A267" s="95" t="s">
        <v>602</v>
      </c>
      <c r="B267" s="96" t="s">
        <v>1034</v>
      </c>
      <c r="C267" s="96" t="s">
        <v>1241</v>
      </c>
      <c r="D267" s="96" t="s">
        <v>2455</v>
      </c>
      <c r="E267" s="96" t="s">
        <v>2456</v>
      </c>
      <c r="F267" s="96" t="s">
        <v>2457</v>
      </c>
      <c r="G267" s="88">
        <v>508608415908</v>
      </c>
      <c r="H267" s="91">
        <v>508.60841590799998</v>
      </c>
      <c r="I267" s="100" t="s">
        <v>2405</v>
      </c>
    </row>
    <row r="268" spans="1:9">
      <c r="A268" s="95" t="s">
        <v>602</v>
      </c>
      <c r="B268" s="96" t="s">
        <v>1034</v>
      </c>
      <c r="C268" s="96" t="s">
        <v>1241</v>
      </c>
      <c r="D268" s="96" t="s">
        <v>2458</v>
      </c>
      <c r="E268" s="96" t="s">
        <v>2459</v>
      </c>
      <c r="F268" s="96" t="s">
        <v>2460</v>
      </c>
      <c r="G268" s="88">
        <v>176055237597</v>
      </c>
      <c r="H268" s="91">
        <v>176.055237597</v>
      </c>
      <c r="I268" s="100" t="s">
        <v>2405</v>
      </c>
    </row>
    <row r="269" spans="1:9">
      <c r="A269" s="95" t="s">
        <v>602</v>
      </c>
      <c r="B269" s="96" t="s">
        <v>1034</v>
      </c>
      <c r="C269" s="96" t="s">
        <v>1241</v>
      </c>
      <c r="D269" s="96" t="s">
        <v>2461</v>
      </c>
      <c r="E269" s="96" t="s">
        <v>2462</v>
      </c>
      <c r="F269" s="96" t="s">
        <v>2463</v>
      </c>
      <c r="G269" s="88">
        <v>43418120537</v>
      </c>
      <c r="H269" s="91">
        <v>43.418120537</v>
      </c>
      <c r="I269" s="100" t="s">
        <v>2405</v>
      </c>
    </row>
    <row r="270" spans="1:9">
      <c r="A270" s="95" t="s">
        <v>602</v>
      </c>
      <c r="B270" s="96" t="s">
        <v>1034</v>
      </c>
      <c r="C270" s="96" t="s">
        <v>1241</v>
      </c>
      <c r="D270" s="96" t="s">
        <v>2059</v>
      </c>
      <c r="E270" s="96" t="s">
        <v>2453</v>
      </c>
      <c r="F270" s="96" t="s">
        <v>2454</v>
      </c>
      <c r="G270" s="88">
        <v>0</v>
      </c>
      <c r="H270" s="91">
        <v>0</v>
      </c>
      <c r="I270" s="100" t="s">
        <v>2405</v>
      </c>
    </row>
    <row r="271" spans="1:9">
      <c r="A271" s="95" t="s">
        <v>602</v>
      </c>
      <c r="B271" s="96" t="s">
        <v>1034</v>
      </c>
      <c r="C271" s="96" t="s">
        <v>1241</v>
      </c>
      <c r="D271" s="96" t="s">
        <v>1753</v>
      </c>
      <c r="E271" s="96" t="s">
        <v>2464</v>
      </c>
      <c r="F271" s="96" t="s">
        <v>2465</v>
      </c>
      <c r="G271" s="88">
        <v>7159946601011</v>
      </c>
      <c r="H271" s="91">
        <v>7159.946601011</v>
      </c>
      <c r="I271" s="100" t="s">
        <v>2405</v>
      </c>
    </row>
    <row r="272" spans="1:9">
      <c r="A272" s="95" t="s">
        <v>602</v>
      </c>
      <c r="B272" s="96" t="s">
        <v>1034</v>
      </c>
      <c r="C272" s="96" t="s">
        <v>1241</v>
      </c>
      <c r="D272" s="96" t="s">
        <v>1757</v>
      </c>
      <c r="E272" s="96" t="s">
        <v>2466</v>
      </c>
      <c r="F272" s="96" t="s">
        <v>2467</v>
      </c>
      <c r="G272" s="88">
        <v>420693031855</v>
      </c>
      <c r="H272" s="91">
        <v>420.69303185500002</v>
      </c>
      <c r="I272" s="100" t="s">
        <v>2405</v>
      </c>
    </row>
    <row r="273" spans="1:9">
      <c r="A273" s="95" t="s">
        <v>602</v>
      </c>
      <c r="B273" s="96" t="s">
        <v>1034</v>
      </c>
      <c r="C273" s="96" t="s">
        <v>1241</v>
      </c>
      <c r="D273" s="96" t="s">
        <v>2468</v>
      </c>
      <c r="E273" s="96" t="s">
        <v>2469</v>
      </c>
      <c r="F273" s="96" t="s">
        <v>2470</v>
      </c>
      <c r="G273" s="88">
        <v>0</v>
      </c>
      <c r="H273" s="91">
        <v>0</v>
      </c>
      <c r="I273" s="100" t="s">
        <v>2405</v>
      </c>
    </row>
    <row r="274" spans="1:9">
      <c r="A274" s="95" t="s">
        <v>602</v>
      </c>
      <c r="B274" s="96" t="s">
        <v>1034</v>
      </c>
      <c r="C274" s="96" t="s">
        <v>1241</v>
      </c>
      <c r="D274" s="96" t="s">
        <v>2471</v>
      </c>
      <c r="E274" s="96" t="s">
        <v>2472</v>
      </c>
      <c r="F274" s="96" t="s">
        <v>2473</v>
      </c>
      <c r="G274" s="88">
        <v>0</v>
      </c>
      <c r="H274" s="91">
        <v>0</v>
      </c>
      <c r="I274" s="100" t="s">
        <v>2405</v>
      </c>
    </row>
    <row r="275" spans="1:9">
      <c r="A275" s="95" t="s">
        <v>602</v>
      </c>
      <c r="B275" s="96" t="s">
        <v>1034</v>
      </c>
      <c r="C275" s="96" t="s">
        <v>1241</v>
      </c>
      <c r="D275" s="96" t="s">
        <v>1767</v>
      </c>
      <c r="E275" s="96" t="s">
        <v>2474</v>
      </c>
      <c r="F275" s="96" t="s">
        <v>2475</v>
      </c>
      <c r="G275" s="88">
        <v>420693031855</v>
      </c>
      <c r="H275" s="91">
        <v>420.69303185500002</v>
      </c>
      <c r="I275" s="100" t="s">
        <v>2405</v>
      </c>
    </row>
    <row r="276" spans="1:9">
      <c r="A276" s="95" t="s">
        <v>602</v>
      </c>
      <c r="B276" s="96" t="s">
        <v>1034</v>
      </c>
      <c r="C276" s="96" t="s">
        <v>1241</v>
      </c>
      <c r="D276" s="96" t="s">
        <v>2476</v>
      </c>
      <c r="E276" s="96" t="s">
        <v>2477</v>
      </c>
      <c r="F276" s="96" t="s">
        <v>2478</v>
      </c>
      <c r="G276" s="88">
        <v>0</v>
      </c>
      <c r="H276" s="91">
        <v>0</v>
      </c>
      <c r="I276" s="100" t="s">
        <v>2405</v>
      </c>
    </row>
    <row r="277" spans="1:9">
      <c r="A277" s="95" t="s">
        <v>602</v>
      </c>
      <c r="B277" s="96" t="s">
        <v>1034</v>
      </c>
      <c r="C277" s="96" t="s">
        <v>1241</v>
      </c>
      <c r="D277" s="96" t="s">
        <v>70</v>
      </c>
      <c r="E277" s="96" t="s">
        <v>2061</v>
      </c>
      <c r="F277" s="96" t="s">
        <v>2479</v>
      </c>
      <c r="G277" s="88">
        <v>2418447401463</v>
      </c>
      <c r="H277" s="91">
        <v>2418.447401463</v>
      </c>
      <c r="I277" s="100" t="s">
        <v>2405</v>
      </c>
    </row>
    <row r="278" spans="1:9">
      <c r="A278" s="95" t="s">
        <v>602</v>
      </c>
      <c r="B278" s="96" t="s">
        <v>1034</v>
      </c>
      <c r="C278" s="96" t="s">
        <v>1241</v>
      </c>
      <c r="D278" s="96" t="s">
        <v>1771</v>
      </c>
      <c r="E278" s="96" t="s">
        <v>2480</v>
      </c>
      <c r="F278" s="96" t="s">
        <v>2481</v>
      </c>
      <c r="G278" s="88">
        <v>2361670672403</v>
      </c>
      <c r="H278" s="91">
        <v>2361.670672403</v>
      </c>
      <c r="I278" s="100" t="s">
        <v>2405</v>
      </c>
    </row>
    <row r="279" spans="1:9">
      <c r="A279" s="95" t="s">
        <v>602</v>
      </c>
      <c r="B279" s="96" t="s">
        <v>1034</v>
      </c>
      <c r="C279" s="96" t="s">
        <v>1241</v>
      </c>
      <c r="D279" s="96" t="s">
        <v>1773</v>
      </c>
      <c r="E279" s="96" t="s">
        <v>2482</v>
      </c>
      <c r="F279" s="96" t="s">
        <v>2483</v>
      </c>
      <c r="G279" s="88">
        <v>19648285497537</v>
      </c>
      <c r="H279" s="91">
        <v>19648.285497536999</v>
      </c>
      <c r="I279" s="100" t="s">
        <v>2405</v>
      </c>
    </row>
    <row r="280" spans="1:9">
      <c r="A280" s="95" t="s">
        <v>602</v>
      </c>
      <c r="B280" s="96" t="s">
        <v>1034</v>
      </c>
      <c r="C280" s="96" t="s">
        <v>1241</v>
      </c>
      <c r="D280" s="96" t="s">
        <v>1775</v>
      </c>
      <c r="E280" s="96" t="s">
        <v>2484</v>
      </c>
      <c r="F280" s="96" t="s">
        <v>2485</v>
      </c>
      <c r="G280" s="88">
        <v>-17286614825134</v>
      </c>
      <c r="H280" s="91">
        <v>-17286.614825133998</v>
      </c>
      <c r="I280" s="100" t="s">
        <v>2405</v>
      </c>
    </row>
    <row r="281" spans="1:9">
      <c r="A281" s="95" t="s">
        <v>602</v>
      </c>
      <c r="B281" s="96" t="s">
        <v>1034</v>
      </c>
      <c r="C281" s="96" t="s">
        <v>1241</v>
      </c>
      <c r="D281" s="96" t="s">
        <v>2486</v>
      </c>
      <c r="E281" s="96" t="s">
        <v>2487</v>
      </c>
      <c r="F281" s="96" t="s">
        <v>2488</v>
      </c>
      <c r="G281" s="88">
        <v>0</v>
      </c>
      <c r="H281" s="91">
        <v>0</v>
      </c>
      <c r="I281" s="100" t="s">
        <v>2405</v>
      </c>
    </row>
    <row r="282" spans="1:9">
      <c r="A282" s="95" t="s">
        <v>602</v>
      </c>
      <c r="B282" s="96" t="s">
        <v>1034</v>
      </c>
      <c r="C282" s="96" t="s">
        <v>1241</v>
      </c>
      <c r="D282" s="96" t="s">
        <v>1773</v>
      </c>
      <c r="E282" s="96" t="s">
        <v>2482</v>
      </c>
      <c r="F282" s="96" t="s">
        <v>2489</v>
      </c>
      <c r="G282" s="88">
        <v>0</v>
      </c>
      <c r="H282" s="91">
        <v>0</v>
      </c>
      <c r="I282" s="100" t="s">
        <v>2405</v>
      </c>
    </row>
    <row r="283" spans="1:9">
      <c r="A283" s="95" t="s">
        <v>602</v>
      </c>
      <c r="B283" s="96" t="s">
        <v>1034</v>
      </c>
      <c r="C283" s="96" t="s">
        <v>1241</v>
      </c>
      <c r="D283" s="96" t="s">
        <v>1775</v>
      </c>
      <c r="E283" s="96" t="s">
        <v>2484</v>
      </c>
      <c r="F283" s="96" t="s">
        <v>2490</v>
      </c>
      <c r="G283" s="88">
        <v>0</v>
      </c>
      <c r="H283" s="91">
        <v>0</v>
      </c>
      <c r="I283" s="100" t="s">
        <v>2405</v>
      </c>
    </row>
    <row r="284" spans="1:9">
      <c r="A284" s="95" t="s">
        <v>602</v>
      </c>
      <c r="B284" s="96" t="s">
        <v>1034</v>
      </c>
      <c r="C284" s="96" t="s">
        <v>1241</v>
      </c>
      <c r="D284" s="96" t="s">
        <v>1781</v>
      </c>
      <c r="E284" s="96" t="s">
        <v>2491</v>
      </c>
      <c r="F284" s="96" t="s">
        <v>2492</v>
      </c>
      <c r="G284" s="88">
        <v>56776729060</v>
      </c>
      <c r="H284" s="91">
        <v>56.776729060000001</v>
      </c>
      <c r="I284" s="100" t="s">
        <v>2405</v>
      </c>
    </row>
    <row r="285" spans="1:9">
      <c r="A285" s="95" t="s">
        <v>602</v>
      </c>
      <c r="B285" s="96" t="s">
        <v>1034</v>
      </c>
      <c r="C285" s="96" t="s">
        <v>1241</v>
      </c>
      <c r="D285" s="96" t="s">
        <v>1773</v>
      </c>
      <c r="E285" s="96" t="s">
        <v>2482</v>
      </c>
      <c r="F285" s="96" t="s">
        <v>2493</v>
      </c>
      <c r="G285" s="88">
        <v>90297772827</v>
      </c>
      <c r="H285" s="91">
        <v>90.297772827000003</v>
      </c>
      <c r="I285" s="100" t="s">
        <v>2405</v>
      </c>
    </row>
    <row r="286" spans="1:9">
      <c r="A286" s="95" t="s">
        <v>602</v>
      </c>
      <c r="B286" s="96" t="s">
        <v>1034</v>
      </c>
      <c r="C286" s="96" t="s">
        <v>1241</v>
      </c>
      <c r="D286" s="96" t="s">
        <v>1775</v>
      </c>
      <c r="E286" s="96" t="s">
        <v>2484</v>
      </c>
      <c r="F286" s="96" t="s">
        <v>2494</v>
      </c>
      <c r="G286" s="88">
        <v>-33521043767</v>
      </c>
      <c r="H286" s="91">
        <v>-33.521043767000002</v>
      </c>
      <c r="I286" s="100" t="s">
        <v>2405</v>
      </c>
    </row>
    <row r="287" spans="1:9">
      <c r="A287" s="95" t="s">
        <v>602</v>
      </c>
      <c r="B287" s="96" t="s">
        <v>1034</v>
      </c>
      <c r="C287" s="96" t="s">
        <v>1241</v>
      </c>
      <c r="D287" s="96" t="s">
        <v>2495</v>
      </c>
      <c r="E287" s="96" t="s">
        <v>2496</v>
      </c>
      <c r="F287" s="96" t="s">
        <v>2497</v>
      </c>
      <c r="G287" s="88">
        <v>0</v>
      </c>
      <c r="H287" s="91">
        <v>0</v>
      </c>
      <c r="I287" s="100" t="s">
        <v>2405</v>
      </c>
    </row>
    <row r="288" spans="1:9">
      <c r="A288" s="95" t="s">
        <v>602</v>
      </c>
      <c r="B288" s="96" t="s">
        <v>1034</v>
      </c>
      <c r="C288" s="96" t="s">
        <v>1241</v>
      </c>
      <c r="D288" s="96" t="s">
        <v>1802</v>
      </c>
      <c r="E288" s="96" t="s">
        <v>2498</v>
      </c>
      <c r="F288" s="96" t="s">
        <v>2499</v>
      </c>
      <c r="G288" s="88">
        <v>0</v>
      </c>
      <c r="H288" s="91">
        <v>0</v>
      </c>
      <c r="I288" s="100" t="s">
        <v>2405</v>
      </c>
    </row>
    <row r="289" spans="1:9">
      <c r="A289" s="95" t="s">
        <v>602</v>
      </c>
      <c r="B289" s="96" t="s">
        <v>1034</v>
      </c>
      <c r="C289" s="96" t="s">
        <v>1241</v>
      </c>
      <c r="D289" s="96" t="s">
        <v>1773</v>
      </c>
      <c r="E289" s="96" t="s">
        <v>2482</v>
      </c>
      <c r="F289" s="96" t="s">
        <v>2500</v>
      </c>
      <c r="G289" s="88">
        <v>0</v>
      </c>
      <c r="H289" s="91">
        <v>0</v>
      </c>
      <c r="I289" s="100" t="s">
        <v>2405</v>
      </c>
    </row>
    <row r="290" spans="1:9">
      <c r="A290" s="95" t="s">
        <v>602</v>
      </c>
      <c r="B290" s="96" t="s">
        <v>1034</v>
      </c>
      <c r="C290" s="96" t="s">
        <v>1241</v>
      </c>
      <c r="D290" s="96" t="s">
        <v>1775</v>
      </c>
      <c r="E290" s="96" t="s">
        <v>2484</v>
      </c>
      <c r="F290" s="96" t="s">
        <v>2501</v>
      </c>
      <c r="G290" s="88">
        <v>0</v>
      </c>
      <c r="H290" s="91">
        <v>0</v>
      </c>
      <c r="I290" s="100" t="s">
        <v>2405</v>
      </c>
    </row>
    <row r="291" spans="1:9">
      <c r="A291" s="95" t="s">
        <v>602</v>
      </c>
      <c r="B291" s="96" t="s">
        <v>1034</v>
      </c>
      <c r="C291" s="96" t="s">
        <v>1241</v>
      </c>
      <c r="D291" s="96" t="s">
        <v>2063</v>
      </c>
      <c r="E291" s="96" t="s">
        <v>2502</v>
      </c>
      <c r="F291" s="96" t="s">
        <v>2503</v>
      </c>
      <c r="G291" s="88">
        <v>3466722463700</v>
      </c>
      <c r="H291" s="91">
        <v>3466.7224636999999</v>
      </c>
      <c r="I291" s="100" t="s">
        <v>2405</v>
      </c>
    </row>
    <row r="292" spans="1:9">
      <c r="A292" s="95" t="s">
        <v>602</v>
      </c>
      <c r="B292" s="96" t="s">
        <v>1034</v>
      </c>
      <c r="C292" s="96" t="s">
        <v>1241</v>
      </c>
      <c r="D292" s="96" t="s">
        <v>1812</v>
      </c>
      <c r="E292" s="96" t="s">
        <v>2504</v>
      </c>
      <c r="F292" s="96" t="s">
        <v>2505</v>
      </c>
      <c r="G292" s="88">
        <v>0</v>
      </c>
      <c r="H292" s="91">
        <v>0</v>
      </c>
      <c r="I292" s="100" t="s">
        <v>2405</v>
      </c>
    </row>
    <row r="293" spans="1:9">
      <c r="A293" s="95" t="s">
        <v>602</v>
      </c>
      <c r="B293" s="96" t="s">
        <v>1034</v>
      </c>
      <c r="C293" s="96" t="s">
        <v>1241</v>
      </c>
      <c r="D293" s="96" t="s">
        <v>2506</v>
      </c>
      <c r="E293" s="96" t="s">
        <v>2507</v>
      </c>
      <c r="F293" s="96" t="s">
        <v>2508</v>
      </c>
      <c r="G293" s="88">
        <v>502561163700</v>
      </c>
      <c r="H293" s="91">
        <v>502.56116370000001</v>
      </c>
      <c r="I293" s="100" t="s">
        <v>2405</v>
      </c>
    </row>
    <row r="294" spans="1:9">
      <c r="A294" s="95" t="s">
        <v>602</v>
      </c>
      <c r="B294" s="96" t="s">
        <v>1034</v>
      </c>
      <c r="C294" s="96" t="s">
        <v>1241</v>
      </c>
      <c r="D294" s="96" t="s">
        <v>1824</v>
      </c>
      <c r="E294" s="96" t="s">
        <v>2509</v>
      </c>
      <c r="F294" s="96" t="s">
        <v>2510</v>
      </c>
      <c r="G294" s="88">
        <v>0</v>
      </c>
      <c r="H294" s="91">
        <v>0</v>
      </c>
      <c r="I294" s="100" t="s">
        <v>2405</v>
      </c>
    </row>
    <row r="295" spans="1:9">
      <c r="A295" s="95" t="s">
        <v>602</v>
      </c>
      <c r="B295" s="96" t="s">
        <v>1034</v>
      </c>
      <c r="C295" s="96" t="s">
        <v>1241</v>
      </c>
      <c r="D295" s="96" t="s">
        <v>2511</v>
      </c>
      <c r="E295" s="96" t="s">
        <v>2512</v>
      </c>
      <c r="F295" s="96" t="s">
        <v>2513</v>
      </c>
      <c r="G295" s="88">
        <v>0</v>
      </c>
      <c r="H295" s="91">
        <v>0</v>
      </c>
      <c r="I295" s="100" t="s">
        <v>2405</v>
      </c>
    </row>
    <row r="296" spans="1:9">
      <c r="A296" s="95" t="s">
        <v>602</v>
      </c>
      <c r="B296" s="96" t="s">
        <v>1034</v>
      </c>
      <c r="C296" s="96" t="s">
        <v>1241</v>
      </c>
      <c r="D296" s="96" t="s">
        <v>1836</v>
      </c>
      <c r="E296" s="96" t="s">
        <v>2514</v>
      </c>
      <c r="F296" s="96" t="s">
        <v>2515</v>
      </c>
      <c r="G296" s="88">
        <v>0</v>
      </c>
      <c r="H296" s="91">
        <v>0</v>
      </c>
      <c r="I296" s="100" t="s">
        <v>2405</v>
      </c>
    </row>
    <row r="297" spans="1:9">
      <c r="A297" s="95" t="s">
        <v>602</v>
      </c>
      <c r="B297" s="96" t="s">
        <v>1034</v>
      </c>
      <c r="C297" s="96" t="s">
        <v>1241</v>
      </c>
      <c r="D297" s="96" t="s">
        <v>74</v>
      </c>
      <c r="E297" s="96" t="s">
        <v>2064</v>
      </c>
      <c r="F297" s="96" t="s">
        <v>2516</v>
      </c>
      <c r="G297" s="88">
        <v>723164397369</v>
      </c>
      <c r="H297" s="91">
        <v>723.16439736899997</v>
      </c>
      <c r="I297" s="100" t="s">
        <v>2405</v>
      </c>
    </row>
    <row r="298" spans="1:9">
      <c r="A298" s="95" t="s">
        <v>602</v>
      </c>
      <c r="B298" s="96" t="s">
        <v>1034</v>
      </c>
      <c r="C298" s="96" t="s">
        <v>1241</v>
      </c>
      <c r="D298" s="96" t="s">
        <v>2517</v>
      </c>
      <c r="E298" s="96" t="s">
        <v>2518</v>
      </c>
      <c r="F298" s="96" t="s">
        <v>2519</v>
      </c>
      <c r="G298" s="88">
        <v>45082066438</v>
      </c>
      <c r="H298" s="91">
        <v>45.082066437999998</v>
      </c>
      <c r="I298" s="100" t="s">
        <v>2405</v>
      </c>
    </row>
    <row r="299" spans="1:9">
      <c r="A299" s="95" t="s">
        <v>602</v>
      </c>
      <c r="B299" s="96" t="s">
        <v>1034</v>
      </c>
      <c r="C299" s="96" t="s">
        <v>1241</v>
      </c>
      <c r="D299" s="96" t="s">
        <v>1828</v>
      </c>
      <c r="E299" s="96" t="s">
        <v>2520</v>
      </c>
      <c r="F299" s="96" t="s">
        <v>2521</v>
      </c>
      <c r="G299" s="88">
        <v>678082330931</v>
      </c>
      <c r="H299" s="91">
        <v>678.082330931</v>
      </c>
      <c r="I299" s="100" t="s">
        <v>2405</v>
      </c>
    </row>
    <row r="300" spans="1:9">
      <c r="A300" s="95" t="s">
        <v>602</v>
      </c>
      <c r="B300" s="96" t="s">
        <v>1034</v>
      </c>
      <c r="C300" s="96" t="s">
        <v>1241</v>
      </c>
      <c r="D300" s="96" t="s">
        <v>74</v>
      </c>
      <c r="E300" s="96" t="s">
        <v>2064</v>
      </c>
      <c r="F300" s="96" t="s">
        <v>2522</v>
      </c>
      <c r="G300" s="88">
        <v>0</v>
      </c>
      <c r="H300" s="91">
        <v>0</v>
      </c>
      <c r="I300" s="100" t="s">
        <v>2405</v>
      </c>
    </row>
    <row r="301" spans="1:9">
      <c r="A301" s="95" t="s">
        <v>602</v>
      </c>
      <c r="B301" s="96" t="s">
        <v>1034</v>
      </c>
      <c r="C301" s="96" t="s">
        <v>1241</v>
      </c>
      <c r="D301" s="96" t="s">
        <v>76</v>
      </c>
      <c r="E301" s="96" t="s">
        <v>75</v>
      </c>
      <c r="F301" s="96" t="s">
        <v>1643</v>
      </c>
      <c r="G301" s="88">
        <v>83994558472327</v>
      </c>
      <c r="H301" s="91">
        <v>83994.558472327</v>
      </c>
      <c r="I301" s="100" t="s">
        <v>2405</v>
      </c>
    </row>
    <row r="302" spans="1:9">
      <c r="A302" s="95" t="s">
        <v>602</v>
      </c>
      <c r="B302" s="96" t="s">
        <v>1034</v>
      </c>
      <c r="C302" s="96" t="s">
        <v>1241</v>
      </c>
      <c r="D302" s="96" t="s">
        <v>2523</v>
      </c>
      <c r="E302" s="96" t="s">
        <v>487</v>
      </c>
      <c r="F302" s="96" t="s">
        <v>2524</v>
      </c>
      <c r="G302" s="88">
        <v>48061216417223</v>
      </c>
      <c r="H302" s="91">
        <v>48061.216417222997</v>
      </c>
      <c r="I302" s="100" t="s">
        <v>2405</v>
      </c>
    </row>
    <row r="303" spans="1:9">
      <c r="A303" s="95" t="s">
        <v>602</v>
      </c>
      <c r="B303" s="96" t="s">
        <v>1034</v>
      </c>
      <c r="C303" s="96" t="s">
        <v>1241</v>
      </c>
      <c r="D303" s="96" t="s">
        <v>82</v>
      </c>
      <c r="E303" s="96" t="s">
        <v>2070</v>
      </c>
      <c r="F303" s="96" t="s">
        <v>2525</v>
      </c>
      <c r="G303" s="88">
        <v>48061216417223</v>
      </c>
      <c r="H303" s="91">
        <v>48061.216417222997</v>
      </c>
      <c r="I303" s="100" t="s">
        <v>2405</v>
      </c>
    </row>
    <row r="304" spans="1:9">
      <c r="A304" s="95" t="s">
        <v>602</v>
      </c>
      <c r="B304" s="96" t="s">
        <v>1034</v>
      </c>
      <c r="C304" s="96" t="s">
        <v>1241</v>
      </c>
      <c r="D304" s="96" t="s">
        <v>2526</v>
      </c>
      <c r="E304" s="96" t="s">
        <v>2527</v>
      </c>
      <c r="F304" s="96" t="s">
        <v>2528</v>
      </c>
      <c r="G304" s="88">
        <v>28100653169211</v>
      </c>
      <c r="H304" s="91">
        <v>28100.653169211</v>
      </c>
      <c r="I304" s="100" t="s">
        <v>2405</v>
      </c>
    </row>
    <row r="305" spans="1:9">
      <c r="A305" s="95" t="s">
        <v>602</v>
      </c>
      <c r="B305" s="96" t="s">
        <v>1034</v>
      </c>
      <c r="C305" s="96" t="s">
        <v>1241</v>
      </c>
      <c r="D305" s="96" t="s">
        <v>2529</v>
      </c>
      <c r="E305" s="96" t="s">
        <v>2530</v>
      </c>
      <c r="F305" s="96" t="s">
        <v>2531</v>
      </c>
      <c r="G305" s="88">
        <v>11892521624518</v>
      </c>
      <c r="H305" s="91">
        <v>11892.521624518</v>
      </c>
      <c r="I305" s="100" t="s">
        <v>2405</v>
      </c>
    </row>
    <row r="306" spans="1:9">
      <c r="A306" s="95" t="s">
        <v>602</v>
      </c>
      <c r="B306" s="96" t="s">
        <v>1034</v>
      </c>
      <c r="C306" s="96" t="s">
        <v>1241</v>
      </c>
      <c r="D306" s="96" t="s">
        <v>2532</v>
      </c>
      <c r="E306" s="96" t="s">
        <v>2533</v>
      </c>
      <c r="F306" s="96" t="s">
        <v>2534</v>
      </c>
      <c r="G306" s="88">
        <v>192515467857</v>
      </c>
      <c r="H306" s="91">
        <v>192.515467857</v>
      </c>
      <c r="I306" s="100" t="s">
        <v>2405</v>
      </c>
    </row>
    <row r="307" spans="1:9">
      <c r="A307" s="95" t="s">
        <v>602</v>
      </c>
      <c r="B307" s="96" t="s">
        <v>1034</v>
      </c>
      <c r="C307" s="96" t="s">
        <v>1241</v>
      </c>
      <c r="D307" s="96" t="s">
        <v>2535</v>
      </c>
      <c r="E307" s="96" t="s">
        <v>2536</v>
      </c>
      <c r="F307" s="96" t="s">
        <v>2537</v>
      </c>
      <c r="G307" s="88">
        <v>876794578013</v>
      </c>
      <c r="H307" s="91">
        <v>876.79457801299998</v>
      </c>
      <c r="I307" s="100" t="s">
        <v>2405</v>
      </c>
    </row>
    <row r="308" spans="1:9">
      <c r="A308" s="95" t="s">
        <v>602</v>
      </c>
      <c r="B308" s="96" t="s">
        <v>1034</v>
      </c>
      <c r="C308" s="96" t="s">
        <v>1241</v>
      </c>
      <c r="D308" s="96" t="s">
        <v>1846</v>
      </c>
      <c r="E308" s="96" t="s">
        <v>2538</v>
      </c>
      <c r="F308" s="96" t="s">
        <v>2539</v>
      </c>
      <c r="G308" s="88">
        <v>332179126006</v>
      </c>
      <c r="H308" s="91">
        <v>332.17912600599999</v>
      </c>
      <c r="I308" s="100" t="s">
        <v>2405</v>
      </c>
    </row>
    <row r="309" spans="1:9">
      <c r="A309" s="95" t="s">
        <v>602</v>
      </c>
      <c r="B309" s="96" t="s">
        <v>1034</v>
      </c>
      <c r="C309" s="96" t="s">
        <v>1241</v>
      </c>
      <c r="D309" s="96" t="s">
        <v>2540</v>
      </c>
      <c r="E309" s="96" t="s">
        <v>2541</v>
      </c>
      <c r="F309" s="96" t="s">
        <v>2542</v>
      </c>
      <c r="G309" s="88">
        <v>4196323559243</v>
      </c>
      <c r="H309" s="91">
        <v>4196.3235592430001</v>
      </c>
      <c r="I309" s="100" t="s">
        <v>2405</v>
      </c>
    </row>
    <row r="310" spans="1:9">
      <c r="A310" s="95" t="s">
        <v>602</v>
      </c>
      <c r="B310" s="96" t="s">
        <v>1034</v>
      </c>
      <c r="C310" s="96" t="s">
        <v>1241</v>
      </c>
      <c r="D310" s="96" t="s">
        <v>2543</v>
      </c>
      <c r="E310" s="96" t="s">
        <v>2544</v>
      </c>
      <c r="F310" s="96" t="s">
        <v>2545</v>
      </c>
      <c r="G310" s="88">
        <v>0</v>
      </c>
      <c r="H310" s="91">
        <v>0</v>
      </c>
      <c r="I310" s="100" t="s">
        <v>2405</v>
      </c>
    </row>
    <row r="311" spans="1:9">
      <c r="A311" s="95" t="s">
        <v>602</v>
      </c>
      <c r="B311" s="96" t="s">
        <v>1034</v>
      </c>
      <c r="C311" s="96" t="s">
        <v>1241</v>
      </c>
      <c r="D311" s="96" t="s">
        <v>2546</v>
      </c>
      <c r="E311" s="96" t="s">
        <v>2547</v>
      </c>
      <c r="F311" s="96" t="s">
        <v>2548</v>
      </c>
      <c r="G311" s="88">
        <v>0</v>
      </c>
      <c r="H311" s="91">
        <v>0</v>
      </c>
      <c r="I311" s="100" t="s">
        <v>2405</v>
      </c>
    </row>
    <row r="312" spans="1:9">
      <c r="A312" s="95" t="s">
        <v>602</v>
      </c>
      <c r="B312" s="96" t="s">
        <v>1034</v>
      </c>
      <c r="C312" s="96" t="s">
        <v>1241</v>
      </c>
      <c r="D312" s="96" t="s">
        <v>2549</v>
      </c>
      <c r="E312" s="96" t="s">
        <v>2550</v>
      </c>
      <c r="F312" s="96" t="s">
        <v>2551</v>
      </c>
      <c r="G312" s="88">
        <v>1759131833585</v>
      </c>
      <c r="H312" s="91">
        <v>1759.1318335850001</v>
      </c>
      <c r="I312" s="100" t="s">
        <v>2405</v>
      </c>
    </row>
    <row r="313" spans="1:9">
      <c r="A313" s="95" t="s">
        <v>602</v>
      </c>
      <c r="B313" s="96" t="s">
        <v>1034</v>
      </c>
      <c r="C313" s="96" t="s">
        <v>1241</v>
      </c>
      <c r="D313" s="96" t="s">
        <v>2552</v>
      </c>
      <c r="E313" s="96" t="s">
        <v>2553</v>
      </c>
      <c r="F313" s="96" t="s">
        <v>2554</v>
      </c>
      <c r="G313" s="88">
        <v>98381428460</v>
      </c>
      <c r="H313" s="91">
        <v>98.381428459999995</v>
      </c>
      <c r="I313" s="100" t="s">
        <v>2405</v>
      </c>
    </row>
    <row r="314" spans="1:9">
      <c r="A314" s="95" t="s">
        <v>602</v>
      </c>
      <c r="B314" s="96" t="s">
        <v>1034</v>
      </c>
      <c r="C314" s="96" t="s">
        <v>1241</v>
      </c>
      <c r="D314" s="96" t="s">
        <v>2555</v>
      </c>
      <c r="E314" s="96" t="s">
        <v>2556</v>
      </c>
      <c r="F314" s="96" t="s">
        <v>2557</v>
      </c>
      <c r="G314" s="88">
        <v>0</v>
      </c>
      <c r="H314" s="91">
        <v>0</v>
      </c>
      <c r="I314" s="100" t="s">
        <v>2405</v>
      </c>
    </row>
    <row r="315" spans="1:9">
      <c r="A315" s="95" t="s">
        <v>602</v>
      </c>
      <c r="B315" s="96" t="s">
        <v>1034</v>
      </c>
      <c r="C315" s="96" t="s">
        <v>1241</v>
      </c>
      <c r="D315" s="96" t="s">
        <v>86</v>
      </c>
      <c r="E315" s="96" t="s">
        <v>2073</v>
      </c>
      <c r="F315" s="96" t="s">
        <v>2558</v>
      </c>
      <c r="G315" s="88">
        <v>0</v>
      </c>
      <c r="H315" s="91">
        <v>0</v>
      </c>
      <c r="I315" s="100" t="s">
        <v>2405</v>
      </c>
    </row>
    <row r="316" spans="1:9">
      <c r="A316" s="95" t="s">
        <v>602</v>
      </c>
      <c r="B316" s="96" t="s">
        <v>1034</v>
      </c>
      <c r="C316" s="96" t="s">
        <v>1241</v>
      </c>
      <c r="D316" s="96" t="s">
        <v>1866</v>
      </c>
      <c r="E316" s="96" t="s">
        <v>2559</v>
      </c>
      <c r="F316" s="96" t="s">
        <v>2560</v>
      </c>
      <c r="G316" s="88">
        <v>0</v>
      </c>
      <c r="H316" s="91">
        <v>0</v>
      </c>
      <c r="I316" s="100" t="s">
        <v>2405</v>
      </c>
    </row>
    <row r="317" spans="1:9">
      <c r="A317" s="95" t="s">
        <v>602</v>
      </c>
      <c r="B317" s="96" t="s">
        <v>1034</v>
      </c>
      <c r="C317" s="96" t="s">
        <v>1241</v>
      </c>
      <c r="D317" s="96" t="s">
        <v>2561</v>
      </c>
      <c r="E317" s="96" t="s">
        <v>2562</v>
      </c>
      <c r="F317" s="96" t="s">
        <v>2563</v>
      </c>
      <c r="G317" s="88">
        <v>0</v>
      </c>
      <c r="H317" s="91">
        <v>0</v>
      </c>
      <c r="I317" s="100" t="s">
        <v>2405</v>
      </c>
    </row>
    <row r="318" spans="1:9">
      <c r="A318" s="95" t="s">
        <v>602</v>
      </c>
      <c r="B318" s="96" t="s">
        <v>1034</v>
      </c>
      <c r="C318" s="96" t="s">
        <v>1241</v>
      </c>
      <c r="D318" s="96" t="s">
        <v>2564</v>
      </c>
      <c r="E318" s="96" t="s">
        <v>2565</v>
      </c>
      <c r="F318" s="96" t="s">
        <v>2566</v>
      </c>
      <c r="G318" s="88">
        <v>0</v>
      </c>
      <c r="H318" s="91">
        <v>0</v>
      </c>
      <c r="I318" s="100" t="s">
        <v>2405</v>
      </c>
    </row>
    <row r="319" spans="1:9">
      <c r="A319" s="95" t="s">
        <v>602</v>
      </c>
      <c r="B319" s="96" t="s">
        <v>1034</v>
      </c>
      <c r="C319" s="96" t="s">
        <v>1241</v>
      </c>
      <c r="D319" s="96" t="s">
        <v>2567</v>
      </c>
      <c r="E319" s="96" t="s">
        <v>2568</v>
      </c>
      <c r="F319" s="96" t="s">
        <v>2569</v>
      </c>
      <c r="G319" s="88">
        <v>0</v>
      </c>
      <c r="H319" s="91">
        <v>0</v>
      </c>
      <c r="I319" s="100" t="s">
        <v>2405</v>
      </c>
    </row>
    <row r="320" spans="1:9">
      <c r="A320" s="95" t="s">
        <v>602</v>
      </c>
      <c r="B320" s="96" t="s">
        <v>1034</v>
      </c>
      <c r="C320" s="96" t="s">
        <v>1241</v>
      </c>
      <c r="D320" s="96" t="s">
        <v>1886</v>
      </c>
      <c r="E320" s="96" t="s">
        <v>2570</v>
      </c>
      <c r="F320" s="96" t="s">
        <v>2521</v>
      </c>
      <c r="G320" s="88">
        <v>0</v>
      </c>
      <c r="H320" s="91">
        <v>0</v>
      </c>
      <c r="I320" s="100" t="s">
        <v>2405</v>
      </c>
    </row>
    <row r="321" spans="1:9">
      <c r="A321" s="95" t="s">
        <v>602</v>
      </c>
      <c r="B321" s="96" t="s">
        <v>1034</v>
      </c>
      <c r="C321" s="96" t="s">
        <v>1241</v>
      </c>
      <c r="D321" s="96" t="s">
        <v>1892</v>
      </c>
      <c r="E321" s="96" t="s">
        <v>2571</v>
      </c>
      <c r="F321" s="96" t="s">
        <v>2572</v>
      </c>
      <c r="G321" s="88">
        <v>0</v>
      </c>
      <c r="H321" s="91">
        <v>0</v>
      </c>
      <c r="I321" s="100" t="s">
        <v>2405</v>
      </c>
    </row>
    <row r="322" spans="1:9">
      <c r="A322" s="95" t="s">
        <v>602</v>
      </c>
      <c r="B322" s="96" t="s">
        <v>1034</v>
      </c>
      <c r="C322" s="96" t="s">
        <v>1241</v>
      </c>
      <c r="D322" s="96" t="s">
        <v>1888</v>
      </c>
      <c r="E322" s="96" t="s">
        <v>2573</v>
      </c>
      <c r="F322" s="96" t="s">
        <v>2574</v>
      </c>
      <c r="G322" s="88">
        <v>0</v>
      </c>
      <c r="H322" s="91">
        <v>0</v>
      </c>
      <c r="I322" s="100" t="s">
        <v>2405</v>
      </c>
    </row>
    <row r="323" spans="1:9">
      <c r="A323" s="95" t="s">
        <v>602</v>
      </c>
      <c r="B323" s="96" t="s">
        <v>1034</v>
      </c>
      <c r="C323" s="96" t="s">
        <v>1241</v>
      </c>
      <c r="D323" s="96" t="s">
        <v>2575</v>
      </c>
      <c r="E323" s="96" t="s">
        <v>2576</v>
      </c>
      <c r="F323" s="96" t="s">
        <v>2577</v>
      </c>
      <c r="G323" s="88">
        <v>0</v>
      </c>
      <c r="H323" s="91">
        <v>0</v>
      </c>
      <c r="I323" s="100" t="s">
        <v>2405</v>
      </c>
    </row>
    <row r="324" spans="1:9">
      <c r="A324" s="95" t="s">
        <v>602</v>
      </c>
      <c r="B324" s="96" t="s">
        <v>1034</v>
      </c>
      <c r="C324" s="96" t="s">
        <v>1241</v>
      </c>
      <c r="D324" s="96" t="s">
        <v>2578</v>
      </c>
      <c r="E324" s="96" t="s">
        <v>2579</v>
      </c>
      <c r="F324" s="96" t="s">
        <v>2580</v>
      </c>
      <c r="G324" s="88">
        <v>0</v>
      </c>
      <c r="H324" s="91">
        <v>0</v>
      </c>
      <c r="I324" s="100" t="s">
        <v>2405</v>
      </c>
    </row>
    <row r="325" spans="1:9">
      <c r="A325" s="95" t="s">
        <v>602</v>
      </c>
      <c r="B325" s="96" t="s">
        <v>1034</v>
      </c>
      <c r="C325" s="96" t="s">
        <v>1241</v>
      </c>
      <c r="D325" s="96" t="s">
        <v>2581</v>
      </c>
      <c r="E325" s="96" t="s">
        <v>2582</v>
      </c>
      <c r="F325" s="96" t="s">
        <v>2583</v>
      </c>
      <c r="G325" s="88">
        <v>35933342055104</v>
      </c>
      <c r="H325" s="91">
        <v>35933.342055104004</v>
      </c>
      <c r="I325" s="100" t="s">
        <v>2405</v>
      </c>
    </row>
    <row r="326" spans="1:9">
      <c r="A326" s="95" t="s">
        <v>602</v>
      </c>
      <c r="B326" s="96" t="s">
        <v>1034</v>
      </c>
      <c r="C326" s="96" t="s">
        <v>1241</v>
      </c>
      <c r="D326" s="96" t="s">
        <v>2584</v>
      </c>
      <c r="E326" s="96" t="s">
        <v>2585</v>
      </c>
      <c r="F326" s="96" t="s">
        <v>2586</v>
      </c>
      <c r="G326" s="88">
        <v>35933342055104</v>
      </c>
      <c r="H326" s="91">
        <v>35933.342055104004</v>
      </c>
      <c r="I326" s="100" t="s">
        <v>2405</v>
      </c>
    </row>
    <row r="327" spans="1:9">
      <c r="A327" s="95" t="s">
        <v>602</v>
      </c>
      <c r="B327" s="96" t="s">
        <v>1034</v>
      </c>
      <c r="C327" s="96" t="s">
        <v>1241</v>
      </c>
      <c r="D327" s="96" t="s">
        <v>2587</v>
      </c>
      <c r="E327" s="96" t="s">
        <v>2588</v>
      </c>
      <c r="F327" s="96" t="s">
        <v>2589</v>
      </c>
      <c r="G327" s="88">
        <v>14696931770000</v>
      </c>
      <c r="H327" s="91">
        <v>14696.931769999999</v>
      </c>
      <c r="I327" s="100" t="s">
        <v>2405</v>
      </c>
    </row>
    <row r="328" spans="1:9">
      <c r="A328" s="95" t="s">
        <v>602</v>
      </c>
      <c r="B328" s="96" t="s">
        <v>1034</v>
      </c>
      <c r="C328" s="96" t="s">
        <v>1241</v>
      </c>
      <c r="D328" s="96" t="s">
        <v>1900</v>
      </c>
      <c r="E328" s="96" t="s">
        <v>2590</v>
      </c>
      <c r="F328" s="96" t="s">
        <v>2591</v>
      </c>
      <c r="G328" s="88">
        <v>-152995820060</v>
      </c>
      <c r="H328" s="91">
        <v>-152.99582006</v>
      </c>
      <c r="I328" s="100" t="s">
        <v>2405</v>
      </c>
    </row>
    <row r="329" spans="1:9">
      <c r="A329" s="95" t="s">
        <v>602</v>
      </c>
      <c r="B329" s="96" t="s">
        <v>1034</v>
      </c>
      <c r="C329" s="96" t="s">
        <v>1241</v>
      </c>
      <c r="D329" s="96" t="s">
        <v>2592</v>
      </c>
      <c r="E329" s="96" t="s">
        <v>2593</v>
      </c>
      <c r="F329" s="96" t="s">
        <v>2594</v>
      </c>
      <c r="G329" s="88">
        <v>0</v>
      </c>
      <c r="H329" s="91">
        <v>0</v>
      </c>
      <c r="I329" s="100" t="s">
        <v>2405</v>
      </c>
    </row>
    <row r="330" spans="1:9">
      <c r="A330" s="95" t="s">
        <v>602</v>
      </c>
      <c r="B330" s="96" t="s">
        <v>1034</v>
      </c>
      <c r="C330" s="96" t="s">
        <v>1241</v>
      </c>
      <c r="D330" s="96" t="s">
        <v>1906</v>
      </c>
      <c r="E330" s="96" t="s">
        <v>2595</v>
      </c>
      <c r="F330" s="96" t="s">
        <v>2596</v>
      </c>
      <c r="G330" s="88">
        <v>-12696480000</v>
      </c>
      <c r="H330" s="91">
        <v>-12.696479999999999</v>
      </c>
      <c r="I330" s="100" t="s">
        <v>2405</v>
      </c>
    </row>
    <row r="331" spans="1:9">
      <c r="A331" s="95" t="s">
        <v>602</v>
      </c>
      <c r="B331" s="96" t="s">
        <v>1034</v>
      </c>
      <c r="C331" s="96" t="s">
        <v>1241</v>
      </c>
      <c r="D331" s="96" t="s">
        <v>2597</v>
      </c>
      <c r="E331" s="96" t="s">
        <v>2598</v>
      </c>
      <c r="F331" s="96" t="s">
        <v>2599</v>
      </c>
      <c r="G331" s="88">
        <v>0</v>
      </c>
      <c r="H331" s="91">
        <v>0</v>
      </c>
      <c r="I331" s="100" t="s">
        <v>2405</v>
      </c>
    </row>
    <row r="332" spans="1:9">
      <c r="A332" s="95" t="s">
        <v>602</v>
      </c>
      <c r="B332" s="96" t="s">
        <v>1034</v>
      </c>
      <c r="C332" s="96" t="s">
        <v>1241</v>
      </c>
      <c r="D332" s="96" t="s">
        <v>1910</v>
      </c>
      <c r="E332" s="96" t="s">
        <v>2600</v>
      </c>
      <c r="F332" s="96" t="s">
        <v>2601</v>
      </c>
      <c r="G332" s="88">
        <v>0</v>
      </c>
      <c r="H332" s="91">
        <v>0</v>
      </c>
      <c r="I332" s="100" t="s">
        <v>2405</v>
      </c>
    </row>
    <row r="333" spans="1:9">
      <c r="A333" s="95" t="s">
        <v>602</v>
      </c>
      <c r="B333" s="96" t="s">
        <v>1034</v>
      </c>
      <c r="C333" s="96" t="s">
        <v>1241</v>
      </c>
      <c r="D333" s="96" t="s">
        <v>2602</v>
      </c>
      <c r="E333" s="96" t="s">
        <v>2603</v>
      </c>
      <c r="F333" s="96" t="s">
        <v>2604</v>
      </c>
      <c r="G333" s="88">
        <v>0</v>
      </c>
      <c r="H333" s="91">
        <v>0</v>
      </c>
      <c r="I333" s="100" t="s">
        <v>2405</v>
      </c>
    </row>
    <row r="334" spans="1:9">
      <c r="A334" s="95" t="s">
        <v>602</v>
      </c>
      <c r="B334" s="96" t="s">
        <v>1034</v>
      </c>
      <c r="C334" s="96" t="s">
        <v>1241</v>
      </c>
      <c r="D334" s="96" t="s">
        <v>2605</v>
      </c>
      <c r="E334" s="96" t="s">
        <v>2606</v>
      </c>
      <c r="F334" s="96" t="s">
        <v>2607</v>
      </c>
      <c r="G334" s="88">
        <v>0</v>
      </c>
      <c r="H334" s="91">
        <v>0</v>
      </c>
      <c r="I334" s="100" t="s">
        <v>2405</v>
      </c>
    </row>
    <row r="335" spans="1:9">
      <c r="A335" s="95" t="s">
        <v>602</v>
      </c>
      <c r="B335" s="96" t="s">
        <v>1034</v>
      </c>
      <c r="C335" s="96" t="s">
        <v>1241</v>
      </c>
      <c r="D335" s="96" t="s">
        <v>2608</v>
      </c>
      <c r="E335" s="96" t="s">
        <v>2609</v>
      </c>
      <c r="F335" s="96" t="s">
        <v>2610</v>
      </c>
      <c r="G335" s="88">
        <v>0</v>
      </c>
      <c r="H335" s="91">
        <v>0</v>
      </c>
      <c r="I335" s="100" t="s">
        <v>2405</v>
      </c>
    </row>
    <row r="336" spans="1:9">
      <c r="A336" s="95" t="s">
        <v>602</v>
      </c>
      <c r="B336" s="96" t="s">
        <v>1034</v>
      </c>
      <c r="C336" s="96" t="s">
        <v>1241</v>
      </c>
      <c r="D336" s="96" t="s">
        <v>2611</v>
      </c>
      <c r="E336" s="96" t="s">
        <v>2612</v>
      </c>
      <c r="F336" s="96" t="s">
        <v>2613</v>
      </c>
      <c r="G336" s="88">
        <v>20782625319265</v>
      </c>
      <c r="H336" s="91">
        <v>20782.625319265</v>
      </c>
      <c r="I336" s="100" t="s">
        <v>2405</v>
      </c>
    </row>
    <row r="337" spans="1:9">
      <c r="A337" s="95" t="s">
        <v>602</v>
      </c>
      <c r="B337" s="96" t="s">
        <v>1034</v>
      </c>
      <c r="C337" s="96" t="s">
        <v>1241</v>
      </c>
      <c r="D337" s="96" t="s">
        <v>2614</v>
      </c>
      <c r="E337" s="96" t="s">
        <v>2615</v>
      </c>
      <c r="F337" s="96" t="s">
        <v>2616</v>
      </c>
      <c r="G337" s="88">
        <v>0</v>
      </c>
      <c r="H337" s="91">
        <v>0</v>
      </c>
      <c r="I337" s="100" t="s">
        <v>2405</v>
      </c>
    </row>
    <row r="338" spans="1:9">
      <c r="A338" s="95" t="s">
        <v>602</v>
      </c>
      <c r="B338" s="96" t="s">
        <v>1034</v>
      </c>
      <c r="C338" s="96" t="s">
        <v>1241</v>
      </c>
      <c r="D338" s="96" t="s">
        <v>2617</v>
      </c>
      <c r="E338" s="96" t="s">
        <v>2618</v>
      </c>
      <c r="F338" s="96" t="s">
        <v>2619</v>
      </c>
      <c r="G338" s="88">
        <v>0</v>
      </c>
      <c r="H338" s="91">
        <v>0</v>
      </c>
      <c r="I338" s="100" t="s">
        <v>2405</v>
      </c>
    </row>
    <row r="339" spans="1:9">
      <c r="A339" s="95" t="s">
        <v>602</v>
      </c>
      <c r="B339" s="96" t="s">
        <v>1034</v>
      </c>
      <c r="C339" s="96" t="s">
        <v>1241</v>
      </c>
      <c r="D339" s="96" t="s">
        <v>2620</v>
      </c>
      <c r="E339" s="96" t="s">
        <v>2621</v>
      </c>
      <c r="F339" s="96" t="s">
        <v>2622</v>
      </c>
      <c r="G339" s="88">
        <v>0</v>
      </c>
      <c r="H339" s="91">
        <v>0</v>
      </c>
      <c r="I339" s="100" t="s">
        <v>2405</v>
      </c>
    </row>
    <row r="340" spans="1:9">
      <c r="A340" s="95" t="s">
        <v>602</v>
      </c>
      <c r="B340" s="96" t="s">
        <v>1034</v>
      </c>
      <c r="C340" s="96" t="s">
        <v>1241</v>
      </c>
      <c r="D340" s="96" t="s">
        <v>2617</v>
      </c>
      <c r="E340" s="96" t="s">
        <v>2618</v>
      </c>
      <c r="F340" s="96" t="s">
        <v>2623</v>
      </c>
      <c r="G340" s="88">
        <v>0</v>
      </c>
      <c r="H340" s="91">
        <v>0</v>
      </c>
      <c r="I340" s="100" t="s">
        <v>2405</v>
      </c>
    </row>
    <row r="341" spans="1:9">
      <c r="A341" s="95" t="s">
        <v>602</v>
      </c>
      <c r="B341" s="96" t="s">
        <v>1034</v>
      </c>
      <c r="C341" s="96" t="s">
        <v>1241</v>
      </c>
      <c r="D341" s="96" t="s">
        <v>2624</v>
      </c>
      <c r="E341" s="96" t="s">
        <v>2625</v>
      </c>
      <c r="F341" s="96" t="s">
        <v>1631</v>
      </c>
      <c r="G341" s="88">
        <v>0</v>
      </c>
      <c r="H341" s="91">
        <v>0</v>
      </c>
      <c r="I341" s="100" t="s">
        <v>2405</v>
      </c>
    </row>
    <row r="342" spans="1:9">
      <c r="A342" s="95" t="s">
        <v>602</v>
      </c>
      <c r="B342" s="96" t="s">
        <v>1034</v>
      </c>
      <c r="C342" s="96" t="s">
        <v>1241</v>
      </c>
      <c r="D342" s="96" t="s">
        <v>2626</v>
      </c>
      <c r="E342" s="96" t="s">
        <v>2627</v>
      </c>
      <c r="F342" s="96" t="s">
        <v>2628</v>
      </c>
      <c r="G342" s="88">
        <v>83994558472327</v>
      </c>
      <c r="H342" s="91">
        <v>83994.558472327</v>
      </c>
      <c r="I342" s="100" t="s">
        <v>2405</v>
      </c>
    </row>
    <row r="343" spans="1:9">
      <c r="A343" s="95" t="s">
        <v>602</v>
      </c>
      <c r="B343" s="96" t="s">
        <v>1034</v>
      </c>
      <c r="C343" s="96" t="s">
        <v>1241</v>
      </c>
      <c r="D343" s="96" t="s">
        <v>2629</v>
      </c>
      <c r="E343" s="96" t="s">
        <v>2630</v>
      </c>
      <c r="F343" s="96" t="s">
        <v>2631</v>
      </c>
      <c r="G343" s="88">
        <v>0</v>
      </c>
      <c r="H343" s="91">
        <v>0</v>
      </c>
      <c r="I343" s="100" t="s">
        <v>2405</v>
      </c>
    </row>
    <row r="344" spans="1:9">
      <c r="A344" s="95" t="s">
        <v>602</v>
      </c>
      <c r="B344" s="96" t="s">
        <v>1034</v>
      </c>
      <c r="C344" s="96" t="s">
        <v>1241</v>
      </c>
      <c r="D344" s="96" t="s">
        <v>2632</v>
      </c>
      <c r="E344" s="96" t="s">
        <v>2633</v>
      </c>
      <c r="F344" s="96" t="s">
        <v>2634</v>
      </c>
      <c r="G344" s="88">
        <v>41831153715755</v>
      </c>
      <c r="H344" s="91">
        <v>41831.153715754997</v>
      </c>
      <c r="I344" s="100" t="s">
        <v>2405</v>
      </c>
    </row>
    <row r="345" spans="1:9">
      <c r="A345" s="95" t="s">
        <v>602</v>
      </c>
      <c r="B345" s="96" t="s">
        <v>1034</v>
      </c>
      <c r="C345" s="96" t="s">
        <v>1241</v>
      </c>
      <c r="D345" s="96" t="s">
        <v>2635</v>
      </c>
      <c r="E345" s="96" t="s">
        <v>2636</v>
      </c>
      <c r="F345" s="96" t="s">
        <v>2637</v>
      </c>
      <c r="G345" s="88">
        <v>0</v>
      </c>
      <c r="H345" s="91">
        <v>0</v>
      </c>
      <c r="I345" s="100" t="s">
        <v>2405</v>
      </c>
    </row>
    <row r="346" spans="1:9">
      <c r="A346" s="95" t="s">
        <v>602</v>
      </c>
      <c r="B346" s="96" t="s">
        <v>1034</v>
      </c>
      <c r="C346" s="96" t="s">
        <v>1241</v>
      </c>
      <c r="D346" s="96" t="s">
        <v>2638</v>
      </c>
      <c r="E346" s="96" t="s">
        <v>2639</v>
      </c>
      <c r="F346" s="96" t="s">
        <v>2640</v>
      </c>
      <c r="G346" s="88">
        <v>0</v>
      </c>
      <c r="H346" s="91">
        <v>0</v>
      </c>
      <c r="I346" s="100" t="s">
        <v>2405</v>
      </c>
    </row>
    <row r="347" spans="1:9">
      <c r="A347" s="95" t="s">
        <v>602</v>
      </c>
      <c r="B347" s="96" t="s">
        <v>1034</v>
      </c>
      <c r="C347" s="96" t="s">
        <v>1241</v>
      </c>
      <c r="D347" s="96" t="s">
        <v>2641</v>
      </c>
      <c r="E347" s="96" t="s">
        <v>2642</v>
      </c>
      <c r="F347" s="96" t="s">
        <v>2643</v>
      </c>
      <c r="G347" s="88">
        <v>0</v>
      </c>
      <c r="H347" s="91">
        <v>0</v>
      </c>
      <c r="I347" s="100" t="s">
        <v>2405</v>
      </c>
    </row>
    <row r="348" spans="1:9">
      <c r="A348" s="95" t="s">
        <v>602</v>
      </c>
      <c r="B348" s="96" t="s">
        <v>1034</v>
      </c>
      <c r="C348" s="96" t="s">
        <v>1241</v>
      </c>
      <c r="D348" s="96" t="s">
        <v>2644</v>
      </c>
      <c r="E348" s="96" t="s">
        <v>2645</v>
      </c>
      <c r="F348" s="96" t="s">
        <v>2646</v>
      </c>
      <c r="G348" s="88">
        <v>0</v>
      </c>
      <c r="H348" s="91">
        <v>0</v>
      </c>
      <c r="I348" s="100" t="s">
        <v>2405</v>
      </c>
    </row>
    <row r="349" spans="1:9">
      <c r="A349" s="95" t="s">
        <v>602</v>
      </c>
      <c r="B349" s="96" t="s">
        <v>1034</v>
      </c>
      <c r="C349" s="96" t="s">
        <v>1241</v>
      </c>
      <c r="D349" s="96" t="s">
        <v>1759</v>
      </c>
      <c r="E349" s="96" t="s">
        <v>2647</v>
      </c>
      <c r="F349" s="96" t="s">
        <v>2648</v>
      </c>
      <c r="G349" s="88">
        <v>0</v>
      </c>
      <c r="H349" s="91">
        <v>0</v>
      </c>
      <c r="I349" s="100" t="s">
        <v>2405</v>
      </c>
    </row>
    <row r="350" spans="1:9">
      <c r="A350" s="95" t="s">
        <v>602</v>
      </c>
      <c r="B350" s="96" t="s">
        <v>1034</v>
      </c>
      <c r="C350" s="96" t="s">
        <v>1241</v>
      </c>
      <c r="D350" s="96" t="s">
        <v>2649</v>
      </c>
      <c r="E350" s="96" t="s">
        <v>2650</v>
      </c>
      <c r="F350" s="96" t="s">
        <v>2651</v>
      </c>
      <c r="G350" s="88">
        <v>0</v>
      </c>
      <c r="H350" s="91">
        <v>0</v>
      </c>
      <c r="I350" s="100" t="s">
        <v>2405</v>
      </c>
    </row>
    <row r="351" spans="1:9">
      <c r="A351" s="95" t="s">
        <v>602</v>
      </c>
      <c r="B351" s="96" t="s">
        <v>1034</v>
      </c>
      <c r="C351" s="96" t="s">
        <v>1241</v>
      </c>
      <c r="D351" s="96" t="s">
        <v>2652</v>
      </c>
      <c r="E351" s="96" t="s">
        <v>2653</v>
      </c>
      <c r="F351" s="96" t="s">
        <v>2654</v>
      </c>
      <c r="G351" s="88">
        <v>130919306624</v>
      </c>
      <c r="H351" s="91">
        <v>130.919306624</v>
      </c>
      <c r="I351" s="100" t="s">
        <v>2405</v>
      </c>
    </row>
    <row r="352" spans="1:9">
      <c r="A352" s="95" t="s">
        <v>602</v>
      </c>
      <c r="B352" s="96" t="s">
        <v>1034</v>
      </c>
      <c r="C352" s="96" t="s">
        <v>1241</v>
      </c>
      <c r="D352" s="96" t="s">
        <v>2655</v>
      </c>
      <c r="E352" s="96" t="s">
        <v>2656</v>
      </c>
      <c r="F352" s="96" t="s">
        <v>2657</v>
      </c>
      <c r="G352" s="88">
        <v>0</v>
      </c>
      <c r="H352" s="91">
        <v>0</v>
      </c>
      <c r="I352" s="100" t="s">
        <v>2405</v>
      </c>
    </row>
    <row r="353" spans="1:9">
      <c r="A353" s="95" t="s">
        <v>602</v>
      </c>
      <c r="B353" s="96" t="s">
        <v>1034</v>
      </c>
      <c r="C353" s="96" t="s">
        <v>1241</v>
      </c>
      <c r="D353" s="96" t="s">
        <v>2632</v>
      </c>
      <c r="E353" s="96" t="s">
        <v>2633</v>
      </c>
      <c r="F353" s="96" t="s">
        <v>2634</v>
      </c>
      <c r="G353" s="88">
        <v>2964161300000</v>
      </c>
      <c r="H353" s="91">
        <v>2964.1613000000002</v>
      </c>
      <c r="I353" s="100" t="s">
        <v>2405</v>
      </c>
    </row>
    <row r="354" spans="1:9">
      <c r="A354" s="95" t="s">
        <v>602</v>
      </c>
      <c r="B354" s="96" t="s">
        <v>1034</v>
      </c>
      <c r="C354" s="96" t="s">
        <v>1241</v>
      </c>
      <c r="D354" s="96" t="s">
        <v>2658</v>
      </c>
      <c r="E354" s="96" t="s">
        <v>2659</v>
      </c>
      <c r="F354" s="96" t="s">
        <v>2660</v>
      </c>
      <c r="G354" s="88">
        <v>0</v>
      </c>
      <c r="H354" s="91">
        <v>0</v>
      </c>
      <c r="I354" s="100" t="s">
        <v>2405</v>
      </c>
    </row>
    <row r="355" spans="1:9">
      <c r="A355" s="95" t="s">
        <v>602</v>
      </c>
      <c r="B355" s="96" t="s">
        <v>1034</v>
      </c>
      <c r="C355" s="96" t="s">
        <v>1241</v>
      </c>
      <c r="D355" s="96" t="s">
        <v>2661</v>
      </c>
      <c r="E355" s="96" t="s">
        <v>2662</v>
      </c>
      <c r="F355" s="96" t="s">
        <v>2663</v>
      </c>
      <c r="G355" s="88">
        <v>612715630330</v>
      </c>
      <c r="H355" s="91">
        <v>612.71563032999995</v>
      </c>
      <c r="I355" s="100" t="s">
        <v>2405</v>
      </c>
    </row>
    <row r="356" spans="1:9">
      <c r="A356" s="95" t="s">
        <v>602</v>
      </c>
      <c r="B356" s="96" t="s">
        <v>1034</v>
      </c>
      <c r="C356" s="96" t="s">
        <v>1241</v>
      </c>
      <c r="D356" s="96" t="s">
        <v>1862</v>
      </c>
      <c r="E356" s="96" t="s">
        <v>2664</v>
      </c>
      <c r="F356" s="96" t="s">
        <v>2665</v>
      </c>
      <c r="G356" s="88">
        <v>0</v>
      </c>
      <c r="H356" s="91">
        <v>0</v>
      </c>
      <c r="I356" s="100" t="s">
        <v>2405</v>
      </c>
    </row>
    <row r="357" spans="1:9">
      <c r="A357" s="95" t="s">
        <v>602</v>
      </c>
      <c r="B357" s="96" t="s">
        <v>1034</v>
      </c>
      <c r="C357" s="96" t="s">
        <v>1241</v>
      </c>
      <c r="D357" s="96" t="s">
        <v>2644</v>
      </c>
      <c r="E357" s="96" t="s">
        <v>2645</v>
      </c>
      <c r="F357" s="96" t="s">
        <v>2666</v>
      </c>
      <c r="G357" s="88">
        <v>0</v>
      </c>
      <c r="H357" s="91">
        <v>0</v>
      </c>
      <c r="I357" s="100" t="s">
        <v>2405</v>
      </c>
    </row>
    <row r="358" spans="1:9">
      <c r="A358" s="95" t="s">
        <v>602</v>
      </c>
      <c r="B358" s="96" t="s">
        <v>1034</v>
      </c>
      <c r="C358" s="96" t="s">
        <v>1241</v>
      </c>
      <c r="D358" s="96" t="s">
        <v>1868</v>
      </c>
      <c r="E358" s="96" t="s">
        <v>2667</v>
      </c>
      <c r="F358" s="96" t="s">
        <v>2668</v>
      </c>
      <c r="G358" s="88">
        <v>0</v>
      </c>
      <c r="H358" s="91">
        <v>0</v>
      </c>
      <c r="I358" s="100" t="s">
        <v>2405</v>
      </c>
    </row>
    <row r="359" spans="1:9">
      <c r="A359" s="95" t="s">
        <v>602</v>
      </c>
      <c r="B359" s="96" t="s">
        <v>1034</v>
      </c>
      <c r="C359" s="96" t="s">
        <v>1241</v>
      </c>
      <c r="D359" s="96" t="s">
        <v>1872</v>
      </c>
      <c r="E359" s="96" t="s">
        <v>2669</v>
      </c>
      <c r="F359" s="96" t="s">
        <v>2670</v>
      </c>
      <c r="G359" s="88">
        <v>0</v>
      </c>
      <c r="H359" s="91">
        <v>0</v>
      </c>
      <c r="I359" s="100" t="s">
        <v>2405</v>
      </c>
    </row>
    <row r="360" spans="1:9">
      <c r="A360" s="95" t="s">
        <v>602</v>
      </c>
      <c r="B360" s="96" t="s">
        <v>1034</v>
      </c>
      <c r="C360" s="96" t="s">
        <v>1241</v>
      </c>
      <c r="D360" s="96" t="s">
        <v>2671</v>
      </c>
      <c r="E360" s="96" t="s">
        <v>2672</v>
      </c>
      <c r="F360" s="96" t="s">
        <v>2673</v>
      </c>
      <c r="G360" s="88">
        <v>0</v>
      </c>
      <c r="H360" s="91">
        <v>0</v>
      </c>
      <c r="I360" s="100" t="s">
        <v>2405</v>
      </c>
    </row>
    <row r="361" spans="1:9">
      <c r="A361" s="95" t="s">
        <v>602</v>
      </c>
      <c r="B361" s="96" t="s">
        <v>1034</v>
      </c>
      <c r="C361" s="96" t="s">
        <v>1241</v>
      </c>
      <c r="D361" s="96" t="s">
        <v>1882</v>
      </c>
      <c r="E361" s="96" t="s">
        <v>2674</v>
      </c>
      <c r="F361" s="96" t="s">
        <v>2675</v>
      </c>
      <c r="G361" s="88">
        <v>0</v>
      </c>
      <c r="H361" s="91">
        <v>0</v>
      </c>
      <c r="I361" s="100" t="s">
        <v>2405</v>
      </c>
    </row>
    <row r="362" spans="1:9">
      <c r="A362" s="95" t="s">
        <v>602</v>
      </c>
      <c r="B362" s="96" t="s">
        <v>1034</v>
      </c>
      <c r="C362" s="96" t="s">
        <v>1241</v>
      </c>
      <c r="D362" s="96" t="s">
        <v>2629</v>
      </c>
      <c r="E362" s="96" t="s">
        <v>2630</v>
      </c>
      <c r="F362" s="96" t="s">
        <v>2631</v>
      </c>
      <c r="G362" s="88">
        <v>0</v>
      </c>
      <c r="H362" s="91">
        <v>0</v>
      </c>
      <c r="I362" s="100" t="s">
        <v>2405</v>
      </c>
    </row>
    <row r="363" spans="1:9">
      <c r="A363" s="95" t="s">
        <v>602</v>
      </c>
      <c r="B363" s="96" t="s">
        <v>1034</v>
      </c>
      <c r="C363" s="96" t="s">
        <v>1241</v>
      </c>
      <c r="D363" s="96" t="s">
        <v>2676</v>
      </c>
      <c r="E363" s="96" t="s">
        <v>2677</v>
      </c>
      <c r="F363" s="96" t="s">
        <v>2678</v>
      </c>
      <c r="G363" s="88">
        <v>14696931770000</v>
      </c>
      <c r="H363" s="91">
        <v>14696.931769999999</v>
      </c>
      <c r="I363" s="100" t="s">
        <v>2405</v>
      </c>
    </row>
    <row r="364" spans="1:9">
      <c r="A364" s="95" t="s">
        <v>602</v>
      </c>
      <c r="B364" s="96" t="s">
        <v>1034</v>
      </c>
      <c r="C364" s="96" t="s">
        <v>1241</v>
      </c>
      <c r="D364" s="96" t="s">
        <v>2679</v>
      </c>
      <c r="E364" s="96" t="s">
        <v>2680</v>
      </c>
      <c r="F364" s="96" t="s">
        <v>2681</v>
      </c>
      <c r="G364" s="88">
        <v>0</v>
      </c>
      <c r="H364" s="91">
        <v>0</v>
      </c>
      <c r="I364" s="100" t="s">
        <v>2405</v>
      </c>
    </row>
    <row r="365" spans="1:9">
      <c r="A365" s="95" t="s">
        <v>602</v>
      </c>
      <c r="B365" s="96" t="s">
        <v>1034</v>
      </c>
      <c r="C365" s="96" t="s">
        <v>1241</v>
      </c>
      <c r="D365" s="96" t="s">
        <v>2682</v>
      </c>
      <c r="E365" s="96" t="s">
        <v>2683</v>
      </c>
      <c r="F365" s="96" t="s">
        <v>2684</v>
      </c>
      <c r="G365" s="88">
        <v>18068194576180</v>
      </c>
      <c r="H365" s="91">
        <v>18068.194576180002</v>
      </c>
      <c r="I365" s="100" t="s">
        <v>2405</v>
      </c>
    </row>
    <row r="366" spans="1:9">
      <c r="A366" s="95" t="s">
        <v>602</v>
      </c>
      <c r="B366" s="96" t="s">
        <v>1034</v>
      </c>
      <c r="C366" s="96" t="s">
        <v>1241</v>
      </c>
      <c r="D366" s="96" t="s">
        <v>2685</v>
      </c>
      <c r="E366" s="96" t="s">
        <v>2686</v>
      </c>
      <c r="F366" s="96" t="s">
        <v>2687</v>
      </c>
      <c r="G366" s="88">
        <v>2714430743085</v>
      </c>
      <c r="H366" s="91">
        <v>2714.4307430849999</v>
      </c>
      <c r="I366" s="100" t="s">
        <v>2405</v>
      </c>
    </row>
    <row r="367" spans="1:9">
      <c r="A367" s="95" t="s">
        <v>602</v>
      </c>
      <c r="B367" s="96" t="s">
        <v>1034</v>
      </c>
      <c r="C367" s="96" t="s">
        <v>1241</v>
      </c>
      <c r="D367" s="96" t="s">
        <v>1810</v>
      </c>
      <c r="E367" s="96" t="s">
        <v>2688</v>
      </c>
      <c r="F367" s="96" t="s">
        <v>2689</v>
      </c>
      <c r="G367" s="88">
        <v>130919306624</v>
      </c>
      <c r="H367" s="91">
        <v>130.919306624</v>
      </c>
      <c r="I367" s="100" t="s">
        <v>2405</v>
      </c>
    </row>
    <row r="368" spans="1:9">
      <c r="A368" s="95" t="s">
        <v>602</v>
      </c>
      <c r="B368" s="96" t="s">
        <v>1034</v>
      </c>
      <c r="C368" s="96" t="s">
        <v>1241</v>
      </c>
      <c r="D368" s="96" t="s">
        <v>1834</v>
      </c>
      <c r="E368" s="96" t="s">
        <v>2690</v>
      </c>
      <c r="F368" s="96" t="s">
        <v>2691</v>
      </c>
      <c r="G368" s="88">
        <v>0</v>
      </c>
      <c r="H368" s="91">
        <v>0</v>
      </c>
      <c r="I368" s="100" t="s">
        <v>2405</v>
      </c>
    </row>
    <row r="369" spans="1:9">
      <c r="A369" s="95" t="s">
        <v>602</v>
      </c>
      <c r="B369" s="96" t="s">
        <v>1034</v>
      </c>
      <c r="C369" s="96" t="s">
        <v>1241</v>
      </c>
      <c r="D369" s="96" t="s">
        <v>2390</v>
      </c>
      <c r="E369" s="96" t="s">
        <v>2391</v>
      </c>
      <c r="F369" s="96" t="s">
        <v>2692</v>
      </c>
      <c r="G369" s="88">
        <v>619477265899</v>
      </c>
      <c r="H369" s="91">
        <v>619.47726589900003</v>
      </c>
      <c r="I369" s="100" t="s">
        <v>2405</v>
      </c>
    </row>
    <row r="370" spans="1:9">
      <c r="A370" s="95" t="s">
        <v>602</v>
      </c>
      <c r="B370" s="96" t="s">
        <v>1034</v>
      </c>
      <c r="C370" s="96" t="s">
        <v>1241</v>
      </c>
      <c r="D370" s="96" t="s">
        <v>2693</v>
      </c>
      <c r="E370" s="96" t="s">
        <v>2694</v>
      </c>
      <c r="F370" s="96" t="s">
        <v>2695</v>
      </c>
      <c r="G370" s="88">
        <v>0</v>
      </c>
      <c r="H370" s="91">
        <v>0</v>
      </c>
      <c r="I370" s="100" t="s">
        <v>2405</v>
      </c>
    </row>
    <row r="371" spans="1:9">
      <c r="A371" s="95" t="s">
        <v>2406</v>
      </c>
      <c r="B371" s="96" t="s">
        <v>2333</v>
      </c>
      <c r="C371" s="96" t="s">
        <v>1241</v>
      </c>
      <c r="D371" s="96" t="s">
        <v>68</v>
      </c>
      <c r="E371" s="96" t="s">
        <v>2411</v>
      </c>
      <c r="F371" s="96" t="s">
        <v>2412</v>
      </c>
      <c r="G371" s="88">
        <v>21787052185671</v>
      </c>
      <c r="H371" s="91">
        <v>21787.052185671</v>
      </c>
      <c r="I371" s="100" t="s">
        <v>2337</v>
      </c>
    </row>
    <row r="372" spans="1:9">
      <c r="A372" s="95" t="s">
        <v>2406</v>
      </c>
      <c r="B372" s="96" t="s">
        <v>2333</v>
      </c>
      <c r="C372" s="96" t="s">
        <v>1241</v>
      </c>
      <c r="D372" s="96" t="s">
        <v>58</v>
      </c>
      <c r="E372" s="96" t="s">
        <v>2413</v>
      </c>
      <c r="F372" s="96" t="s">
        <v>2414</v>
      </c>
      <c r="G372" s="88">
        <v>2869851759629</v>
      </c>
      <c r="H372" s="91">
        <v>2869.8517596289998</v>
      </c>
      <c r="I372" s="100" t="s">
        <v>2337</v>
      </c>
    </row>
    <row r="373" spans="1:9">
      <c r="A373" s="95" t="s">
        <v>2406</v>
      </c>
      <c r="B373" s="96" t="s">
        <v>2333</v>
      </c>
      <c r="C373" s="96" t="s">
        <v>1241</v>
      </c>
      <c r="D373" s="96" t="s">
        <v>1699</v>
      </c>
      <c r="E373" s="96" t="s">
        <v>2415</v>
      </c>
      <c r="F373" s="96" t="s">
        <v>2416</v>
      </c>
      <c r="G373" s="88">
        <v>385251759629</v>
      </c>
      <c r="H373" s="91">
        <v>385.25175962899999</v>
      </c>
      <c r="I373" s="100" t="s">
        <v>2337</v>
      </c>
    </row>
    <row r="374" spans="1:9">
      <c r="A374" s="95" t="s">
        <v>2406</v>
      </c>
      <c r="B374" s="96" t="s">
        <v>2333</v>
      </c>
      <c r="C374" s="96" t="s">
        <v>1241</v>
      </c>
      <c r="D374" s="96" t="s">
        <v>1701</v>
      </c>
      <c r="E374" s="96" t="s">
        <v>2417</v>
      </c>
      <c r="F374" s="96" t="s">
        <v>2418</v>
      </c>
      <c r="G374" s="88">
        <v>2484600000000</v>
      </c>
      <c r="H374" s="91">
        <v>2484.6</v>
      </c>
      <c r="I374" s="100" t="s">
        <v>2337</v>
      </c>
    </row>
    <row r="375" spans="1:9">
      <c r="A375" s="95" t="s">
        <v>2406</v>
      </c>
      <c r="B375" s="96" t="s">
        <v>2333</v>
      </c>
      <c r="C375" s="96" t="s">
        <v>1241</v>
      </c>
      <c r="D375" s="96" t="s">
        <v>2053</v>
      </c>
      <c r="E375" s="96" t="s">
        <v>2419</v>
      </c>
      <c r="F375" s="96" t="s">
        <v>2420</v>
      </c>
      <c r="G375" s="88">
        <v>5929000000000</v>
      </c>
      <c r="H375" s="91">
        <v>5929</v>
      </c>
      <c r="I375" s="100" t="s">
        <v>2337</v>
      </c>
    </row>
    <row r="376" spans="1:9">
      <c r="A376" s="95" t="s">
        <v>2406</v>
      </c>
      <c r="B376" s="96" t="s">
        <v>2333</v>
      </c>
      <c r="C376" s="96" t="s">
        <v>1241</v>
      </c>
      <c r="D376" s="96" t="s">
        <v>2053</v>
      </c>
      <c r="E376" s="96" t="s">
        <v>2419</v>
      </c>
      <c r="F376" s="96" t="s">
        <v>2420</v>
      </c>
      <c r="G376" s="88">
        <v>0</v>
      </c>
      <c r="H376" s="91">
        <v>0</v>
      </c>
      <c r="I376" s="100" t="s">
        <v>2337</v>
      </c>
    </row>
    <row r="377" spans="1:9">
      <c r="A377" s="95" t="s">
        <v>2406</v>
      </c>
      <c r="B377" s="96" t="s">
        <v>2333</v>
      </c>
      <c r="C377" s="96" t="s">
        <v>1241</v>
      </c>
      <c r="D377" s="96" t="s">
        <v>2421</v>
      </c>
      <c r="E377" s="96" t="s">
        <v>2422</v>
      </c>
      <c r="F377" s="96" t="s">
        <v>2423</v>
      </c>
      <c r="G377" s="88">
        <v>0</v>
      </c>
      <c r="H377" s="91">
        <v>0</v>
      </c>
      <c r="I377" s="100" t="s">
        <v>2337</v>
      </c>
    </row>
    <row r="378" spans="1:9">
      <c r="A378" s="95" t="s">
        <v>2406</v>
      </c>
      <c r="B378" s="96" t="s">
        <v>2333</v>
      </c>
      <c r="C378" s="96" t="s">
        <v>1241</v>
      </c>
      <c r="D378" s="96" t="s">
        <v>2424</v>
      </c>
      <c r="E378" s="96" t="s">
        <v>2425</v>
      </c>
      <c r="F378" s="96" t="s">
        <v>2426</v>
      </c>
      <c r="G378" s="88">
        <v>728878339921</v>
      </c>
      <c r="H378" s="91">
        <v>728.87833992100002</v>
      </c>
      <c r="I378" s="100" t="s">
        <v>2337</v>
      </c>
    </row>
    <row r="379" spans="1:9">
      <c r="A379" s="95" t="s">
        <v>2406</v>
      </c>
      <c r="B379" s="96" t="s">
        <v>2333</v>
      </c>
      <c r="C379" s="96" t="s">
        <v>1241</v>
      </c>
      <c r="D379" s="96" t="s">
        <v>2427</v>
      </c>
      <c r="E379" s="96" t="s">
        <v>2428</v>
      </c>
      <c r="F379" s="96" t="s">
        <v>2429</v>
      </c>
      <c r="G379" s="88">
        <v>233091257926</v>
      </c>
      <c r="H379" s="91">
        <v>233.091257926</v>
      </c>
      <c r="I379" s="100" t="s">
        <v>2337</v>
      </c>
    </row>
    <row r="380" spans="1:9">
      <c r="A380" s="95" t="s">
        <v>2406</v>
      </c>
      <c r="B380" s="96" t="s">
        <v>2333</v>
      </c>
      <c r="C380" s="96" t="s">
        <v>1241</v>
      </c>
      <c r="D380" s="96" t="s">
        <v>2430</v>
      </c>
      <c r="E380" s="96" t="s">
        <v>2431</v>
      </c>
      <c r="F380" s="96" t="s">
        <v>2432</v>
      </c>
      <c r="G380" s="88">
        <v>94792455388</v>
      </c>
      <c r="H380" s="91">
        <v>94.792455387999993</v>
      </c>
      <c r="I380" s="100" t="s">
        <v>2337</v>
      </c>
    </row>
    <row r="381" spans="1:9">
      <c r="A381" s="95" t="s">
        <v>2406</v>
      </c>
      <c r="B381" s="96" t="s">
        <v>2333</v>
      </c>
      <c r="C381" s="96" t="s">
        <v>1241</v>
      </c>
      <c r="D381" s="96" t="s">
        <v>2433</v>
      </c>
      <c r="E381" s="96" t="s">
        <v>2434</v>
      </c>
      <c r="F381" s="96" t="s">
        <v>2435</v>
      </c>
      <c r="G381" s="88">
        <v>0</v>
      </c>
      <c r="H381" s="91">
        <v>0</v>
      </c>
      <c r="I381" s="100" t="s">
        <v>2337</v>
      </c>
    </row>
    <row r="382" spans="1:9">
      <c r="A382" s="95" t="s">
        <v>2406</v>
      </c>
      <c r="B382" s="96" t="s">
        <v>2333</v>
      </c>
      <c r="C382" s="96" t="s">
        <v>1241</v>
      </c>
      <c r="D382" s="96" t="s">
        <v>2436</v>
      </c>
      <c r="E382" s="96" t="s">
        <v>2437</v>
      </c>
      <c r="F382" s="96" t="s">
        <v>2438</v>
      </c>
      <c r="G382" s="88">
        <v>0</v>
      </c>
      <c r="H382" s="91">
        <v>0</v>
      </c>
      <c r="I382" s="100" t="s">
        <v>2337</v>
      </c>
    </row>
    <row r="383" spans="1:9">
      <c r="A383" s="95" t="s">
        <v>2406</v>
      </c>
      <c r="B383" s="96" t="s">
        <v>2333</v>
      </c>
      <c r="C383" s="96" t="s">
        <v>1241</v>
      </c>
      <c r="D383" s="96" t="s">
        <v>2439</v>
      </c>
      <c r="E383" s="96" t="s">
        <v>2440</v>
      </c>
      <c r="F383" s="96" t="s">
        <v>2441</v>
      </c>
      <c r="G383" s="88">
        <v>410499058289</v>
      </c>
      <c r="H383" s="91">
        <v>410.499058289</v>
      </c>
      <c r="I383" s="100" t="s">
        <v>2337</v>
      </c>
    </row>
    <row r="384" spans="1:9">
      <c r="A384" s="95" t="s">
        <v>2406</v>
      </c>
      <c r="B384" s="96" t="s">
        <v>2333</v>
      </c>
      <c r="C384" s="96" t="s">
        <v>1241</v>
      </c>
      <c r="D384" s="96" t="s">
        <v>2442</v>
      </c>
      <c r="E384" s="96" t="s">
        <v>2443</v>
      </c>
      <c r="F384" s="96" t="s">
        <v>2444</v>
      </c>
      <c r="G384" s="88">
        <v>-9504431682</v>
      </c>
      <c r="H384" s="91">
        <v>-9.5044316819999999</v>
      </c>
      <c r="I384" s="100" t="s">
        <v>2337</v>
      </c>
    </row>
    <row r="385" spans="1:9">
      <c r="A385" s="95" t="s">
        <v>2406</v>
      </c>
      <c r="B385" s="96" t="s">
        <v>2333</v>
      </c>
      <c r="C385" s="96" t="s">
        <v>1241</v>
      </c>
      <c r="D385" s="96" t="s">
        <v>2445</v>
      </c>
      <c r="E385" s="96" t="s">
        <v>2446</v>
      </c>
      <c r="F385" s="96" t="s">
        <v>2447</v>
      </c>
      <c r="G385" s="88">
        <v>11926663463990</v>
      </c>
      <c r="H385" s="91">
        <v>11926.66346399</v>
      </c>
      <c r="I385" s="100" t="s">
        <v>2337</v>
      </c>
    </row>
    <row r="386" spans="1:9">
      <c r="A386" s="95" t="s">
        <v>2406</v>
      </c>
      <c r="B386" s="96" t="s">
        <v>2333</v>
      </c>
      <c r="C386" s="96" t="s">
        <v>1241</v>
      </c>
      <c r="D386" s="96" t="s">
        <v>64</v>
      </c>
      <c r="E386" s="96" t="s">
        <v>2448</v>
      </c>
      <c r="F386" s="96" t="s">
        <v>2449</v>
      </c>
      <c r="G386" s="88">
        <v>12012604661865</v>
      </c>
      <c r="H386" s="91">
        <v>12012.604661865</v>
      </c>
      <c r="I386" s="100" t="s">
        <v>2337</v>
      </c>
    </row>
    <row r="387" spans="1:9">
      <c r="A387" s="95" t="s">
        <v>2406</v>
      </c>
      <c r="B387" s="96" t="s">
        <v>2333</v>
      </c>
      <c r="C387" s="96" t="s">
        <v>1241</v>
      </c>
      <c r="D387" s="96" t="s">
        <v>2450</v>
      </c>
      <c r="E387" s="96" t="s">
        <v>2451</v>
      </c>
      <c r="F387" s="96" t="s">
        <v>2452</v>
      </c>
      <c r="G387" s="88">
        <v>-85941197875</v>
      </c>
      <c r="H387" s="91">
        <v>-85.941197875</v>
      </c>
      <c r="I387" s="100" t="s">
        <v>2337</v>
      </c>
    </row>
    <row r="388" spans="1:9">
      <c r="A388" s="95" t="s">
        <v>2406</v>
      </c>
      <c r="B388" s="96" t="s">
        <v>2333</v>
      </c>
      <c r="C388" s="96" t="s">
        <v>1241</v>
      </c>
      <c r="D388" s="96" t="s">
        <v>2059</v>
      </c>
      <c r="E388" s="96" t="s">
        <v>2453</v>
      </c>
      <c r="F388" s="96" t="s">
        <v>2454</v>
      </c>
      <c r="G388" s="88">
        <v>332658622131</v>
      </c>
      <c r="H388" s="91">
        <v>332.65862213100002</v>
      </c>
      <c r="I388" s="100" t="s">
        <v>2337</v>
      </c>
    </row>
    <row r="389" spans="1:9">
      <c r="A389" s="95" t="s">
        <v>2406</v>
      </c>
      <c r="B389" s="96" t="s">
        <v>2333</v>
      </c>
      <c r="C389" s="96" t="s">
        <v>1241</v>
      </c>
      <c r="D389" s="96" t="s">
        <v>2455</v>
      </c>
      <c r="E389" s="96" t="s">
        <v>2456</v>
      </c>
      <c r="F389" s="96" t="s">
        <v>2457</v>
      </c>
      <c r="G389" s="88">
        <v>262782269911</v>
      </c>
      <c r="H389" s="91">
        <v>262.78226991100001</v>
      </c>
      <c r="I389" s="100" t="s">
        <v>2337</v>
      </c>
    </row>
    <row r="390" spans="1:9">
      <c r="A390" s="95" t="s">
        <v>2406</v>
      </c>
      <c r="B390" s="96" t="s">
        <v>2333</v>
      </c>
      <c r="C390" s="96" t="s">
        <v>1241</v>
      </c>
      <c r="D390" s="96" t="s">
        <v>2458</v>
      </c>
      <c r="E390" s="96" t="s">
        <v>2459</v>
      </c>
      <c r="F390" s="96" t="s">
        <v>2460</v>
      </c>
      <c r="G390" s="88">
        <v>47661947145</v>
      </c>
      <c r="H390" s="91">
        <v>47.661947144999999</v>
      </c>
      <c r="I390" s="100" t="s">
        <v>2337</v>
      </c>
    </row>
    <row r="391" spans="1:9">
      <c r="A391" s="95" t="s">
        <v>2406</v>
      </c>
      <c r="B391" s="96" t="s">
        <v>2333</v>
      </c>
      <c r="C391" s="96" t="s">
        <v>1241</v>
      </c>
      <c r="D391" s="96" t="s">
        <v>2461</v>
      </c>
      <c r="E391" s="96" t="s">
        <v>2462</v>
      </c>
      <c r="F391" s="96" t="s">
        <v>2463</v>
      </c>
      <c r="G391" s="88">
        <v>22214405075</v>
      </c>
      <c r="H391" s="91">
        <v>22.214405074999998</v>
      </c>
      <c r="I391" s="100" t="s">
        <v>2337</v>
      </c>
    </row>
    <row r="392" spans="1:9">
      <c r="A392" s="95" t="s">
        <v>2406</v>
      </c>
      <c r="B392" s="96" t="s">
        <v>2333</v>
      </c>
      <c r="C392" s="96" t="s">
        <v>1241</v>
      </c>
      <c r="D392" s="96" t="s">
        <v>2059</v>
      </c>
      <c r="E392" s="96" t="s">
        <v>2453</v>
      </c>
      <c r="F392" s="96" t="s">
        <v>2454</v>
      </c>
      <c r="G392" s="88">
        <v>0</v>
      </c>
      <c r="H392" s="91">
        <v>0</v>
      </c>
      <c r="I392" s="100" t="s">
        <v>2337</v>
      </c>
    </row>
    <row r="393" spans="1:9">
      <c r="A393" s="95" t="s">
        <v>2406</v>
      </c>
      <c r="B393" s="96" t="s">
        <v>2333</v>
      </c>
      <c r="C393" s="96" t="s">
        <v>1241</v>
      </c>
      <c r="D393" s="96" t="s">
        <v>1753</v>
      </c>
      <c r="E393" s="96" t="s">
        <v>2464</v>
      </c>
      <c r="F393" s="96" t="s">
        <v>2465</v>
      </c>
      <c r="G393" s="88">
        <v>1927183984705</v>
      </c>
      <c r="H393" s="91">
        <v>1927.1839847050001</v>
      </c>
      <c r="I393" s="100" t="s">
        <v>2337</v>
      </c>
    </row>
    <row r="394" spans="1:9">
      <c r="A394" s="95" t="s">
        <v>2406</v>
      </c>
      <c r="B394" s="96" t="s">
        <v>2333</v>
      </c>
      <c r="C394" s="96" t="s">
        <v>1241</v>
      </c>
      <c r="D394" s="96" t="s">
        <v>1757</v>
      </c>
      <c r="E394" s="96" t="s">
        <v>2466</v>
      </c>
      <c r="F394" s="96" t="s">
        <v>2467</v>
      </c>
      <c r="G394" s="88">
        <v>194450060810</v>
      </c>
      <c r="H394" s="91">
        <v>194.45006081</v>
      </c>
      <c r="I394" s="100" t="s">
        <v>2337</v>
      </c>
    </row>
    <row r="395" spans="1:9">
      <c r="A395" s="95" t="s">
        <v>2406</v>
      </c>
      <c r="B395" s="96" t="s">
        <v>2333</v>
      </c>
      <c r="C395" s="96" t="s">
        <v>1241</v>
      </c>
      <c r="D395" s="96" t="s">
        <v>2468</v>
      </c>
      <c r="E395" s="96" t="s">
        <v>2469</v>
      </c>
      <c r="F395" s="96" t="s">
        <v>2470</v>
      </c>
      <c r="G395" s="88">
        <v>0</v>
      </c>
      <c r="H395" s="91">
        <v>0</v>
      </c>
      <c r="I395" s="100" t="s">
        <v>2337</v>
      </c>
    </row>
    <row r="396" spans="1:9">
      <c r="A396" s="95" t="s">
        <v>2406</v>
      </c>
      <c r="B396" s="96" t="s">
        <v>2333</v>
      </c>
      <c r="C396" s="96" t="s">
        <v>1241</v>
      </c>
      <c r="D396" s="96" t="s">
        <v>2471</v>
      </c>
      <c r="E396" s="96" t="s">
        <v>2472</v>
      </c>
      <c r="F396" s="96" t="s">
        <v>2473</v>
      </c>
      <c r="G396" s="88">
        <v>0</v>
      </c>
      <c r="H396" s="91">
        <v>0</v>
      </c>
      <c r="I396" s="100" t="s">
        <v>2337</v>
      </c>
    </row>
    <row r="397" spans="1:9">
      <c r="A397" s="95" t="s">
        <v>2406</v>
      </c>
      <c r="B397" s="96" t="s">
        <v>2333</v>
      </c>
      <c r="C397" s="96" t="s">
        <v>1241</v>
      </c>
      <c r="D397" s="96" t="s">
        <v>1767</v>
      </c>
      <c r="E397" s="96" t="s">
        <v>2474</v>
      </c>
      <c r="F397" s="96" t="s">
        <v>2475</v>
      </c>
      <c r="G397" s="88">
        <v>194450060810</v>
      </c>
      <c r="H397" s="91">
        <v>194.45006081</v>
      </c>
      <c r="I397" s="100" t="s">
        <v>2337</v>
      </c>
    </row>
    <row r="398" spans="1:9">
      <c r="A398" s="95" t="s">
        <v>2406</v>
      </c>
      <c r="B398" s="96" t="s">
        <v>2333</v>
      </c>
      <c r="C398" s="96" t="s">
        <v>1241</v>
      </c>
      <c r="D398" s="96" t="s">
        <v>2476</v>
      </c>
      <c r="E398" s="96" t="s">
        <v>2477</v>
      </c>
      <c r="F398" s="96" t="s">
        <v>2478</v>
      </c>
      <c r="G398" s="88">
        <v>0</v>
      </c>
      <c r="H398" s="91">
        <v>0</v>
      </c>
      <c r="I398" s="100" t="s">
        <v>2337</v>
      </c>
    </row>
    <row r="399" spans="1:9">
      <c r="A399" s="95" t="s">
        <v>2406</v>
      </c>
      <c r="B399" s="96" t="s">
        <v>2333</v>
      </c>
      <c r="C399" s="96" t="s">
        <v>1241</v>
      </c>
      <c r="D399" s="96" t="s">
        <v>70</v>
      </c>
      <c r="E399" s="96" t="s">
        <v>2061</v>
      </c>
      <c r="F399" s="96" t="s">
        <v>2479</v>
      </c>
      <c r="G399" s="88">
        <v>1574317843107</v>
      </c>
      <c r="H399" s="91">
        <v>1574.317843107</v>
      </c>
      <c r="I399" s="100" t="s">
        <v>2337</v>
      </c>
    </row>
    <row r="400" spans="1:9">
      <c r="A400" s="95" t="s">
        <v>2406</v>
      </c>
      <c r="B400" s="96" t="s">
        <v>2333</v>
      </c>
      <c r="C400" s="96" t="s">
        <v>1241</v>
      </c>
      <c r="D400" s="96" t="s">
        <v>1771</v>
      </c>
      <c r="E400" s="96" t="s">
        <v>2480</v>
      </c>
      <c r="F400" s="96" t="s">
        <v>2481</v>
      </c>
      <c r="G400" s="88">
        <v>1196539820561</v>
      </c>
      <c r="H400" s="91">
        <v>1196.5398205609999</v>
      </c>
      <c r="I400" s="100" t="s">
        <v>2337</v>
      </c>
    </row>
    <row r="401" spans="1:9">
      <c r="A401" s="95" t="s">
        <v>2406</v>
      </c>
      <c r="B401" s="96" t="s">
        <v>2333</v>
      </c>
      <c r="C401" s="96" t="s">
        <v>1241</v>
      </c>
      <c r="D401" s="96" t="s">
        <v>1773</v>
      </c>
      <c r="E401" s="96" t="s">
        <v>2482</v>
      </c>
      <c r="F401" s="96" t="s">
        <v>2483</v>
      </c>
      <c r="G401" s="88">
        <v>2285328752900</v>
      </c>
      <c r="H401" s="91">
        <v>2285.3287528999999</v>
      </c>
      <c r="I401" s="100" t="s">
        <v>2337</v>
      </c>
    </row>
    <row r="402" spans="1:9">
      <c r="A402" s="95" t="s">
        <v>2406</v>
      </c>
      <c r="B402" s="96" t="s">
        <v>2333</v>
      </c>
      <c r="C402" s="96" t="s">
        <v>1241</v>
      </c>
      <c r="D402" s="96" t="s">
        <v>1775</v>
      </c>
      <c r="E402" s="96" t="s">
        <v>2484</v>
      </c>
      <c r="F402" s="96" t="s">
        <v>2485</v>
      </c>
      <c r="G402" s="88">
        <v>-1088788932339</v>
      </c>
      <c r="H402" s="91">
        <v>-1088.788932339</v>
      </c>
      <c r="I402" s="100" t="s">
        <v>2337</v>
      </c>
    </row>
    <row r="403" spans="1:9">
      <c r="A403" s="95" t="s">
        <v>2406</v>
      </c>
      <c r="B403" s="96" t="s">
        <v>2333</v>
      </c>
      <c r="C403" s="96" t="s">
        <v>1241</v>
      </c>
      <c r="D403" s="96" t="s">
        <v>2486</v>
      </c>
      <c r="E403" s="96" t="s">
        <v>2487</v>
      </c>
      <c r="F403" s="96" t="s">
        <v>2488</v>
      </c>
      <c r="G403" s="88">
        <v>0</v>
      </c>
      <c r="H403" s="91">
        <v>0</v>
      </c>
      <c r="I403" s="100" t="s">
        <v>2337</v>
      </c>
    </row>
    <row r="404" spans="1:9">
      <c r="A404" s="95" t="s">
        <v>2406</v>
      </c>
      <c r="B404" s="96" t="s">
        <v>2333</v>
      </c>
      <c r="C404" s="96" t="s">
        <v>1241</v>
      </c>
      <c r="D404" s="96" t="s">
        <v>1773</v>
      </c>
      <c r="E404" s="96" t="s">
        <v>2482</v>
      </c>
      <c r="F404" s="96" t="s">
        <v>2489</v>
      </c>
      <c r="G404" s="88">
        <v>0</v>
      </c>
      <c r="H404" s="91">
        <v>0</v>
      </c>
      <c r="I404" s="100" t="s">
        <v>2337</v>
      </c>
    </row>
    <row r="405" spans="1:9">
      <c r="A405" s="95" t="s">
        <v>2406</v>
      </c>
      <c r="B405" s="96" t="s">
        <v>2333</v>
      </c>
      <c r="C405" s="96" t="s">
        <v>1241</v>
      </c>
      <c r="D405" s="96" t="s">
        <v>1775</v>
      </c>
      <c r="E405" s="96" t="s">
        <v>2484</v>
      </c>
      <c r="F405" s="96" t="s">
        <v>2490</v>
      </c>
      <c r="G405" s="88">
        <v>0</v>
      </c>
      <c r="H405" s="91">
        <v>0</v>
      </c>
      <c r="I405" s="100" t="s">
        <v>2337</v>
      </c>
    </row>
    <row r="406" spans="1:9">
      <c r="A406" s="95" t="s">
        <v>2406</v>
      </c>
      <c r="B406" s="96" t="s">
        <v>2333</v>
      </c>
      <c r="C406" s="96" t="s">
        <v>1241</v>
      </c>
      <c r="D406" s="96" t="s">
        <v>1781</v>
      </c>
      <c r="E406" s="96" t="s">
        <v>2491</v>
      </c>
      <c r="F406" s="96" t="s">
        <v>2492</v>
      </c>
      <c r="G406" s="88">
        <v>377778022546</v>
      </c>
      <c r="H406" s="91">
        <v>377.77802254599999</v>
      </c>
      <c r="I406" s="100" t="s">
        <v>2337</v>
      </c>
    </row>
    <row r="407" spans="1:9">
      <c r="A407" s="95" t="s">
        <v>2406</v>
      </c>
      <c r="B407" s="96" t="s">
        <v>2333</v>
      </c>
      <c r="C407" s="96" t="s">
        <v>1241</v>
      </c>
      <c r="D407" s="96" t="s">
        <v>1773</v>
      </c>
      <c r="E407" s="96" t="s">
        <v>2482</v>
      </c>
      <c r="F407" s="96" t="s">
        <v>2493</v>
      </c>
      <c r="G407" s="88">
        <v>495746297007</v>
      </c>
      <c r="H407" s="91">
        <v>495.74629700700001</v>
      </c>
      <c r="I407" s="100" t="s">
        <v>2337</v>
      </c>
    </row>
    <row r="408" spans="1:9">
      <c r="A408" s="95" t="s">
        <v>2406</v>
      </c>
      <c r="B408" s="96" t="s">
        <v>2333</v>
      </c>
      <c r="C408" s="96" t="s">
        <v>1241</v>
      </c>
      <c r="D408" s="96" t="s">
        <v>1775</v>
      </c>
      <c r="E408" s="96" t="s">
        <v>2484</v>
      </c>
      <c r="F408" s="96" t="s">
        <v>2494</v>
      </c>
      <c r="G408" s="88">
        <v>-117968274461</v>
      </c>
      <c r="H408" s="91">
        <v>-117.96827446099999</v>
      </c>
      <c r="I408" s="100" t="s">
        <v>2337</v>
      </c>
    </row>
    <row r="409" spans="1:9">
      <c r="A409" s="95" t="s">
        <v>2406</v>
      </c>
      <c r="B409" s="96" t="s">
        <v>2333</v>
      </c>
      <c r="C409" s="96" t="s">
        <v>1241</v>
      </c>
      <c r="D409" s="96" t="s">
        <v>2495</v>
      </c>
      <c r="E409" s="96" t="s">
        <v>2496</v>
      </c>
      <c r="F409" s="96" t="s">
        <v>2497</v>
      </c>
      <c r="G409" s="88">
        <v>0</v>
      </c>
      <c r="H409" s="91">
        <v>0</v>
      </c>
      <c r="I409" s="100" t="s">
        <v>2337</v>
      </c>
    </row>
    <row r="410" spans="1:9">
      <c r="A410" s="95" t="s">
        <v>2406</v>
      </c>
      <c r="B410" s="96" t="s">
        <v>2333</v>
      </c>
      <c r="C410" s="96" t="s">
        <v>1241</v>
      </c>
      <c r="D410" s="96" t="s">
        <v>1802</v>
      </c>
      <c r="E410" s="96" t="s">
        <v>2498</v>
      </c>
      <c r="F410" s="96" t="s">
        <v>2499</v>
      </c>
      <c r="G410" s="88">
        <v>0</v>
      </c>
      <c r="H410" s="91">
        <v>0</v>
      </c>
      <c r="I410" s="100" t="s">
        <v>2337</v>
      </c>
    </row>
    <row r="411" spans="1:9">
      <c r="A411" s="95" t="s">
        <v>2406</v>
      </c>
      <c r="B411" s="96" t="s">
        <v>2333</v>
      </c>
      <c r="C411" s="96" t="s">
        <v>1241</v>
      </c>
      <c r="D411" s="96" t="s">
        <v>1773</v>
      </c>
      <c r="E411" s="96" t="s">
        <v>2482</v>
      </c>
      <c r="F411" s="96" t="s">
        <v>2500</v>
      </c>
      <c r="G411" s="88">
        <v>0</v>
      </c>
      <c r="H411" s="91">
        <v>0</v>
      </c>
      <c r="I411" s="100" t="s">
        <v>2337</v>
      </c>
    </row>
    <row r="412" spans="1:9">
      <c r="A412" s="95" t="s">
        <v>2406</v>
      </c>
      <c r="B412" s="96" t="s">
        <v>2333</v>
      </c>
      <c r="C412" s="96" t="s">
        <v>1241</v>
      </c>
      <c r="D412" s="96" t="s">
        <v>1775</v>
      </c>
      <c r="E412" s="96" t="s">
        <v>2484</v>
      </c>
      <c r="F412" s="96" t="s">
        <v>2501</v>
      </c>
      <c r="G412" s="88">
        <v>0</v>
      </c>
      <c r="H412" s="91">
        <v>0</v>
      </c>
      <c r="I412" s="100" t="s">
        <v>2337</v>
      </c>
    </row>
    <row r="413" spans="1:9">
      <c r="A413" s="95" t="s">
        <v>2406</v>
      </c>
      <c r="B413" s="96" t="s">
        <v>2333</v>
      </c>
      <c r="C413" s="96" t="s">
        <v>1241</v>
      </c>
      <c r="D413" s="96" t="s">
        <v>2063</v>
      </c>
      <c r="E413" s="96" t="s">
        <v>2502</v>
      </c>
      <c r="F413" s="96" t="s">
        <v>2503</v>
      </c>
      <c r="G413" s="88">
        <v>0</v>
      </c>
      <c r="H413" s="91">
        <v>0</v>
      </c>
      <c r="I413" s="100" t="s">
        <v>2337</v>
      </c>
    </row>
    <row r="414" spans="1:9">
      <c r="A414" s="95" t="s">
        <v>2406</v>
      </c>
      <c r="B414" s="96" t="s">
        <v>2333</v>
      </c>
      <c r="C414" s="96" t="s">
        <v>1241</v>
      </c>
      <c r="D414" s="96" t="s">
        <v>1812</v>
      </c>
      <c r="E414" s="96" t="s">
        <v>2504</v>
      </c>
      <c r="F414" s="96" t="s">
        <v>2505</v>
      </c>
      <c r="G414" s="88">
        <v>0</v>
      </c>
      <c r="H414" s="91">
        <v>0</v>
      </c>
      <c r="I414" s="100" t="s">
        <v>2337</v>
      </c>
    </row>
    <row r="415" spans="1:9">
      <c r="A415" s="95" t="s">
        <v>2406</v>
      </c>
      <c r="B415" s="96" t="s">
        <v>2333</v>
      </c>
      <c r="C415" s="96" t="s">
        <v>1241</v>
      </c>
      <c r="D415" s="96" t="s">
        <v>2506</v>
      </c>
      <c r="E415" s="96" t="s">
        <v>2507</v>
      </c>
      <c r="F415" s="96" t="s">
        <v>2508</v>
      </c>
      <c r="G415" s="88">
        <v>0</v>
      </c>
      <c r="H415" s="91">
        <v>0</v>
      </c>
      <c r="I415" s="100" t="s">
        <v>2337</v>
      </c>
    </row>
    <row r="416" spans="1:9">
      <c r="A416" s="95" t="s">
        <v>2406</v>
      </c>
      <c r="B416" s="96" t="s">
        <v>2333</v>
      </c>
      <c r="C416" s="96" t="s">
        <v>1241</v>
      </c>
      <c r="D416" s="96" t="s">
        <v>1824</v>
      </c>
      <c r="E416" s="96" t="s">
        <v>2509</v>
      </c>
      <c r="F416" s="96" t="s">
        <v>2510</v>
      </c>
      <c r="G416" s="88">
        <v>0</v>
      </c>
      <c r="H416" s="91">
        <v>0</v>
      </c>
      <c r="I416" s="100" t="s">
        <v>2337</v>
      </c>
    </row>
    <row r="417" spans="1:9">
      <c r="A417" s="95" t="s">
        <v>2406</v>
      </c>
      <c r="B417" s="96" t="s">
        <v>2333</v>
      </c>
      <c r="C417" s="96" t="s">
        <v>1241</v>
      </c>
      <c r="D417" s="96" t="s">
        <v>2511</v>
      </c>
      <c r="E417" s="96" t="s">
        <v>2512</v>
      </c>
      <c r="F417" s="96" t="s">
        <v>2513</v>
      </c>
      <c r="G417" s="88">
        <v>0</v>
      </c>
      <c r="H417" s="91">
        <v>0</v>
      </c>
      <c r="I417" s="100" t="s">
        <v>2337</v>
      </c>
    </row>
    <row r="418" spans="1:9">
      <c r="A418" s="95" t="s">
        <v>2406</v>
      </c>
      <c r="B418" s="96" t="s">
        <v>2333</v>
      </c>
      <c r="C418" s="96" t="s">
        <v>1241</v>
      </c>
      <c r="D418" s="96" t="s">
        <v>1836</v>
      </c>
      <c r="E418" s="96" t="s">
        <v>2514</v>
      </c>
      <c r="F418" s="96" t="s">
        <v>2515</v>
      </c>
      <c r="G418" s="88">
        <v>0</v>
      </c>
      <c r="H418" s="91">
        <v>0</v>
      </c>
      <c r="I418" s="100" t="s">
        <v>2337</v>
      </c>
    </row>
    <row r="419" spans="1:9">
      <c r="A419" s="95" t="s">
        <v>2406</v>
      </c>
      <c r="B419" s="96" t="s">
        <v>2333</v>
      </c>
      <c r="C419" s="96" t="s">
        <v>1241</v>
      </c>
      <c r="D419" s="96" t="s">
        <v>74</v>
      </c>
      <c r="E419" s="96" t="s">
        <v>2064</v>
      </c>
      <c r="F419" s="96" t="s">
        <v>2516</v>
      </c>
      <c r="G419" s="88">
        <v>157004126788</v>
      </c>
      <c r="H419" s="91">
        <v>157.00412678800001</v>
      </c>
      <c r="I419" s="100" t="s">
        <v>2337</v>
      </c>
    </row>
    <row r="420" spans="1:9">
      <c r="A420" s="95" t="s">
        <v>2406</v>
      </c>
      <c r="B420" s="96" t="s">
        <v>2333</v>
      </c>
      <c r="C420" s="96" t="s">
        <v>1241</v>
      </c>
      <c r="D420" s="96" t="s">
        <v>2517</v>
      </c>
      <c r="E420" s="96" t="s">
        <v>2518</v>
      </c>
      <c r="F420" s="96" t="s">
        <v>2519</v>
      </c>
      <c r="G420" s="88">
        <v>157004126788</v>
      </c>
      <c r="H420" s="91">
        <v>157.00412678800001</v>
      </c>
      <c r="I420" s="100" t="s">
        <v>2337</v>
      </c>
    </row>
    <row r="421" spans="1:9">
      <c r="A421" s="95" t="s">
        <v>2406</v>
      </c>
      <c r="B421" s="96" t="s">
        <v>2333</v>
      </c>
      <c r="C421" s="96" t="s">
        <v>1241</v>
      </c>
      <c r="D421" s="96" t="s">
        <v>1828</v>
      </c>
      <c r="E421" s="96" t="s">
        <v>2520</v>
      </c>
      <c r="F421" s="96" t="s">
        <v>2521</v>
      </c>
      <c r="G421" s="88">
        <v>0</v>
      </c>
      <c r="H421" s="91">
        <v>0</v>
      </c>
      <c r="I421" s="100" t="s">
        <v>2337</v>
      </c>
    </row>
    <row r="422" spans="1:9">
      <c r="A422" s="95" t="s">
        <v>2406</v>
      </c>
      <c r="B422" s="96" t="s">
        <v>2333</v>
      </c>
      <c r="C422" s="96" t="s">
        <v>1241</v>
      </c>
      <c r="D422" s="96" t="s">
        <v>74</v>
      </c>
      <c r="E422" s="96" t="s">
        <v>2064</v>
      </c>
      <c r="F422" s="96" t="s">
        <v>2522</v>
      </c>
      <c r="G422" s="88">
        <v>0</v>
      </c>
      <c r="H422" s="91">
        <v>0</v>
      </c>
      <c r="I422" s="100" t="s">
        <v>2337</v>
      </c>
    </row>
    <row r="423" spans="1:9">
      <c r="A423" s="95" t="s">
        <v>2406</v>
      </c>
      <c r="B423" s="96" t="s">
        <v>2333</v>
      </c>
      <c r="C423" s="96" t="s">
        <v>1241</v>
      </c>
      <c r="D423" s="96" t="s">
        <v>76</v>
      </c>
      <c r="E423" s="96" t="s">
        <v>75</v>
      </c>
      <c r="F423" s="96" t="s">
        <v>1643</v>
      </c>
      <c r="G423" s="88">
        <v>23714236170376</v>
      </c>
      <c r="H423" s="91">
        <v>23714.236170376</v>
      </c>
      <c r="I423" s="100" t="s">
        <v>2337</v>
      </c>
    </row>
    <row r="424" spans="1:9">
      <c r="A424" s="95" t="s">
        <v>2406</v>
      </c>
      <c r="B424" s="96" t="s">
        <v>2333</v>
      </c>
      <c r="C424" s="96" t="s">
        <v>1241</v>
      </c>
      <c r="D424" s="96" t="s">
        <v>2523</v>
      </c>
      <c r="E424" s="96" t="s">
        <v>487</v>
      </c>
      <c r="F424" s="96" t="s">
        <v>2524</v>
      </c>
      <c r="G424" s="88">
        <v>18575165477143</v>
      </c>
      <c r="H424" s="91">
        <v>18575.165477143</v>
      </c>
      <c r="I424" s="100" t="s">
        <v>2337</v>
      </c>
    </row>
    <row r="425" spans="1:9">
      <c r="A425" s="95" t="s">
        <v>2406</v>
      </c>
      <c r="B425" s="96" t="s">
        <v>2333</v>
      </c>
      <c r="C425" s="96" t="s">
        <v>1241</v>
      </c>
      <c r="D425" s="96" t="s">
        <v>82</v>
      </c>
      <c r="E425" s="96" t="s">
        <v>2070</v>
      </c>
      <c r="F425" s="96" t="s">
        <v>2525</v>
      </c>
      <c r="G425" s="88">
        <v>18574474295299</v>
      </c>
      <c r="H425" s="91">
        <v>18574.474295298998</v>
      </c>
      <c r="I425" s="100" t="s">
        <v>2337</v>
      </c>
    </row>
    <row r="426" spans="1:9">
      <c r="A426" s="95" t="s">
        <v>2406</v>
      </c>
      <c r="B426" s="96" t="s">
        <v>2333</v>
      </c>
      <c r="C426" s="96" t="s">
        <v>1241</v>
      </c>
      <c r="D426" s="96" t="s">
        <v>2526</v>
      </c>
      <c r="E426" s="96" t="s">
        <v>2527</v>
      </c>
      <c r="F426" s="96" t="s">
        <v>2528</v>
      </c>
      <c r="G426" s="88">
        <v>10051507915817</v>
      </c>
      <c r="H426" s="91">
        <v>10051.507915816999</v>
      </c>
      <c r="I426" s="100" t="s">
        <v>2337</v>
      </c>
    </row>
    <row r="427" spans="1:9">
      <c r="A427" s="95" t="s">
        <v>2406</v>
      </c>
      <c r="B427" s="96" t="s">
        <v>2333</v>
      </c>
      <c r="C427" s="96" t="s">
        <v>1241</v>
      </c>
      <c r="D427" s="96" t="s">
        <v>2529</v>
      </c>
      <c r="E427" s="96" t="s">
        <v>2530</v>
      </c>
      <c r="F427" s="96" t="s">
        <v>2531</v>
      </c>
      <c r="G427" s="88">
        <v>5995965425047</v>
      </c>
      <c r="H427" s="91">
        <v>5995.9654250470003</v>
      </c>
      <c r="I427" s="100" t="s">
        <v>2337</v>
      </c>
    </row>
    <row r="428" spans="1:9">
      <c r="A428" s="95" t="s">
        <v>2406</v>
      </c>
      <c r="B428" s="96" t="s">
        <v>2333</v>
      </c>
      <c r="C428" s="96" t="s">
        <v>1241</v>
      </c>
      <c r="D428" s="96" t="s">
        <v>2532</v>
      </c>
      <c r="E428" s="96" t="s">
        <v>2533</v>
      </c>
      <c r="F428" s="96" t="s">
        <v>2534</v>
      </c>
      <c r="G428" s="88">
        <v>61615375012</v>
      </c>
      <c r="H428" s="91">
        <v>61.615375012000001</v>
      </c>
      <c r="I428" s="100" t="s">
        <v>2337</v>
      </c>
    </row>
    <row r="429" spans="1:9">
      <c r="A429" s="95" t="s">
        <v>2406</v>
      </c>
      <c r="B429" s="96" t="s">
        <v>2333</v>
      </c>
      <c r="C429" s="96" t="s">
        <v>1241</v>
      </c>
      <c r="D429" s="96" t="s">
        <v>2535</v>
      </c>
      <c r="E429" s="96" t="s">
        <v>2536</v>
      </c>
      <c r="F429" s="96" t="s">
        <v>2537</v>
      </c>
      <c r="G429" s="88">
        <v>244716064984</v>
      </c>
      <c r="H429" s="91">
        <v>244.71606498400001</v>
      </c>
      <c r="I429" s="100" t="s">
        <v>2337</v>
      </c>
    </row>
    <row r="430" spans="1:9">
      <c r="A430" s="95" t="s">
        <v>2406</v>
      </c>
      <c r="B430" s="96" t="s">
        <v>2333</v>
      </c>
      <c r="C430" s="96" t="s">
        <v>1241</v>
      </c>
      <c r="D430" s="96" t="s">
        <v>1846</v>
      </c>
      <c r="E430" s="96" t="s">
        <v>2538</v>
      </c>
      <c r="F430" s="96" t="s">
        <v>2539</v>
      </c>
      <c r="G430" s="88">
        <v>1331638783393</v>
      </c>
      <c r="H430" s="91">
        <v>1331.638783393</v>
      </c>
      <c r="I430" s="100" t="s">
        <v>2337</v>
      </c>
    </row>
    <row r="431" spans="1:9">
      <c r="A431" s="95" t="s">
        <v>2406</v>
      </c>
      <c r="B431" s="96" t="s">
        <v>2333</v>
      </c>
      <c r="C431" s="96" t="s">
        <v>1241</v>
      </c>
      <c r="D431" s="96" t="s">
        <v>2540</v>
      </c>
      <c r="E431" s="96" t="s">
        <v>2541</v>
      </c>
      <c r="F431" s="96" t="s">
        <v>2542</v>
      </c>
      <c r="G431" s="88">
        <v>281753290017</v>
      </c>
      <c r="H431" s="91">
        <v>281.75329001699998</v>
      </c>
      <c r="I431" s="100" t="s">
        <v>2337</v>
      </c>
    </row>
    <row r="432" spans="1:9">
      <c r="A432" s="95" t="s">
        <v>2406</v>
      </c>
      <c r="B432" s="96" t="s">
        <v>2333</v>
      </c>
      <c r="C432" s="96" t="s">
        <v>1241</v>
      </c>
      <c r="D432" s="96" t="s">
        <v>2543</v>
      </c>
      <c r="E432" s="96" t="s">
        <v>2544</v>
      </c>
      <c r="F432" s="96" t="s">
        <v>2545</v>
      </c>
      <c r="G432" s="88">
        <v>0</v>
      </c>
      <c r="H432" s="91">
        <v>0</v>
      </c>
      <c r="I432" s="100" t="s">
        <v>2337</v>
      </c>
    </row>
    <row r="433" spans="1:9">
      <c r="A433" s="95" t="s">
        <v>2406</v>
      </c>
      <c r="B433" s="96" t="s">
        <v>2333</v>
      </c>
      <c r="C433" s="96" t="s">
        <v>1241</v>
      </c>
      <c r="D433" s="96" t="s">
        <v>2546</v>
      </c>
      <c r="E433" s="96" t="s">
        <v>2547</v>
      </c>
      <c r="F433" s="96" t="s">
        <v>2548</v>
      </c>
      <c r="G433" s="88">
        <v>0</v>
      </c>
      <c r="H433" s="91">
        <v>0</v>
      </c>
      <c r="I433" s="100" t="s">
        <v>2337</v>
      </c>
    </row>
    <row r="434" spans="1:9">
      <c r="A434" s="95" t="s">
        <v>2406</v>
      </c>
      <c r="B434" s="96" t="s">
        <v>2333</v>
      </c>
      <c r="C434" s="96" t="s">
        <v>1241</v>
      </c>
      <c r="D434" s="96" t="s">
        <v>2549</v>
      </c>
      <c r="E434" s="96" t="s">
        <v>2550</v>
      </c>
      <c r="F434" s="96" t="s">
        <v>2551</v>
      </c>
      <c r="G434" s="88">
        <v>94765132430</v>
      </c>
      <c r="H434" s="91">
        <v>94.765132429999994</v>
      </c>
      <c r="I434" s="100" t="s">
        <v>2337</v>
      </c>
    </row>
    <row r="435" spans="1:9">
      <c r="A435" s="95" t="s">
        <v>2406</v>
      </c>
      <c r="B435" s="96" t="s">
        <v>2333</v>
      </c>
      <c r="C435" s="96" t="s">
        <v>1241</v>
      </c>
      <c r="D435" s="96" t="s">
        <v>2552</v>
      </c>
      <c r="E435" s="96" t="s">
        <v>2553</v>
      </c>
      <c r="F435" s="96" t="s">
        <v>2554</v>
      </c>
      <c r="G435" s="88">
        <v>5828163047</v>
      </c>
      <c r="H435" s="91">
        <v>5.8281630470000003</v>
      </c>
      <c r="I435" s="100" t="s">
        <v>2337</v>
      </c>
    </row>
    <row r="436" spans="1:9">
      <c r="A436" s="95" t="s">
        <v>2406</v>
      </c>
      <c r="B436" s="96" t="s">
        <v>2333</v>
      </c>
      <c r="C436" s="96" t="s">
        <v>1241</v>
      </c>
      <c r="D436" s="96" t="s">
        <v>2555</v>
      </c>
      <c r="E436" s="96" t="s">
        <v>2556</v>
      </c>
      <c r="F436" s="96" t="s">
        <v>2557</v>
      </c>
      <c r="G436" s="88">
        <v>8178120854</v>
      </c>
      <c r="H436" s="91">
        <v>8.1781208539999994</v>
      </c>
      <c r="I436" s="100" t="s">
        <v>2337</v>
      </c>
    </row>
    <row r="437" spans="1:9">
      <c r="A437" s="95" t="s">
        <v>2406</v>
      </c>
      <c r="B437" s="96" t="s">
        <v>2333</v>
      </c>
      <c r="C437" s="96" t="s">
        <v>1241</v>
      </c>
      <c r="D437" s="96" t="s">
        <v>86</v>
      </c>
      <c r="E437" s="96" t="s">
        <v>2073</v>
      </c>
      <c r="F437" s="96" t="s">
        <v>2558</v>
      </c>
      <c r="G437" s="88">
        <v>691181844</v>
      </c>
      <c r="H437" s="91">
        <v>0.69118184400000005</v>
      </c>
      <c r="I437" s="100" t="s">
        <v>2337</v>
      </c>
    </row>
    <row r="438" spans="1:9">
      <c r="A438" s="95" t="s">
        <v>2406</v>
      </c>
      <c r="B438" s="96" t="s">
        <v>2333</v>
      </c>
      <c r="C438" s="96" t="s">
        <v>1241</v>
      </c>
      <c r="D438" s="96" t="s">
        <v>1866</v>
      </c>
      <c r="E438" s="96" t="s">
        <v>2559</v>
      </c>
      <c r="F438" s="96" t="s">
        <v>2560</v>
      </c>
      <c r="G438" s="88">
        <v>0</v>
      </c>
      <c r="H438" s="91">
        <v>0</v>
      </c>
      <c r="I438" s="100" t="s">
        <v>2337</v>
      </c>
    </row>
    <row r="439" spans="1:9">
      <c r="A439" s="95" t="s">
        <v>2406</v>
      </c>
      <c r="B439" s="96" t="s">
        <v>2333</v>
      </c>
      <c r="C439" s="96" t="s">
        <v>1241</v>
      </c>
      <c r="D439" s="96" t="s">
        <v>2561</v>
      </c>
      <c r="E439" s="96" t="s">
        <v>2562</v>
      </c>
      <c r="F439" s="96" t="s">
        <v>2563</v>
      </c>
      <c r="G439" s="88">
        <v>0</v>
      </c>
      <c r="H439" s="91">
        <v>0</v>
      </c>
      <c r="I439" s="100" t="s">
        <v>2337</v>
      </c>
    </row>
    <row r="440" spans="1:9">
      <c r="A440" s="95" t="s">
        <v>2406</v>
      </c>
      <c r="B440" s="96" t="s">
        <v>2333</v>
      </c>
      <c r="C440" s="96" t="s">
        <v>1241</v>
      </c>
      <c r="D440" s="96" t="s">
        <v>2564</v>
      </c>
      <c r="E440" s="96" t="s">
        <v>2565</v>
      </c>
      <c r="F440" s="96" t="s">
        <v>2566</v>
      </c>
      <c r="G440" s="88">
        <v>659500000</v>
      </c>
      <c r="H440" s="91">
        <v>0.65949999999999998</v>
      </c>
      <c r="I440" s="100" t="s">
        <v>2337</v>
      </c>
    </row>
    <row r="441" spans="1:9">
      <c r="A441" s="95" t="s">
        <v>2406</v>
      </c>
      <c r="B441" s="96" t="s">
        <v>2333</v>
      </c>
      <c r="C441" s="96" t="s">
        <v>1241</v>
      </c>
      <c r="D441" s="96" t="s">
        <v>2567</v>
      </c>
      <c r="E441" s="96" t="s">
        <v>2568</v>
      </c>
      <c r="F441" s="96" t="s">
        <v>2569</v>
      </c>
      <c r="G441" s="88">
        <v>0</v>
      </c>
      <c r="H441" s="91">
        <v>0</v>
      </c>
      <c r="I441" s="100" t="s">
        <v>2337</v>
      </c>
    </row>
    <row r="442" spans="1:9">
      <c r="A442" s="95" t="s">
        <v>2406</v>
      </c>
      <c r="B442" s="96" t="s">
        <v>2333</v>
      </c>
      <c r="C442" s="96" t="s">
        <v>1241</v>
      </c>
      <c r="D442" s="96" t="s">
        <v>1886</v>
      </c>
      <c r="E442" s="96" t="s">
        <v>2570</v>
      </c>
      <c r="F442" s="96" t="s">
        <v>2521</v>
      </c>
      <c r="G442" s="88">
        <v>31681844</v>
      </c>
      <c r="H442" s="91">
        <v>3.1681844000000001E-2</v>
      </c>
      <c r="I442" s="100" t="s">
        <v>2337</v>
      </c>
    </row>
    <row r="443" spans="1:9">
      <c r="A443" s="95" t="s">
        <v>2406</v>
      </c>
      <c r="B443" s="96" t="s">
        <v>2333</v>
      </c>
      <c r="C443" s="96" t="s">
        <v>1241</v>
      </c>
      <c r="D443" s="96" t="s">
        <v>1892</v>
      </c>
      <c r="E443" s="96" t="s">
        <v>2571</v>
      </c>
      <c r="F443" s="96" t="s">
        <v>2572</v>
      </c>
      <c r="G443" s="88">
        <v>0</v>
      </c>
      <c r="H443" s="91">
        <v>0</v>
      </c>
      <c r="I443" s="100" t="s">
        <v>2337</v>
      </c>
    </row>
    <row r="444" spans="1:9">
      <c r="A444" s="95" t="s">
        <v>2406</v>
      </c>
      <c r="B444" s="96" t="s">
        <v>2333</v>
      </c>
      <c r="C444" s="96" t="s">
        <v>1241</v>
      </c>
      <c r="D444" s="96" t="s">
        <v>1888</v>
      </c>
      <c r="E444" s="96" t="s">
        <v>2573</v>
      </c>
      <c r="F444" s="96" t="s">
        <v>2574</v>
      </c>
      <c r="G444" s="88">
        <v>0</v>
      </c>
      <c r="H444" s="91">
        <v>0</v>
      </c>
      <c r="I444" s="100" t="s">
        <v>2337</v>
      </c>
    </row>
    <row r="445" spans="1:9">
      <c r="A445" s="95" t="s">
        <v>2406</v>
      </c>
      <c r="B445" s="96" t="s">
        <v>2333</v>
      </c>
      <c r="C445" s="96" t="s">
        <v>1241</v>
      </c>
      <c r="D445" s="96" t="s">
        <v>2575</v>
      </c>
      <c r="E445" s="96" t="s">
        <v>2576</v>
      </c>
      <c r="F445" s="96" t="s">
        <v>2577</v>
      </c>
      <c r="G445" s="88">
        <v>0</v>
      </c>
      <c r="H445" s="91">
        <v>0</v>
      </c>
      <c r="I445" s="100" t="s">
        <v>2337</v>
      </c>
    </row>
    <row r="446" spans="1:9">
      <c r="A446" s="95" t="s">
        <v>2406</v>
      </c>
      <c r="B446" s="96" t="s">
        <v>2333</v>
      </c>
      <c r="C446" s="96" t="s">
        <v>1241</v>
      </c>
      <c r="D446" s="96" t="s">
        <v>2578</v>
      </c>
      <c r="E446" s="96" t="s">
        <v>2579</v>
      </c>
      <c r="F446" s="96" t="s">
        <v>2580</v>
      </c>
      <c r="G446" s="88">
        <v>0</v>
      </c>
      <c r="H446" s="91">
        <v>0</v>
      </c>
      <c r="I446" s="100" t="s">
        <v>2337</v>
      </c>
    </row>
    <row r="447" spans="1:9">
      <c r="A447" s="95" t="s">
        <v>2406</v>
      </c>
      <c r="B447" s="96" t="s">
        <v>2333</v>
      </c>
      <c r="C447" s="96" t="s">
        <v>1241</v>
      </c>
      <c r="D447" s="96" t="s">
        <v>2581</v>
      </c>
      <c r="E447" s="96" t="s">
        <v>2582</v>
      </c>
      <c r="F447" s="96" t="s">
        <v>2583</v>
      </c>
      <c r="G447" s="88">
        <v>5139070693233</v>
      </c>
      <c r="H447" s="91">
        <v>5139.0706932330004</v>
      </c>
      <c r="I447" s="100" t="s">
        <v>2337</v>
      </c>
    </row>
    <row r="448" spans="1:9">
      <c r="A448" s="95" t="s">
        <v>2406</v>
      </c>
      <c r="B448" s="96" t="s">
        <v>2333</v>
      </c>
      <c r="C448" s="96" t="s">
        <v>1241</v>
      </c>
      <c r="D448" s="96" t="s">
        <v>2584</v>
      </c>
      <c r="E448" s="96" t="s">
        <v>2585</v>
      </c>
      <c r="F448" s="96" t="s">
        <v>2586</v>
      </c>
      <c r="G448" s="88">
        <v>5139070693233</v>
      </c>
      <c r="H448" s="91">
        <v>5139.0706932330004</v>
      </c>
      <c r="I448" s="100" t="s">
        <v>2337</v>
      </c>
    </row>
    <row r="449" spans="1:9">
      <c r="A449" s="95" t="s">
        <v>2406</v>
      </c>
      <c r="B449" s="96" t="s">
        <v>2333</v>
      </c>
      <c r="C449" s="96" t="s">
        <v>1241</v>
      </c>
      <c r="D449" s="96" t="s">
        <v>2587</v>
      </c>
      <c r="E449" s="96" t="s">
        <v>2588</v>
      </c>
      <c r="F449" s="96" t="s">
        <v>2589</v>
      </c>
      <c r="G449" s="88">
        <v>1703017850000</v>
      </c>
      <c r="H449" s="91">
        <v>1703.01785</v>
      </c>
      <c r="I449" s="100" t="s">
        <v>2337</v>
      </c>
    </row>
    <row r="450" spans="1:9">
      <c r="A450" s="95" t="s">
        <v>2406</v>
      </c>
      <c r="B450" s="96" t="s">
        <v>2333</v>
      </c>
      <c r="C450" s="96" t="s">
        <v>1241</v>
      </c>
      <c r="D450" s="96" t="s">
        <v>1900</v>
      </c>
      <c r="E450" s="96" t="s">
        <v>2590</v>
      </c>
      <c r="F450" s="96" t="s">
        <v>2591</v>
      </c>
      <c r="G450" s="88">
        <v>0</v>
      </c>
      <c r="H450" s="91">
        <v>0</v>
      </c>
      <c r="I450" s="100" t="s">
        <v>2337</v>
      </c>
    </row>
    <row r="451" spans="1:9">
      <c r="A451" s="95" t="s">
        <v>2406</v>
      </c>
      <c r="B451" s="96" t="s">
        <v>2333</v>
      </c>
      <c r="C451" s="96" t="s">
        <v>1241</v>
      </c>
      <c r="D451" s="96" t="s">
        <v>2592</v>
      </c>
      <c r="E451" s="96" t="s">
        <v>2593</v>
      </c>
      <c r="F451" s="96" t="s">
        <v>2594</v>
      </c>
      <c r="G451" s="88">
        <v>0</v>
      </c>
      <c r="H451" s="91">
        <v>0</v>
      </c>
      <c r="I451" s="100" t="s">
        <v>2337</v>
      </c>
    </row>
    <row r="452" spans="1:9">
      <c r="A452" s="95" t="s">
        <v>2406</v>
      </c>
      <c r="B452" s="96" t="s">
        <v>2333</v>
      </c>
      <c r="C452" s="96" t="s">
        <v>1241</v>
      </c>
      <c r="D452" s="96" t="s">
        <v>1906</v>
      </c>
      <c r="E452" s="96" t="s">
        <v>2595</v>
      </c>
      <c r="F452" s="96" t="s">
        <v>2596</v>
      </c>
      <c r="G452" s="88">
        <v>0</v>
      </c>
      <c r="H452" s="91">
        <v>0</v>
      </c>
      <c r="I452" s="100" t="s">
        <v>2337</v>
      </c>
    </row>
    <row r="453" spans="1:9">
      <c r="A453" s="95" t="s">
        <v>2406</v>
      </c>
      <c r="B453" s="96" t="s">
        <v>2333</v>
      </c>
      <c r="C453" s="96" t="s">
        <v>1241</v>
      </c>
      <c r="D453" s="96" t="s">
        <v>2597</v>
      </c>
      <c r="E453" s="96" t="s">
        <v>2598</v>
      </c>
      <c r="F453" s="96" t="s">
        <v>2599</v>
      </c>
      <c r="G453" s="88">
        <v>0</v>
      </c>
      <c r="H453" s="91">
        <v>0</v>
      </c>
      <c r="I453" s="100" t="s">
        <v>2337</v>
      </c>
    </row>
    <row r="454" spans="1:9">
      <c r="A454" s="95" t="s">
        <v>2406</v>
      </c>
      <c r="B454" s="96" t="s">
        <v>2333</v>
      </c>
      <c r="C454" s="96" t="s">
        <v>1241</v>
      </c>
      <c r="D454" s="96" t="s">
        <v>1910</v>
      </c>
      <c r="E454" s="96" t="s">
        <v>2600</v>
      </c>
      <c r="F454" s="96" t="s">
        <v>2601</v>
      </c>
      <c r="G454" s="88">
        <v>0</v>
      </c>
      <c r="H454" s="91">
        <v>0</v>
      </c>
      <c r="I454" s="100" t="s">
        <v>2337</v>
      </c>
    </row>
    <row r="455" spans="1:9">
      <c r="A455" s="95" t="s">
        <v>2406</v>
      </c>
      <c r="B455" s="96" t="s">
        <v>2333</v>
      </c>
      <c r="C455" s="96" t="s">
        <v>1241</v>
      </c>
      <c r="D455" s="96" t="s">
        <v>2602</v>
      </c>
      <c r="E455" s="96" t="s">
        <v>2603</v>
      </c>
      <c r="F455" s="96" t="s">
        <v>2604</v>
      </c>
      <c r="G455" s="88">
        <v>0</v>
      </c>
      <c r="H455" s="91">
        <v>0</v>
      </c>
      <c r="I455" s="100" t="s">
        <v>2337</v>
      </c>
    </row>
    <row r="456" spans="1:9">
      <c r="A456" s="95" t="s">
        <v>2406</v>
      </c>
      <c r="B456" s="96" t="s">
        <v>2333</v>
      </c>
      <c r="C456" s="96" t="s">
        <v>1241</v>
      </c>
      <c r="D456" s="96" t="s">
        <v>2605</v>
      </c>
      <c r="E456" s="96" t="s">
        <v>2606</v>
      </c>
      <c r="F456" s="96" t="s">
        <v>2607</v>
      </c>
      <c r="G456" s="88">
        <v>0</v>
      </c>
      <c r="H456" s="91">
        <v>0</v>
      </c>
      <c r="I456" s="100" t="s">
        <v>2337</v>
      </c>
    </row>
    <row r="457" spans="1:9">
      <c r="A457" s="95" t="s">
        <v>2406</v>
      </c>
      <c r="B457" s="96" t="s">
        <v>2333</v>
      </c>
      <c r="C457" s="96" t="s">
        <v>1241</v>
      </c>
      <c r="D457" s="96" t="s">
        <v>2608</v>
      </c>
      <c r="E457" s="96" t="s">
        <v>2609</v>
      </c>
      <c r="F457" s="96" t="s">
        <v>2610</v>
      </c>
      <c r="G457" s="88">
        <v>0</v>
      </c>
      <c r="H457" s="91">
        <v>0</v>
      </c>
      <c r="I457" s="100" t="s">
        <v>2337</v>
      </c>
    </row>
    <row r="458" spans="1:9">
      <c r="A458" s="95" t="s">
        <v>2406</v>
      </c>
      <c r="B458" s="96" t="s">
        <v>2333</v>
      </c>
      <c r="C458" s="96" t="s">
        <v>1241</v>
      </c>
      <c r="D458" s="96" t="s">
        <v>2611</v>
      </c>
      <c r="E458" s="96" t="s">
        <v>2612</v>
      </c>
      <c r="F458" s="96" t="s">
        <v>2613</v>
      </c>
      <c r="G458" s="88">
        <v>2468442850502</v>
      </c>
      <c r="H458" s="91">
        <v>2468.4428505020001</v>
      </c>
      <c r="I458" s="100" t="s">
        <v>2337</v>
      </c>
    </row>
    <row r="459" spans="1:9">
      <c r="A459" s="95" t="s">
        <v>2406</v>
      </c>
      <c r="B459" s="96" t="s">
        <v>2333</v>
      </c>
      <c r="C459" s="96" t="s">
        <v>1241</v>
      </c>
      <c r="D459" s="96" t="s">
        <v>2614</v>
      </c>
      <c r="E459" s="96" t="s">
        <v>2615</v>
      </c>
      <c r="F459" s="96" t="s">
        <v>2616</v>
      </c>
      <c r="G459" s="88">
        <v>0</v>
      </c>
      <c r="H459" s="91">
        <v>0</v>
      </c>
      <c r="I459" s="100" t="s">
        <v>2337</v>
      </c>
    </row>
    <row r="460" spans="1:9">
      <c r="A460" s="95" t="s">
        <v>2406</v>
      </c>
      <c r="B460" s="96" t="s">
        <v>2333</v>
      </c>
      <c r="C460" s="96" t="s">
        <v>1241</v>
      </c>
      <c r="D460" s="96" t="s">
        <v>2617</v>
      </c>
      <c r="E460" s="96" t="s">
        <v>2618</v>
      </c>
      <c r="F460" s="96" t="s">
        <v>2619</v>
      </c>
      <c r="G460" s="88">
        <v>0</v>
      </c>
      <c r="H460" s="91">
        <v>0</v>
      </c>
      <c r="I460" s="100" t="s">
        <v>2337</v>
      </c>
    </row>
    <row r="461" spans="1:9">
      <c r="A461" s="95" t="s">
        <v>2406</v>
      </c>
      <c r="B461" s="96" t="s">
        <v>2333</v>
      </c>
      <c r="C461" s="96" t="s">
        <v>1241</v>
      </c>
      <c r="D461" s="96" t="s">
        <v>2620</v>
      </c>
      <c r="E461" s="96" t="s">
        <v>2621</v>
      </c>
      <c r="F461" s="96" t="s">
        <v>2622</v>
      </c>
      <c r="G461" s="88">
        <v>0</v>
      </c>
      <c r="H461" s="91">
        <v>0</v>
      </c>
      <c r="I461" s="100" t="s">
        <v>2337</v>
      </c>
    </row>
    <row r="462" spans="1:9">
      <c r="A462" s="95" t="s">
        <v>2406</v>
      </c>
      <c r="B462" s="96" t="s">
        <v>2333</v>
      </c>
      <c r="C462" s="96" t="s">
        <v>1241</v>
      </c>
      <c r="D462" s="96" t="s">
        <v>2617</v>
      </c>
      <c r="E462" s="96" t="s">
        <v>2618</v>
      </c>
      <c r="F462" s="96" t="s">
        <v>2623</v>
      </c>
      <c r="G462" s="88">
        <v>0</v>
      </c>
      <c r="H462" s="91">
        <v>0</v>
      </c>
      <c r="I462" s="100" t="s">
        <v>2337</v>
      </c>
    </row>
    <row r="463" spans="1:9">
      <c r="A463" s="95" t="s">
        <v>2406</v>
      </c>
      <c r="B463" s="96" t="s">
        <v>2333</v>
      </c>
      <c r="C463" s="96" t="s">
        <v>1241</v>
      </c>
      <c r="D463" s="96" t="s">
        <v>2624</v>
      </c>
      <c r="E463" s="96" t="s">
        <v>2625</v>
      </c>
      <c r="F463" s="96" t="s">
        <v>1631</v>
      </c>
      <c r="G463" s="88">
        <v>0</v>
      </c>
      <c r="H463" s="91">
        <v>0</v>
      </c>
      <c r="I463" s="100" t="s">
        <v>2337</v>
      </c>
    </row>
    <row r="464" spans="1:9">
      <c r="A464" s="95" t="s">
        <v>2406</v>
      </c>
      <c r="B464" s="96" t="s">
        <v>2333</v>
      </c>
      <c r="C464" s="96" t="s">
        <v>1241</v>
      </c>
      <c r="D464" s="96" t="s">
        <v>2626</v>
      </c>
      <c r="E464" s="96" t="s">
        <v>2627</v>
      </c>
      <c r="F464" s="96" t="s">
        <v>2628</v>
      </c>
      <c r="G464" s="88">
        <v>23714236170376</v>
      </c>
      <c r="H464" s="91">
        <v>23714.236170376</v>
      </c>
      <c r="I464" s="100" t="s">
        <v>2337</v>
      </c>
    </row>
    <row r="465" spans="1:9">
      <c r="A465" s="95" t="s">
        <v>2406</v>
      </c>
      <c r="B465" s="96" t="s">
        <v>2333</v>
      </c>
      <c r="C465" s="96" t="s">
        <v>1241</v>
      </c>
      <c r="D465" s="96" t="s">
        <v>2629</v>
      </c>
      <c r="E465" s="96" t="s">
        <v>2630</v>
      </c>
      <c r="F465" s="96" t="s">
        <v>2631</v>
      </c>
      <c r="G465" s="88">
        <v>0</v>
      </c>
      <c r="H465" s="91">
        <v>0</v>
      </c>
      <c r="I465" s="100" t="s">
        <v>2337</v>
      </c>
    </row>
    <row r="466" spans="1:9">
      <c r="A466" s="95" t="s">
        <v>2406</v>
      </c>
      <c r="B466" s="96" t="s">
        <v>2333</v>
      </c>
      <c r="C466" s="96" t="s">
        <v>1241</v>
      </c>
      <c r="D466" s="96" t="s">
        <v>2632</v>
      </c>
      <c r="E466" s="96" t="s">
        <v>2633</v>
      </c>
      <c r="F466" s="96" t="s">
        <v>2634</v>
      </c>
      <c r="G466" s="88">
        <v>5929000000000</v>
      </c>
      <c r="H466" s="91">
        <v>5929</v>
      </c>
      <c r="I466" s="100" t="s">
        <v>2337</v>
      </c>
    </row>
    <row r="467" spans="1:9">
      <c r="A467" s="95" t="s">
        <v>2406</v>
      </c>
      <c r="B467" s="96" t="s">
        <v>2333</v>
      </c>
      <c r="C467" s="96" t="s">
        <v>1241</v>
      </c>
      <c r="D467" s="96" t="s">
        <v>2635</v>
      </c>
      <c r="E467" s="96" t="s">
        <v>2636</v>
      </c>
      <c r="F467" s="96" t="s">
        <v>2637</v>
      </c>
      <c r="G467" s="88">
        <v>0</v>
      </c>
      <c r="H467" s="91">
        <v>0</v>
      </c>
      <c r="I467" s="100" t="s">
        <v>2337</v>
      </c>
    </row>
    <row r="468" spans="1:9">
      <c r="A468" s="95" t="s">
        <v>2406</v>
      </c>
      <c r="B468" s="96" t="s">
        <v>2333</v>
      </c>
      <c r="C468" s="96" t="s">
        <v>1241</v>
      </c>
      <c r="D468" s="96" t="s">
        <v>2638</v>
      </c>
      <c r="E468" s="96" t="s">
        <v>2639</v>
      </c>
      <c r="F468" s="96" t="s">
        <v>2640</v>
      </c>
      <c r="G468" s="88">
        <v>0</v>
      </c>
      <c r="H468" s="91">
        <v>0</v>
      </c>
      <c r="I468" s="100" t="s">
        <v>2337</v>
      </c>
    </row>
    <row r="469" spans="1:9">
      <c r="A469" s="95" t="s">
        <v>2406</v>
      </c>
      <c r="B469" s="96" t="s">
        <v>2333</v>
      </c>
      <c r="C469" s="96" t="s">
        <v>1241</v>
      </c>
      <c r="D469" s="96" t="s">
        <v>2641</v>
      </c>
      <c r="E469" s="96" t="s">
        <v>2642</v>
      </c>
      <c r="F469" s="96" t="s">
        <v>2643</v>
      </c>
      <c r="G469" s="88">
        <v>0</v>
      </c>
      <c r="H469" s="91">
        <v>0</v>
      </c>
      <c r="I469" s="100" t="s">
        <v>2337</v>
      </c>
    </row>
    <row r="470" spans="1:9">
      <c r="A470" s="95" t="s">
        <v>2406</v>
      </c>
      <c r="B470" s="96" t="s">
        <v>2333</v>
      </c>
      <c r="C470" s="96" t="s">
        <v>1241</v>
      </c>
      <c r="D470" s="96" t="s">
        <v>2644</v>
      </c>
      <c r="E470" s="96" t="s">
        <v>2645</v>
      </c>
      <c r="F470" s="96" t="s">
        <v>2646</v>
      </c>
      <c r="G470" s="88">
        <v>0</v>
      </c>
      <c r="H470" s="91">
        <v>0</v>
      </c>
      <c r="I470" s="100" t="s">
        <v>2337</v>
      </c>
    </row>
    <row r="471" spans="1:9">
      <c r="A471" s="95" t="s">
        <v>2406</v>
      </c>
      <c r="B471" s="96" t="s">
        <v>2333</v>
      </c>
      <c r="C471" s="96" t="s">
        <v>1241</v>
      </c>
      <c r="D471" s="96" t="s">
        <v>1759</v>
      </c>
      <c r="E471" s="96" t="s">
        <v>2647</v>
      </c>
      <c r="F471" s="96" t="s">
        <v>2648</v>
      </c>
      <c r="G471" s="88">
        <v>0</v>
      </c>
      <c r="H471" s="91">
        <v>0</v>
      </c>
      <c r="I471" s="100" t="s">
        <v>2337</v>
      </c>
    </row>
    <row r="472" spans="1:9">
      <c r="A472" s="95" t="s">
        <v>2406</v>
      </c>
      <c r="B472" s="96" t="s">
        <v>2333</v>
      </c>
      <c r="C472" s="96" t="s">
        <v>1241</v>
      </c>
      <c r="D472" s="96" t="s">
        <v>2649</v>
      </c>
      <c r="E472" s="96" t="s">
        <v>2650</v>
      </c>
      <c r="F472" s="96" t="s">
        <v>2651</v>
      </c>
      <c r="G472" s="88">
        <v>0</v>
      </c>
      <c r="H472" s="91">
        <v>0</v>
      </c>
      <c r="I472" s="100" t="s">
        <v>2337</v>
      </c>
    </row>
    <row r="473" spans="1:9">
      <c r="A473" s="95" t="s">
        <v>2406</v>
      </c>
      <c r="B473" s="96" t="s">
        <v>2333</v>
      </c>
      <c r="C473" s="96" t="s">
        <v>1241</v>
      </c>
      <c r="D473" s="96" t="s">
        <v>2652</v>
      </c>
      <c r="E473" s="96" t="s">
        <v>2653</v>
      </c>
      <c r="F473" s="96" t="s">
        <v>2654</v>
      </c>
      <c r="G473" s="88">
        <v>1411954000</v>
      </c>
      <c r="H473" s="91">
        <v>1.4119539999999999</v>
      </c>
      <c r="I473" s="100" t="s">
        <v>2337</v>
      </c>
    </row>
    <row r="474" spans="1:9">
      <c r="A474" s="95" t="s">
        <v>2406</v>
      </c>
      <c r="B474" s="96" t="s">
        <v>2333</v>
      </c>
      <c r="C474" s="96" t="s">
        <v>1241</v>
      </c>
      <c r="D474" s="96" t="s">
        <v>2655</v>
      </c>
      <c r="E474" s="96" t="s">
        <v>2656</v>
      </c>
      <c r="F474" s="96" t="s">
        <v>2657</v>
      </c>
      <c r="G474" s="88">
        <v>0</v>
      </c>
      <c r="H474" s="91">
        <v>0</v>
      </c>
      <c r="I474" s="100" t="s">
        <v>2337</v>
      </c>
    </row>
    <row r="475" spans="1:9">
      <c r="A475" s="95" t="s">
        <v>2406</v>
      </c>
      <c r="B475" s="96" t="s">
        <v>2333</v>
      </c>
      <c r="C475" s="96" t="s">
        <v>1241</v>
      </c>
      <c r="D475" s="96" t="s">
        <v>2632</v>
      </c>
      <c r="E475" s="96" t="s">
        <v>2633</v>
      </c>
      <c r="F475" s="96" t="s">
        <v>2634</v>
      </c>
      <c r="G475" s="88">
        <v>0</v>
      </c>
      <c r="H475" s="91">
        <v>0</v>
      </c>
      <c r="I475" s="100" t="s">
        <v>2337</v>
      </c>
    </row>
    <row r="476" spans="1:9">
      <c r="A476" s="95" t="s">
        <v>2406</v>
      </c>
      <c r="B476" s="96" t="s">
        <v>2333</v>
      </c>
      <c r="C476" s="96" t="s">
        <v>1241</v>
      </c>
      <c r="D476" s="96" t="s">
        <v>2658</v>
      </c>
      <c r="E476" s="96" t="s">
        <v>2659</v>
      </c>
      <c r="F476" s="96" t="s">
        <v>2660</v>
      </c>
      <c r="G476" s="88">
        <v>0</v>
      </c>
      <c r="H476" s="91">
        <v>0</v>
      </c>
      <c r="I476" s="100" t="s">
        <v>2337</v>
      </c>
    </row>
    <row r="477" spans="1:9">
      <c r="A477" s="95" t="s">
        <v>2406</v>
      </c>
      <c r="B477" s="96" t="s">
        <v>2333</v>
      </c>
      <c r="C477" s="96" t="s">
        <v>1241</v>
      </c>
      <c r="D477" s="96" t="s">
        <v>2661</v>
      </c>
      <c r="E477" s="96" t="s">
        <v>2662</v>
      </c>
      <c r="F477" s="96" t="s">
        <v>2663</v>
      </c>
      <c r="G477" s="88">
        <v>498506024698</v>
      </c>
      <c r="H477" s="91">
        <v>498.50602469799998</v>
      </c>
      <c r="I477" s="100" t="s">
        <v>2337</v>
      </c>
    </row>
    <row r="478" spans="1:9">
      <c r="A478" s="95" t="s">
        <v>2406</v>
      </c>
      <c r="B478" s="96" t="s">
        <v>2333</v>
      </c>
      <c r="C478" s="96" t="s">
        <v>1241</v>
      </c>
      <c r="D478" s="96" t="s">
        <v>1862</v>
      </c>
      <c r="E478" s="96" t="s">
        <v>2664</v>
      </c>
      <c r="F478" s="96" t="s">
        <v>2665</v>
      </c>
      <c r="G478" s="88">
        <v>0</v>
      </c>
      <c r="H478" s="91">
        <v>0</v>
      </c>
      <c r="I478" s="100" t="s">
        <v>2337</v>
      </c>
    </row>
    <row r="479" spans="1:9">
      <c r="A479" s="95" t="s">
        <v>2406</v>
      </c>
      <c r="B479" s="96" t="s">
        <v>2333</v>
      </c>
      <c r="C479" s="96" t="s">
        <v>1241</v>
      </c>
      <c r="D479" s="96" t="s">
        <v>2644</v>
      </c>
      <c r="E479" s="96" t="s">
        <v>2645</v>
      </c>
      <c r="F479" s="96" t="s">
        <v>2666</v>
      </c>
      <c r="G479" s="88">
        <v>0</v>
      </c>
      <c r="H479" s="91">
        <v>0</v>
      </c>
      <c r="I479" s="100" t="s">
        <v>2337</v>
      </c>
    </row>
    <row r="480" spans="1:9">
      <c r="A480" s="95" t="s">
        <v>2406</v>
      </c>
      <c r="B480" s="96" t="s">
        <v>2333</v>
      </c>
      <c r="C480" s="96" t="s">
        <v>1241</v>
      </c>
      <c r="D480" s="96" t="s">
        <v>1868</v>
      </c>
      <c r="E480" s="96" t="s">
        <v>2667</v>
      </c>
      <c r="F480" s="96" t="s">
        <v>2668</v>
      </c>
      <c r="G480" s="88">
        <v>0</v>
      </c>
      <c r="H480" s="91">
        <v>0</v>
      </c>
      <c r="I480" s="100" t="s">
        <v>2337</v>
      </c>
    </row>
    <row r="481" spans="1:9">
      <c r="A481" s="95" t="s">
        <v>2406</v>
      </c>
      <c r="B481" s="96" t="s">
        <v>2333</v>
      </c>
      <c r="C481" s="96" t="s">
        <v>1241</v>
      </c>
      <c r="D481" s="96" t="s">
        <v>1872</v>
      </c>
      <c r="E481" s="96" t="s">
        <v>2669</v>
      </c>
      <c r="F481" s="96" t="s">
        <v>2670</v>
      </c>
      <c r="G481" s="88">
        <v>0</v>
      </c>
      <c r="H481" s="91">
        <v>0</v>
      </c>
      <c r="I481" s="100" t="s">
        <v>2337</v>
      </c>
    </row>
    <row r="482" spans="1:9">
      <c r="A482" s="95" t="s">
        <v>2406</v>
      </c>
      <c r="B482" s="96" t="s">
        <v>2333</v>
      </c>
      <c r="C482" s="96" t="s">
        <v>1241</v>
      </c>
      <c r="D482" s="96" t="s">
        <v>2671</v>
      </c>
      <c r="E482" s="96" t="s">
        <v>2672</v>
      </c>
      <c r="F482" s="96" t="s">
        <v>2673</v>
      </c>
      <c r="G482" s="88">
        <v>0</v>
      </c>
      <c r="H482" s="91">
        <v>0</v>
      </c>
      <c r="I482" s="100" t="s">
        <v>2337</v>
      </c>
    </row>
    <row r="483" spans="1:9">
      <c r="A483" s="95" t="s">
        <v>2406</v>
      </c>
      <c r="B483" s="96" t="s">
        <v>2333</v>
      </c>
      <c r="C483" s="96" t="s">
        <v>1241</v>
      </c>
      <c r="D483" s="96" t="s">
        <v>1882</v>
      </c>
      <c r="E483" s="96" t="s">
        <v>2674</v>
      </c>
      <c r="F483" s="96" t="s">
        <v>2675</v>
      </c>
      <c r="G483" s="88">
        <v>0</v>
      </c>
      <c r="H483" s="91">
        <v>0</v>
      </c>
      <c r="I483" s="100" t="s">
        <v>2337</v>
      </c>
    </row>
    <row r="484" spans="1:9">
      <c r="A484" s="95" t="s">
        <v>2406</v>
      </c>
      <c r="B484" s="96" t="s">
        <v>2333</v>
      </c>
      <c r="C484" s="96" t="s">
        <v>1241</v>
      </c>
      <c r="D484" s="96" t="s">
        <v>2629</v>
      </c>
      <c r="E484" s="96" t="s">
        <v>2630</v>
      </c>
      <c r="F484" s="96" t="s">
        <v>2631</v>
      </c>
      <c r="G484" s="88">
        <v>0</v>
      </c>
      <c r="H484" s="91">
        <v>0</v>
      </c>
      <c r="I484" s="100" t="s">
        <v>2337</v>
      </c>
    </row>
    <row r="485" spans="1:9">
      <c r="A485" s="95" t="s">
        <v>2406</v>
      </c>
      <c r="B485" s="96" t="s">
        <v>2333</v>
      </c>
      <c r="C485" s="96" t="s">
        <v>1241</v>
      </c>
      <c r="D485" s="96" t="s">
        <v>2676</v>
      </c>
      <c r="E485" s="96" t="s">
        <v>2677</v>
      </c>
      <c r="F485" s="96" t="s">
        <v>2678</v>
      </c>
      <c r="G485" s="88">
        <v>1703017850000</v>
      </c>
      <c r="H485" s="91">
        <v>1703.01785</v>
      </c>
      <c r="I485" s="100" t="s">
        <v>2337</v>
      </c>
    </row>
    <row r="486" spans="1:9">
      <c r="A486" s="95" t="s">
        <v>2406</v>
      </c>
      <c r="B486" s="96" t="s">
        <v>2333</v>
      </c>
      <c r="C486" s="96" t="s">
        <v>1241</v>
      </c>
      <c r="D486" s="96" t="s">
        <v>2679</v>
      </c>
      <c r="E486" s="96" t="s">
        <v>2680</v>
      </c>
      <c r="F486" s="96" t="s">
        <v>2681</v>
      </c>
      <c r="G486" s="88">
        <v>0</v>
      </c>
      <c r="H486" s="91">
        <v>0</v>
      </c>
      <c r="I486" s="100" t="s">
        <v>2337</v>
      </c>
    </row>
    <row r="487" spans="1:9">
      <c r="A487" s="95" t="s">
        <v>2406</v>
      </c>
      <c r="B487" s="96" t="s">
        <v>2333</v>
      </c>
      <c r="C487" s="96" t="s">
        <v>1241</v>
      </c>
      <c r="D487" s="96" t="s">
        <v>2682</v>
      </c>
      <c r="E487" s="96" t="s">
        <v>2683</v>
      </c>
      <c r="F487" s="96" t="s">
        <v>2684</v>
      </c>
      <c r="G487" s="88">
        <v>197121393961</v>
      </c>
      <c r="H487" s="91">
        <v>197.121393961</v>
      </c>
      <c r="I487" s="100" t="s">
        <v>2337</v>
      </c>
    </row>
    <row r="488" spans="1:9">
      <c r="A488" s="95" t="s">
        <v>2406</v>
      </c>
      <c r="B488" s="96" t="s">
        <v>2333</v>
      </c>
      <c r="C488" s="96" t="s">
        <v>1241</v>
      </c>
      <c r="D488" s="96" t="s">
        <v>2685</v>
      </c>
      <c r="E488" s="96" t="s">
        <v>2686</v>
      </c>
      <c r="F488" s="96" t="s">
        <v>2687</v>
      </c>
      <c r="G488" s="88">
        <v>2271321456541</v>
      </c>
      <c r="H488" s="91">
        <v>2271.3214565409999</v>
      </c>
      <c r="I488" s="100" t="s">
        <v>2337</v>
      </c>
    </row>
    <row r="489" spans="1:9">
      <c r="A489" s="95" t="s">
        <v>2406</v>
      </c>
      <c r="B489" s="96" t="s">
        <v>2333</v>
      </c>
      <c r="C489" s="96" t="s">
        <v>1241</v>
      </c>
      <c r="D489" s="96" t="s">
        <v>1810</v>
      </c>
      <c r="E489" s="96" t="s">
        <v>2688</v>
      </c>
      <c r="F489" s="96" t="s">
        <v>2689</v>
      </c>
      <c r="G489" s="88">
        <v>1411954000</v>
      </c>
      <c r="H489" s="91">
        <v>1.4119539999999999</v>
      </c>
      <c r="I489" s="100" t="s">
        <v>2337</v>
      </c>
    </row>
    <row r="490" spans="1:9">
      <c r="A490" s="95" t="s">
        <v>2406</v>
      </c>
      <c r="B490" s="96" t="s">
        <v>2333</v>
      </c>
      <c r="C490" s="96" t="s">
        <v>1241</v>
      </c>
      <c r="D490" s="96" t="s">
        <v>1834</v>
      </c>
      <c r="E490" s="96" t="s">
        <v>2690</v>
      </c>
      <c r="F490" s="96" t="s">
        <v>2691</v>
      </c>
      <c r="G490" s="88">
        <v>0</v>
      </c>
      <c r="H490" s="91">
        <v>0</v>
      </c>
      <c r="I490" s="100" t="s">
        <v>2337</v>
      </c>
    </row>
    <row r="491" spans="1:9">
      <c r="A491" s="95" t="s">
        <v>2406</v>
      </c>
      <c r="B491" s="96" t="s">
        <v>2333</v>
      </c>
      <c r="C491" s="96" t="s">
        <v>1241</v>
      </c>
      <c r="D491" s="96" t="s">
        <v>2390</v>
      </c>
      <c r="E491" s="96" t="s">
        <v>2391</v>
      </c>
      <c r="F491" s="96" t="s">
        <v>2692</v>
      </c>
      <c r="G491" s="88">
        <v>967609992731</v>
      </c>
      <c r="H491" s="91">
        <v>967.60999273100003</v>
      </c>
      <c r="I491" s="100" t="s">
        <v>2337</v>
      </c>
    </row>
    <row r="492" spans="1:9">
      <c r="A492" s="95" t="s">
        <v>2406</v>
      </c>
      <c r="B492" s="96" t="s">
        <v>2333</v>
      </c>
      <c r="C492" s="96" t="s">
        <v>1241</v>
      </c>
      <c r="D492" s="96" t="s">
        <v>2693</v>
      </c>
      <c r="E492" s="96" t="s">
        <v>2694</v>
      </c>
      <c r="F492" s="96" t="s">
        <v>2695</v>
      </c>
      <c r="G492" s="88">
        <v>0</v>
      </c>
      <c r="H492" s="91">
        <v>0</v>
      </c>
      <c r="I492" s="100" t="s">
        <v>2337</v>
      </c>
    </row>
    <row r="493" spans="1:9">
      <c r="A493" s="95" t="s">
        <v>2406</v>
      </c>
      <c r="B493" s="96" t="s">
        <v>2404</v>
      </c>
      <c r="C493" s="96" t="s">
        <v>1241</v>
      </c>
      <c r="D493" s="96" t="s">
        <v>68</v>
      </c>
      <c r="E493" s="96" t="s">
        <v>2411</v>
      </c>
      <c r="F493" s="96" t="s">
        <v>2412</v>
      </c>
      <c r="G493" s="88">
        <v>14823692396739</v>
      </c>
      <c r="H493" s="91">
        <v>14823.692396738999</v>
      </c>
      <c r="I493" s="100" t="s">
        <v>2405</v>
      </c>
    </row>
    <row r="494" spans="1:9">
      <c r="A494" s="95" t="s">
        <v>2406</v>
      </c>
      <c r="B494" s="96" t="s">
        <v>2404</v>
      </c>
      <c r="C494" s="96" t="s">
        <v>1241</v>
      </c>
      <c r="D494" s="96" t="s">
        <v>58</v>
      </c>
      <c r="E494" s="96" t="s">
        <v>2413</v>
      </c>
      <c r="F494" s="96" t="s">
        <v>2414</v>
      </c>
      <c r="G494" s="88">
        <v>3391121774419</v>
      </c>
      <c r="H494" s="91">
        <v>3391.1217744189998</v>
      </c>
      <c r="I494" s="100" t="s">
        <v>2405</v>
      </c>
    </row>
    <row r="495" spans="1:9">
      <c r="A495" s="95" t="s">
        <v>2406</v>
      </c>
      <c r="B495" s="96" t="s">
        <v>2404</v>
      </c>
      <c r="C495" s="96" t="s">
        <v>1241</v>
      </c>
      <c r="D495" s="96" t="s">
        <v>1699</v>
      </c>
      <c r="E495" s="96" t="s">
        <v>2415</v>
      </c>
      <c r="F495" s="96" t="s">
        <v>2416</v>
      </c>
      <c r="G495" s="88">
        <v>427121774419</v>
      </c>
      <c r="H495" s="91">
        <v>427.12177441900002</v>
      </c>
      <c r="I495" s="100" t="s">
        <v>2405</v>
      </c>
    </row>
    <row r="496" spans="1:9">
      <c r="A496" s="95" t="s">
        <v>2406</v>
      </c>
      <c r="B496" s="96" t="s">
        <v>2404</v>
      </c>
      <c r="C496" s="96" t="s">
        <v>1241</v>
      </c>
      <c r="D496" s="96" t="s">
        <v>1701</v>
      </c>
      <c r="E496" s="96" t="s">
        <v>2417</v>
      </c>
      <c r="F496" s="96" t="s">
        <v>2418</v>
      </c>
      <c r="G496" s="88">
        <v>2964000000000</v>
      </c>
      <c r="H496" s="91">
        <v>2964</v>
      </c>
      <c r="I496" s="100" t="s">
        <v>2405</v>
      </c>
    </row>
    <row r="497" spans="1:9">
      <c r="A497" s="95" t="s">
        <v>2406</v>
      </c>
      <c r="B497" s="96" t="s">
        <v>2404</v>
      </c>
      <c r="C497" s="96" t="s">
        <v>1241</v>
      </c>
      <c r="D497" s="96" t="s">
        <v>2053</v>
      </c>
      <c r="E497" s="96" t="s">
        <v>2419</v>
      </c>
      <c r="F497" s="96" t="s">
        <v>2420</v>
      </c>
      <c r="G497" s="88">
        <v>881000000000</v>
      </c>
      <c r="H497" s="91">
        <v>881</v>
      </c>
      <c r="I497" s="100" t="s">
        <v>2405</v>
      </c>
    </row>
    <row r="498" spans="1:9">
      <c r="A498" s="95" t="s">
        <v>2406</v>
      </c>
      <c r="B498" s="96" t="s">
        <v>2404</v>
      </c>
      <c r="C498" s="96" t="s">
        <v>1241</v>
      </c>
      <c r="D498" s="96" t="s">
        <v>2053</v>
      </c>
      <c r="E498" s="96" t="s">
        <v>2419</v>
      </c>
      <c r="F498" s="96" t="s">
        <v>2420</v>
      </c>
      <c r="G498" s="88">
        <v>0</v>
      </c>
      <c r="H498" s="91">
        <v>0</v>
      </c>
      <c r="I498" s="100" t="s">
        <v>2405</v>
      </c>
    </row>
    <row r="499" spans="1:9">
      <c r="A499" s="95" t="s">
        <v>2406</v>
      </c>
      <c r="B499" s="96" t="s">
        <v>2404</v>
      </c>
      <c r="C499" s="96" t="s">
        <v>1241</v>
      </c>
      <c r="D499" s="96" t="s">
        <v>2421</v>
      </c>
      <c r="E499" s="96" t="s">
        <v>2422</v>
      </c>
      <c r="F499" s="96" t="s">
        <v>2423</v>
      </c>
      <c r="G499" s="88">
        <v>0</v>
      </c>
      <c r="H499" s="91">
        <v>0</v>
      </c>
      <c r="I499" s="100" t="s">
        <v>2405</v>
      </c>
    </row>
    <row r="500" spans="1:9">
      <c r="A500" s="95" t="s">
        <v>2406</v>
      </c>
      <c r="B500" s="96" t="s">
        <v>2404</v>
      </c>
      <c r="C500" s="96" t="s">
        <v>1241</v>
      </c>
      <c r="D500" s="96" t="s">
        <v>2424</v>
      </c>
      <c r="E500" s="96" t="s">
        <v>2425</v>
      </c>
      <c r="F500" s="96" t="s">
        <v>2426</v>
      </c>
      <c r="G500" s="88">
        <v>525180068060</v>
      </c>
      <c r="H500" s="91">
        <v>525.18006806000005</v>
      </c>
      <c r="I500" s="100" t="s">
        <v>2405</v>
      </c>
    </row>
    <row r="501" spans="1:9">
      <c r="A501" s="95" t="s">
        <v>2406</v>
      </c>
      <c r="B501" s="96" t="s">
        <v>2404</v>
      </c>
      <c r="C501" s="96" t="s">
        <v>1241</v>
      </c>
      <c r="D501" s="96" t="s">
        <v>2427</v>
      </c>
      <c r="E501" s="96" t="s">
        <v>2428</v>
      </c>
      <c r="F501" s="96" t="s">
        <v>2429</v>
      </c>
      <c r="G501" s="88">
        <v>167341173160</v>
      </c>
      <c r="H501" s="91">
        <v>167.34117316000001</v>
      </c>
      <c r="I501" s="100" t="s">
        <v>2405</v>
      </c>
    </row>
    <row r="502" spans="1:9">
      <c r="A502" s="95" t="s">
        <v>2406</v>
      </c>
      <c r="B502" s="96" t="s">
        <v>2404</v>
      </c>
      <c r="C502" s="96" t="s">
        <v>1241</v>
      </c>
      <c r="D502" s="96" t="s">
        <v>2430</v>
      </c>
      <c r="E502" s="96" t="s">
        <v>2431</v>
      </c>
      <c r="F502" s="96" t="s">
        <v>2432</v>
      </c>
      <c r="G502" s="88">
        <v>51149098157</v>
      </c>
      <c r="H502" s="91">
        <v>51.149098156999997</v>
      </c>
      <c r="I502" s="100" t="s">
        <v>2405</v>
      </c>
    </row>
    <row r="503" spans="1:9">
      <c r="A503" s="95" t="s">
        <v>2406</v>
      </c>
      <c r="B503" s="96" t="s">
        <v>2404</v>
      </c>
      <c r="C503" s="96" t="s">
        <v>1241</v>
      </c>
      <c r="D503" s="96" t="s">
        <v>2433</v>
      </c>
      <c r="E503" s="96" t="s">
        <v>2434</v>
      </c>
      <c r="F503" s="96" t="s">
        <v>2435</v>
      </c>
      <c r="G503" s="88">
        <v>0</v>
      </c>
      <c r="H503" s="91">
        <v>0</v>
      </c>
      <c r="I503" s="100" t="s">
        <v>2405</v>
      </c>
    </row>
    <row r="504" spans="1:9">
      <c r="A504" s="95" t="s">
        <v>2406</v>
      </c>
      <c r="B504" s="96" t="s">
        <v>2404</v>
      </c>
      <c r="C504" s="96" t="s">
        <v>1241</v>
      </c>
      <c r="D504" s="96" t="s">
        <v>2436</v>
      </c>
      <c r="E504" s="96" t="s">
        <v>2437</v>
      </c>
      <c r="F504" s="96" t="s">
        <v>2438</v>
      </c>
      <c r="G504" s="88">
        <v>0</v>
      </c>
      <c r="H504" s="91">
        <v>0</v>
      </c>
      <c r="I504" s="100" t="s">
        <v>2405</v>
      </c>
    </row>
    <row r="505" spans="1:9">
      <c r="A505" s="95" t="s">
        <v>2406</v>
      </c>
      <c r="B505" s="96" t="s">
        <v>2404</v>
      </c>
      <c r="C505" s="96" t="s">
        <v>1241</v>
      </c>
      <c r="D505" s="96" t="s">
        <v>2439</v>
      </c>
      <c r="E505" s="96" t="s">
        <v>2440</v>
      </c>
      <c r="F505" s="96" t="s">
        <v>2441</v>
      </c>
      <c r="G505" s="88">
        <v>316257135865</v>
      </c>
      <c r="H505" s="91">
        <v>316.25713586500001</v>
      </c>
      <c r="I505" s="100" t="s">
        <v>2405</v>
      </c>
    </row>
    <row r="506" spans="1:9">
      <c r="A506" s="95" t="s">
        <v>2406</v>
      </c>
      <c r="B506" s="96" t="s">
        <v>2404</v>
      </c>
      <c r="C506" s="96" t="s">
        <v>1241</v>
      </c>
      <c r="D506" s="96" t="s">
        <v>2442</v>
      </c>
      <c r="E506" s="96" t="s">
        <v>2443</v>
      </c>
      <c r="F506" s="96" t="s">
        <v>2444</v>
      </c>
      <c r="G506" s="88">
        <v>-9567339122</v>
      </c>
      <c r="H506" s="91">
        <v>-9.5673391219999999</v>
      </c>
      <c r="I506" s="100" t="s">
        <v>2405</v>
      </c>
    </row>
    <row r="507" spans="1:9">
      <c r="A507" s="95" t="s">
        <v>2406</v>
      </c>
      <c r="B507" s="96" t="s">
        <v>2404</v>
      </c>
      <c r="C507" s="96" t="s">
        <v>1241</v>
      </c>
      <c r="D507" s="96" t="s">
        <v>2445</v>
      </c>
      <c r="E507" s="96" t="s">
        <v>2446</v>
      </c>
      <c r="F507" s="96" t="s">
        <v>2447</v>
      </c>
      <c r="G507" s="88">
        <v>9765872393412</v>
      </c>
      <c r="H507" s="91">
        <v>9765.8723934120007</v>
      </c>
      <c r="I507" s="100" t="s">
        <v>2405</v>
      </c>
    </row>
    <row r="508" spans="1:9">
      <c r="A508" s="95" t="s">
        <v>2406</v>
      </c>
      <c r="B508" s="96" t="s">
        <v>2404</v>
      </c>
      <c r="C508" s="96" t="s">
        <v>1241</v>
      </c>
      <c r="D508" s="96" t="s">
        <v>64</v>
      </c>
      <c r="E508" s="96" t="s">
        <v>2448</v>
      </c>
      <c r="F508" s="96" t="s">
        <v>2449</v>
      </c>
      <c r="G508" s="88">
        <v>9825671623657</v>
      </c>
      <c r="H508" s="91">
        <v>9825.6716236569991</v>
      </c>
      <c r="I508" s="100" t="s">
        <v>2405</v>
      </c>
    </row>
    <row r="509" spans="1:9">
      <c r="A509" s="95" t="s">
        <v>2406</v>
      </c>
      <c r="B509" s="96" t="s">
        <v>2404</v>
      </c>
      <c r="C509" s="96" t="s">
        <v>1241</v>
      </c>
      <c r="D509" s="96" t="s">
        <v>2450</v>
      </c>
      <c r="E509" s="96" t="s">
        <v>2451</v>
      </c>
      <c r="F509" s="96" t="s">
        <v>2452</v>
      </c>
      <c r="G509" s="88">
        <v>-59799230245</v>
      </c>
      <c r="H509" s="91">
        <v>-59.799230244999997</v>
      </c>
      <c r="I509" s="100" t="s">
        <v>2405</v>
      </c>
    </row>
    <row r="510" spans="1:9">
      <c r="A510" s="95" t="s">
        <v>2406</v>
      </c>
      <c r="B510" s="96" t="s">
        <v>2404</v>
      </c>
      <c r="C510" s="96" t="s">
        <v>1241</v>
      </c>
      <c r="D510" s="96" t="s">
        <v>2059</v>
      </c>
      <c r="E510" s="96" t="s">
        <v>2453</v>
      </c>
      <c r="F510" s="96" t="s">
        <v>2454</v>
      </c>
      <c r="G510" s="88">
        <v>260518160848</v>
      </c>
      <c r="H510" s="91">
        <v>260.51816084799998</v>
      </c>
      <c r="I510" s="100" t="s">
        <v>2405</v>
      </c>
    </row>
    <row r="511" spans="1:9">
      <c r="A511" s="95" t="s">
        <v>2406</v>
      </c>
      <c r="B511" s="96" t="s">
        <v>2404</v>
      </c>
      <c r="C511" s="96" t="s">
        <v>1241</v>
      </c>
      <c r="D511" s="96" t="s">
        <v>2455</v>
      </c>
      <c r="E511" s="96" t="s">
        <v>2456</v>
      </c>
      <c r="F511" s="96" t="s">
        <v>2457</v>
      </c>
      <c r="G511" s="88">
        <v>229034677736</v>
      </c>
      <c r="H511" s="91">
        <v>229.03467773599999</v>
      </c>
      <c r="I511" s="100" t="s">
        <v>2405</v>
      </c>
    </row>
    <row r="512" spans="1:9">
      <c r="A512" s="95" t="s">
        <v>2406</v>
      </c>
      <c r="B512" s="96" t="s">
        <v>2404</v>
      </c>
      <c r="C512" s="96" t="s">
        <v>1241</v>
      </c>
      <c r="D512" s="96" t="s">
        <v>2458</v>
      </c>
      <c r="E512" s="96" t="s">
        <v>2459</v>
      </c>
      <c r="F512" s="96" t="s">
        <v>2460</v>
      </c>
      <c r="G512" s="88">
        <v>10050716999</v>
      </c>
      <c r="H512" s="91">
        <v>10.050716999</v>
      </c>
      <c r="I512" s="100" t="s">
        <v>2405</v>
      </c>
    </row>
    <row r="513" spans="1:9">
      <c r="A513" s="95" t="s">
        <v>2406</v>
      </c>
      <c r="B513" s="96" t="s">
        <v>2404</v>
      </c>
      <c r="C513" s="96" t="s">
        <v>1241</v>
      </c>
      <c r="D513" s="96" t="s">
        <v>2461</v>
      </c>
      <c r="E513" s="96" t="s">
        <v>2462</v>
      </c>
      <c r="F513" s="96" t="s">
        <v>2463</v>
      </c>
      <c r="G513" s="88">
        <v>21432766113</v>
      </c>
      <c r="H513" s="91">
        <v>21.432766113</v>
      </c>
      <c r="I513" s="100" t="s">
        <v>2405</v>
      </c>
    </row>
    <row r="514" spans="1:9">
      <c r="A514" s="95" t="s">
        <v>2406</v>
      </c>
      <c r="B514" s="96" t="s">
        <v>2404</v>
      </c>
      <c r="C514" s="96" t="s">
        <v>1241</v>
      </c>
      <c r="D514" s="96" t="s">
        <v>2059</v>
      </c>
      <c r="E514" s="96" t="s">
        <v>2453</v>
      </c>
      <c r="F514" s="96" t="s">
        <v>2454</v>
      </c>
      <c r="G514" s="88">
        <v>0</v>
      </c>
      <c r="H514" s="91">
        <v>0</v>
      </c>
      <c r="I514" s="100" t="s">
        <v>2405</v>
      </c>
    </row>
    <row r="515" spans="1:9">
      <c r="A515" s="95" t="s">
        <v>2406</v>
      </c>
      <c r="B515" s="96" t="s">
        <v>2404</v>
      </c>
      <c r="C515" s="96" t="s">
        <v>1241</v>
      </c>
      <c r="D515" s="96" t="s">
        <v>1753</v>
      </c>
      <c r="E515" s="96" t="s">
        <v>2464</v>
      </c>
      <c r="F515" s="96" t="s">
        <v>2465</v>
      </c>
      <c r="G515" s="88">
        <v>1812442337715</v>
      </c>
      <c r="H515" s="91">
        <v>1812.4423377149999</v>
      </c>
      <c r="I515" s="100" t="s">
        <v>2405</v>
      </c>
    </row>
    <row r="516" spans="1:9">
      <c r="A516" s="95" t="s">
        <v>2406</v>
      </c>
      <c r="B516" s="96" t="s">
        <v>2404</v>
      </c>
      <c r="C516" s="96" t="s">
        <v>1241</v>
      </c>
      <c r="D516" s="96" t="s">
        <v>1757</v>
      </c>
      <c r="E516" s="96" t="s">
        <v>2466</v>
      </c>
      <c r="F516" s="96" t="s">
        <v>2467</v>
      </c>
      <c r="G516" s="88">
        <v>184955831268</v>
      </c>
      <c r="H516" s="91">
        <v>184.955831268</v>
      </c>
      <c r="I516" s="100" t="s">
        <v>2405</v>
      </c>
    </row>
    <row r="517" spans="1:9">
      <c r="A517" s="95" t="s">
        <v>2406</v>
      </c>
      <c r="B517" s="96" t="s">
        <v>2404</v>
      </c>
      <c r="C517" s="96" t="s">
        <v>1241</v>
      </c>
      <c r="D517" s="96" t="s">
        <v>2468</v>
      </c>
      <c r="E517" s="96" t="s">
        <v>2469</v>
      </c>
      <c r="F517" s="96" t="s">
        <v>2470</v>
      </c>
      <c r="G517" s="88">
        <v>0</v>
      </c>
      <c r="H517" s="91">
        <v>0</v>
      </c>
      <c r="I517" s="100" t="s">
        <v>2405</v>
      </c>
    </row>
    <row r="518" spans="1:9">
      <c r="A518" s="95" t="s">
        <v>2406</v>
      </c>
      <c r="B518" s="96" t="s">
        <v>2404</v>
      </c>
      <c r="C518" s="96" t="s">
        <v>1241</v>
      </c>
      <c r="D518" s="96" t="s">
        <v>2471</v>
      </c>
      <c r="E518" s="96" t="s">
        <v>2472</v>
      </c>
      <c r="F518" s="96" t="s">
        <v>2473</v>
      </c>
      <c r="G518" s="88">
        <v>0</v>
      </c>
      <c r="H518" s="91">
        <v>0</v>
      </c>
      <c r="I518" s="100" t="s">
        <v>2405</v>
      </c>
    </row>
    <row r="519" spans="1:9">
      <c r="A519" s="95" t="s">
        <v>2406</v>
      </c>
      <c r="B519" s="96" t="s">
        <v>2404</v>
      </c>
      <c r="C519" s="96" t="s">
        <v>1241</v>
      </c>
      <c r="D519" s="96" t="s">
        <v>1767</v>
      </c>
      <c r="E519" s="96" t="s">
        <v>2474</v>
      </c>
      <c r="F519" s="96" t="s">
        <v>2475</v>
      </c>
      <c r="G519" s="88">
        <v>184955831268</v>
      </c>
      <c r="H519" s="91">
        <v>184.955831268</v>
      </c>
      <c r="I519" s="100" t="s">
        <v>2405</v>
      </c>
    </row>
    <row r="520" spans="1:9">
      <c r="A520" s="95" t="s">
        <v>2406</v>
      </c>
      <c r="B520" s="96" t="s">
        <v>2404</v>
      </c>
      <c r="C520" s="96" t="s">
        <v>1241</v>
      </c>
      <c r="D520" s="96" t="s">
        <v>2476</v>
      </c>
      <c r="E520" s="96" t="s">
        <v>2477</v>
      </c>
      <c r="F520" s="96" t="s">
        <v>2478</v>
      </c>
      <c r="G520" s="88">
        <v>0</v>
      </c>
      <c r="H520" s="91">
        <v>0</v>
      </c>
      <c r="I520" s="100" t="s">
        <v>2405</v>
      </c>
    </row>
    <row r="521" spans="1:9">
      <c r="A521" s="95" t="s">
        <v>2406</v>
      </c>
      <c r="B521" s="96" t="s">
        <v>2404</v>
      </c>
      <c r="C521" s="96" t="s">
        <v>1241</v>
      </c>
      <c r="D521" s="96" t="s">
        <v>70</v>
      </c>
      <c r="E521" s="96" t="s">
        <v>2061</v>
      </c>
      <c r="F521" s="96" t="s">
        <v>2479</v>
      </c>
      <c r="G521" s="88">
        <v>1453940151434</v>
      </c>
      <c r="H521" s="91">
        <v>1453.940151434</v>
      </c>
      <c r="I521" s="100" t="s">
        <v>2405</v>
      </c>
    </row>
    <row r="522" spans="1:9">
      <c r="A522" s="95" t="s">
        <v>2406</v>
      </c>
      <c r="B522" s="96" t="s">
        <v>2404</v>
      </c>
      <c r="C522" s="96" t="s">
        <v>1241</v>
      </c>
      <c r="D522" s="96" t="s">
        <v>1771</v>
      </c>
      <c r="E522" s="96" t="s">
        <v>2480</v>
      </c>
      <c r="F522" s="96" t="s">
        <v>2481</v>
      </c>
      <c r="G522" s="88">
        <v>1147596644333</v>
      </c>
      <c r="H522" s="91">
        <v>1147.5966443330001</v>
      </c>
      <c r="I522" s="100" t="s">
        <v>2405</v>
      </c>
    </row>
    <row r="523" spans="1:9">
      <c r="A523" s="95" t="s">
        <v>2406</v>
      </c>
      <c r="B523" s="96" t="s">
        <v>2404</v>
      </c>
      <c r="C523" s="96" t="s">
        <v>1241</v>
      </c>
      <c r="D523" s="96" t="s">
        <v>1773</v>
      </c>
      <c r="E523" s="96" t="s">
        <v>2482</v>
      </c>
      <c r="F523" s="96" t="s">
        <v>2483</v>
      </c>
      <c r="G523" s="88">
        <v>1981117382122</v>
      </c>
      <c r="H523" s="91">
        <v>1981.117382122</v>
      </c>
      <c r="I523" s="100" t="s">
        <v>2405</v>
      </c>
    </row>
    <row r="524" spans="1:9">
      <c r="A524" s="95" t="s">
        <v>2406</v>
      </c>
      <c r="B524" s="96" t="s">
        <v>2404</v>
      </c>
      <c r="C524" s="96" t="s">
        <v>1241</v>
      </c>
      <c r="D524" s="96" t="s">
        <v>1775</v>
      </c>
      <c r="E524" s="96" t="s">
        <v>2484</v>
      </c>
      <c r="F524" s="96" t="s">
        <v>2485</v>
      </c>
      <c r="G524" s="88">
        <v>-833520737789</v>
      </c>
      <c r="H524" s="91">
        <v>-833.52073778900001</v>
      </c>
      <c r="I524" s="100" t="s">
        <v>2405</v>
      </c>
    </row>
    <row r="525" spans="1:9">
      <c r="A525" s="95" t="s">
        <v>2406</v>
      </c>
      <c r="B525" s="96" t="s">
        <v>2404</v>
      </c>
      <c r="C525" s="96" t="s">
        <v>1241</v>
      </c>
      <c r="D525" s="96" t="s">
        <v>2486</v>
      </c>
      <c r="E525" s="96" t="s">
        <v>2487</v>
      </c>
      <c r="F525" s="96" t="s">
        <v>2488</v>
      </c>
      <c r="G525" s="88">
        <v>0</v>
      </c>
      <c r="H525" s="91">
        <v>0</v>
      </c>
      <c r="I525" s="100" t="s">
        <v>2405</v>
      </c>
    </row>
    <row r="526" spans="1:9">
      <c r="A526" s="95" t="s">
        <v>2406</v>
      </c>
      <c r="B526" s="96" t="s">
        <v>2404</v>
      </c>
      <c r="C526" s="96" t="s">
        <v>1241</v>
      </c>
      <c r="D526" s="96" t="s">
        <v>1773</v>
      </c>
      <c r="E526" s="96" t="s">
        <v>2482</v>
      </c>
      <c r="F526" s="96" t="s">
        <v>2489</v>
      </c>
      <c r="G526" s="88">
        <v>0</v>
      </c>
      <c r="H526" s="91">
        <v>0</v>
      </c>
      <c r="I526" s="100" t="s">
        <v>2405</v>
      </c>
    </row>
    <row r="527" spans="1:9">
      <c r="A527" s="95" t="s">
        <v>2406</v>
      </c>
      <c r="B527" s="96" t="s">
        <v>2404</v>
      </c>
      <c r="C527" s="96" t="s">
        <v>1241</v>
      </c>
      <c r="D527" s="96" t="s">
        <v>1775</v>
      </c>
      <c r="E527" s="96" t="s">
        <v>2484</v>
      </c>
      <c r="F527" s="96" t="s">
        <v>2490</v>
      </c>
      <c r="G527" s="88">
        <v>0</v>
      </c>
      <c r="H527" s="91">
        <v>0</v>
      </c>
      <c r="I527" s="100" t="s">
        <v>2405</v>
      </c>
    </row>
    <row r="528" spans="1:9">
      <c r="A528" s="95" t="s">
        <v>2406</v>
      </c>
      <c r="B528" s="96" t="s">
        <v>2404</v>
      </c>
      <c r="C528" s="96" t="s">
        <v>1241</v>
      </c>
      <c r="D528" s="96" t="s">
        <v>1781</v>
      </c>
      <c r="E528" s="96" t="s">
        <v>2491</v>
      </c>
      <c r="F528" s="96" t="s">
        <v>2492</v>
      </c>
      <c r="G528" s="88">
        <v>306343507101</v>
      </c>
      <c r="H528" s="91">
        <v>306.343507101</v>
      </c>
      <c r="I528" s="100" t="s">
        <v>2405</v>
      </c>
    </row>
    <row r="529" spans="1:9">
      <c r="A529" s="95" t="s">
        <v>2406</v>
      </c>
      <c r="B529" s="96" t="s">
        <v>2404</v>
      </c>
      <c r="C529" s="96" t="s">
        <v>1241</v>
      </c>
      <c r="D529" s="96" t="s">
        <v>1773</v>
      </c>
      <c r="E529" s="96" t="s">
        <v>2482</v>
      </c>
      <c r="F529" s="96" t="s">
        <v>2493</v>
      </c>
      <c r="G529" s="88">
        <v>377111128497</v>
      </c>
      <c r="H529" s="91">
        <v>377.11112849699998</v>
      </c>
      <c r="I529" s="100" t="s">
        <v>2405</v>
      </c>
    </row>
    <row r="530" spans="1:9">
      <c r="A530" s="95" t="s">
        <v>2406</v>
      </c>
      <c r="B530" s="96" t="s">
        <v>2404</v>
      </c>
      <c r="C530" s="96" t="s">
        <v>1241</v>
      </c>
      <c r="D530" s="96" t="s">
        <v>1775</v>
      </c>
      <c r="E530" s="96" t="s">
        <v>2484</v>
      </c>
      <c r="F530" s="96" t="s">
        <v>2494</v>
      </c>
      <c r="G530" s="88">
        <v>-70767621396</v>
      </c>
      <c r="H530" s="91">
        <v>-70.767621395999996</v>
      </c>
      <c r="I530" s="100" t="s">
        <v>2405</v>
      </c>
    </row>
    <row r="531" spans="1:9">
      <c r="A531" s="95" t="s">
        <v>2406</v>
      </c>
      <c r="B531" s="96" t="s">
        <v>2404</v>
      </c>
      <c r="C531" s="96" t="s">
        <v>1241</v>
      </c>
      <c r="D531" s="96" t="s">
        <v>2495</v>
      </c>
      <c r="E531" s="96" t="s">
        <v>2496</v>
      </c>
      <c r="F531" s="96" t="s">
        <v>2497</v>
      </c>
      <c r="G531" s="88">
        <v>0</v>
      </c>
      <c r="H531" s="91">
        <v>0</v>
      </c>
      <c r="I531" s="100" t="s">
        <v>2405</v>
      </c>
    </row>
    <row r="532" spans="1:9">
      <c r="A532" s="95" t="s">
        <v>2406</v>
      </c>
      <c r="B532" s="96" t="s">
        <v>2404</v>
      </c>
      <c r="C532" s="96" t="s">
        <v>1241</v>
      </c>
      <c r="D532" s="96" t="s">
        <v>1802</v>
      </c>
      <c r="E532" s="96" t="s">
        <v>2498</v>
      </c>
      <c r="F532" s="96" t="s">
        <v>2499</v>
      </c>
      <c r="G532" s="88">
        <v>0</v>
      </c>
      <c r="H532" s="91">
        <v>0</v>
      </c>
      <c r="I532" s="100" t="s">
        <v>2405</v>
      </c>
    </row>
    <row r="533" spans="1:9">
      <c r="A533" s="95" t="s">
        <v>2406</v>
      </c>
      <c r="B533" s="96" t="s">
        <v>2404</v>
      </c>
      <c r="C533" s="96" t="s">
        <v>1241</v>
      </c>
      <c r="D533" s="96" t="s">
        <v>1773</v>
      </c>
      <c r="E533" s="96" t="s">
        <v>2482</v>
      </c>
      <c r="F533" s="96" t="s">
        <v>2500</v>
      </c>
      <c r="G533" s="88">
        <v>0</v>
      </c>
      <c r="H533" s="91">
        <v>0</v>
      </c>
      <c r="I533" s="100" t="s">
        <v>2405</v>
      </c>
    </row>
    <row r="534" spans="1:9">
      <c r="A534" s="95" t="s">
        <v>2406</v>
      </c>
      <c r="B534" s="96" t="s">
        <v>2404</v>
      </c>
      <c r="C534" s="96" t="s">
        <v>1241</v>
      </c>
      <c r="D534" s="96" t="s">
        <v>1775</v>
      </c>
      <c r="E534" s="96" t="s">
        <v>2484</v>
      </c>
      <c r="F534" s="96" t="s">
        <v>2501</v>
      </c>
      <c r="G534" s="88">
        <v>0</v>
      </c>
      <c r="H534" s="91">
        <v>0</v>
      </c>
      <c r="I534" s="100" t="s">
        <v>2405</v>
      </c>
    </row>
    <row r="535" spans="1:9">
      <c r="A535" s="95" t="s">
        <v>2406</v>
      </c>
      <c r="B535" s="96" t="s">
        <v>2404</v>
      </c>
      <c r="C535" s="96" t="s">
        <v>1241</v>
      </c>
      <c r="D535" s="96" t="s">
        <v>2063</v>
      </c>
      <c r="E535" s="96" t="s">
        <v>2502</v>
      </c>
      <c r="F535" s="96" t="s">
        <v>2503</v>
      </c>
      <c r="G535" s="88">
        <v>0</v>
      </c>
      <c r="H535" s="91">
        <v>0</v>
      </c>
      <c r="I535" s="100" t="s">
        <v>2405</v>
      </c>
    </row>
    <row r="536" spans="1:9">
      <c r="A536" s="95" t="s">
        <v>2406</v>
      </c>
      <c r="B536" s="96" t="s">
        <v>2404</v>
      </c>
      <c r="C536" s="96" t="s">
        <v>1241</v>
      </c>
      <c r="D536" s="96" t="s">
        <v>1812</v>
      </c>
      <c r="E536" s="96" t="s">
        <v>2504</v>
      </c>
      <c r="F536" s="96" t="s">
        <v>2505</v>
      </c>
      <c r="G536" s="88">
        <v>0</v>
      </c>
      <c r="H536" s="91">
        <v>0</v>
      </c>
      <c r="I536" s="100" t="s">
        <v>2405</v>
      </c>
    </row>
    <row r="537" spans="1:9">
      <c r="A537" s="95" t="s">
        <v>2406</v>
      </c>
      <c r="B537" s="96" t="s">
        <v>2404</v>
      </c>
      <c r="C537" s="96" t="s">
        <v>1241</v>
      </c>
      <c r="D537" s="96" t="s">
        <v>2506</v>
      </c>
      <c r="E537" s="96" t="s">
        <v>2507</v>
      </c>
      <c r="F537" s="96" t="s">
        <v>2508</v>
      </c>
      <c r="G537" s="88">
        <v>0</v>
      </c>
      <c r="H537" s="91">
        <v>0</v>
      </c>
      <c r="I537" s="100" t="s">
        <v>2405</v>
      </c>
    </row>
    <row r="538" spans="1:9">
      <c r="A538" s="95" t="s">
        <v>2406</v>
      </c>
      <c r="B538" s="96" t="s">
        <v>2404</v>
      </c>
      <c r="C538" s="96" t="s">
        <v>1241</v>
      </c>
      <c r="D538" s="96" t="s">
        <v>1824</v>
      </c>
      <c r="E538" s="96" t="s">
        <v>2509</v>
      </c>
      <c r="F538" s="96" t="s">
        <v>2510</v>
      </c>
      <c r="G538" s="88">
        <v>0</v>
      </c>
      <c r="H538" s="91">
        <v>0</v>
      </c>
      <c r="I538" s="100" t="s">
        <v>2405</v>
      </c>
    </row>
    <row r="539" spans="1:9">
      <c r="A539" s="95" t="s">
        <v>2406</v>
      </c>
      <c r="B539" s="96" t="s">
        <v>2404</v>
      </c>
      <c r="C539" s="96" t="s">
        <v>1241</v>
      </c>
      <c r="D539" s="96" t="s">
        <v>2511</v>
      </c>
      <c r="E539" s="96" t="s">
        <v>2512</v>
      </c>
      <c r="F539" s="96" t="s">
        <v>2513</v>
      </c>
      <c r="G539" s="88">
        <v>0</v>
      </c>
      <c r="H539" s="91">
        <v>0</v>
      </c>
      <c r="I539" s="100" t="s">
        <v>2405</v>
      </c>
    </row>
    <row r="540" spans="1:9">
      <c r="A540" s="95" t="s">
        <v>2406</v>
      </c>
      <c r="B540" s="96" t="s">
        <v>2404</v>
      </c>
      <c r="C540" s="96" t="s">
        <v>1241</v>
      </c>
      <c r="D540" s="96" t="s">
        <v>1836</v>
      </c>
      <c r="E540" s="96" t="s">
        <v>2514</v>
      </c>
      <c r="F540" s="96" t="s">
        <v>2515</v>
      </c>
      <c r="G540" s="88">
        <v>0</v>
      </c>
      <c r="H540" s="91">
        <v>0</v>
      </c>
      <c r="I540" s="100" t="s">
        <v>2405</v>
      </c>
    </row>
    <row r="541" spans="1:9">
      <c r="A541" s="95" t="s">
        <v>2406</v>
      </c>
      <c r="B541" s="96" t="s">
        <v>2404</v>
      </c>
      <c r="C541" s="96" t="s">
        <v>1241</v>
      </c>
      <c r="D541" s="96" t="s">
        <v>74</v>
      </c>
      <c r="E541" s="96" t="s">
        <v>2064</v>
      </c>
      <c r="F541" s="96" t="s">
        <v>2516</v>
      </c>
      <c r="G541" s="88">
        <v>173546355013</v>
      </c>
      <c r="H541" s="91">
        <v>173.54635501300001</v>
      </c>
      <c r="I541" s="100" t="s">
        <v>2405</v>
      </c>
    </row>
    <row r="542" spans="1:9">
      <c r="A542" s="95" t="s">
        <v>2406</v>
      </c>
      <c r="B542" s="96" t="s">
        <v>2404</v>
      </c>
      <c r="C542" s="96" t="s">
        <v>1241</v>
      </c>
      <c r="D542" s="96" t="s">
        <v>2517</v>
      </c>
      <c r="E542" s="96" t="s">
        <v>2518</v>
      </c>
      <c r="F542" s="96" t="s">
        <v>2519</v>
      </c>
      <c r="G542" s="88">
        <v>173546355013</v>
      </c>
      <c r="H542" s="91">
        <v>173.54635501300001</v>
      </c>
      <c r="I542" s="100" t="s">
        <v>2405</v>
      </c>
    </row>
    <row r="543" spans="1:9">
      <c r="A543" s="95" t="s">
        <v>2406</v>
      </c>
      <c r="B543" s="96" t="s">
        <v>2404</v>
      </c>
      <c r="C543" s="96" t="s">
        <v>1241</v>
      </c>
      <c r="D543" s="96" t="s">
        <v>1828</v>
      </c>
      <c r="E543" s="96" t="s">
        <v>2520</v>
      </c>
      <c r="F543" s="96" t="s">
        <v>2521</v>
      </c>
      <c r="G543" s="88">
        <v>0</v>
      </c>
      <c r="H543" s="91">
        <v>0</v>
      </c>
      <c r="I543" s="100" t="s">
        <v>2405</v>
      </c>
    </row>
    <row r="544" spans="1:9">
      <c r="A544" s="95" t="s">
        <v>2406</v>
      </c>
      <c r="B544" s="96" t="s">
        <v>2404</v>
      </c>
      <c r="C544" s="96" t="s">
        <v>1241</v>
      </c>
      <c r="D544" s="96" t="s">
        <v>74</v>
      </c>
      <c r="E544" s="96" t="s">
        <v>2064</v>
      </c>
      <c r="F544" s="96" t="s">
        <v>2522</v>
      </c>
      <c r="G544" s="88">
        <v>0</v>
      </c>
      <c r="H544" s="91">
        <v>0</v>
      </c>
      <c r="I544" s="100" t="s">
        <v>2405</v>
      </c>
    </row>
    <row r="545" spans="1:9">
      <c r="A545" s="95" t="s">
        <v>2406</v>
      </c>
      <c r="B545" s="96" t="s">
        <v>2404</v>
      </c>
      <c r="C545" s="96" t="s">
        <v>1241</v>
      </c>
      <c r="D545" s="96" t="s">
        <v>76</v>
      </c>
      <c r="E545" s="96" t="s">
        <v>75</v>
      </c>
      <c r="F545" s="96" t="s">
        <v>1643</v>
      </c>
      <c r="G545" s="88">
        <v>16636134734454</v>
      </c>
      <c r="H545" s="91">
        <v>16636.134734454001</v>
      </c>
      <c r="I545" s="100" t="s">
        <v>2405</v>
      </c>
    </row>
    <row r="546" spans="1:9">
      <c r="A546" s="95" t="s">
        <v>2406</v>
      </c>
      <c r="B546" s="96" t="s">
        <v>2404</v>
      </c>
      <c r="C546" s="96" t="s">
        <v>1241</v>
      </c>
      <c r="D546" s="96" t="s">
        <v>2523</v>
      </c>
      <c r="E546" s="96" t="s">
        <v>487</v>
      </c>
      <c r="F546" s="96" t="s">
        <v>2524</v>
      </c>
      <c r="G546" s="88">
        <v>14303537414579</v>
      </c>
      <c r="H546" s="91">
        <v>14303.537414578999</v>
      </c>
      <c r="I546" s="100" t="s">
        <v>2405</v>
      </c>
    </row>
    <row r="547" spans="1:9">
      <c r="A547" s="95" t="s">
        <v>2406</v>
      </c>
      <c r="B547" s="96" t="s">
        <v>2404</v>
      </c>
      <c r="C547" s="96" t="s">
        <v>1241</v>
      </c>
      <c r="D547" s="96" t="s">
        <v>82</v>
      </c>
      <c r="E547" s="96" t="s">
        <v>2070</v>
      </c>
      <c r="F547" s="96" t="s">
        <v>2525</v>
      </c>
      <c r="G547" s="88">
        <v>14302984232735</v>
      </c>
      <c r="H547" s="91">
        <v>14302.984232735</v>
      </c>
      <c r="I547" s="100" t="s">
        <v>2405</v>
      </c>
    </row>
    <row r="548" spans="1:9">
      <c r="A548" s="95" t="s">
        <v>2406</v>
      </c>
      <c r="B548" s="96" t="s">
        <v>2404</v>
      </c>
      <c r="C548" s="96" t="s">
        <v>1241</v>
      </c>
      <c r="D548" s="96" t="s">
        <v>2526</v>
      </c>
      <c r="E548" s="96" t="s">
        <v>2527</v>
      </c>
      <c r="F548" s="96" t="s">
        <v>2528</v>
      </c>
      <c r="G548" s="88">
        <v>8899113460459</v>
      </c>
      <c r="H548" s="91">
        <v>8899.1134604590006</v>
      </c>
      <c r="I548" s="100" t="s">
        <v>2405</v>
      </c>
    </row>
    <row r="549" spans="1:9">
      <c r="A549" s="95" t="s">
        <v>2406</v>
      </c>
      <c r="B549" s="96" t="s">
        <v>2404</v>
      </c>
      <c r="C549" s="96" t="s">
        <v>1241</v>
      </c>
      <c r="D549" s="96" t="s">
        <v>2529</v>
      </c>
      <c r="E549" s="96" t="s">
        <v>2530</v>
      </c>
      <c r="F549" s="96" t="s">
        <v>2531</v>
      </c>
      <c r="G549" s="88">
        <v>3890533008090</v>
      </c>
      <c r="H549" s="91">
        <v>3890.5330080899998</v>
      </c>
      <c r="I549" s="100" t="s">
        <v>2405</v>
      </c>
    </row>
    <row r="550" spans="1:9">
      <c r="A550" s="95" t="s">
        <v>2406</v>
      </c>
      <c r="B550" s="96" t="s">
        <v>2404</v>
      </c>
      <c r="C550" s="96" t="s">
        <v>1241</v>
      </c>
      <c r="D550" s="96" t="s">
        <v>2532</v>
      </c>
      <c r="E550" s="96" t="s">
        <v>2533</v>
      </c>
      <c r="F550" s="96" t="s">
        <v>2534</v>
      </c>
      <c r="G550" s="88">
        <v>35860962906</v>
      </c>
      <c r="H550" s="91">
        <v>35.860962905999997</v>
      </c>
      <c r="I550" s="100" t="s">
        <v>2405</v>
      </c>
    </row>
    <row r="551" spans="1:9">
      <c r="A551" s="95" t="s">
        <v>2406</v>
      </c>
      <c r="B551" s="96" t="s">
        <v>2404</v>
      </c>
      <c r="C551" s="96" t="s">
        <v>1241</v>
      </c>
      <c r="D551" s="96" t="s">
        <v>2535</v>
      </c>
      <c r="E551" s="96" t="s">
        <v>2536</v>
      </c>
      <c r="F551" s="96" t="s">
        <v>2537</v>
      </c>
      <c r="G551" s="88">
        <v>118552194337</v>
      </c>
      <c r="H551" s="91">
        <v>118.552194337</v>
      </c>
      <c r="I551" s="100" t="s">
        <v>2405</v>
      </c>
    </row>
    <row r="552" spans="1:9">
      <c r="A552" s="95" t="s">
        <v>2406</v>
      </c>
      <c r="B552" s="96" t="s">
        <v>2404</v>
      </c>
      <c r="C552" s="96" t="s">
        <v>1241</v>
      </c>
      <c r="D552" s="96" t="s">
        <v>1846</v>
      </c>
      <c r="E552" s="96" t="s">
        <v>2538</v>
      </c>
      <c r="F552" s="96" t="s">
        <v>2539</v>
      </c>
      <c r="G552" s="88">
        <v>723153368225</v>
      </c>
      <c r="H552" s="91">
        <v>723.15336822500001</v>
      </c>
      <c r="I552" s="100" t="s">
        <v>2405</v>
      </c>
    </row>
    <row r="553" spans="1:9">
      <c r="A553" s="95" t="s">
        <v>2406</v>
      </c>
      <c r="B553" s="96" t="s">
        <v>2404</v>
      </c>
      <c r="C553" s="96" t="s">
        <v>1241</v>
      </c>
      <c r="D553" s="96" t="s">
        <v>2540</v>
      </c>
      <c r="E553" s="96" t="s">
        <v>2541</v>
      </c>
      <c r="F553" s="96" t="s">
        <v>2542</v>
      </c>
      <c r="G553" s="88">
        <v>255874235066</v>
      </c>
      <c r="H553" s="91">
        <v>255.87423506600001</v>
      </c>
      <c r="I553" s="100" t="s">
        <v>2405</v>
      </c>
    </row>
    <row r="554" spans="1:9">
      <c r="A554" s="95" t="s">
        <v>2406</v>
      </c>
      <c r="B554" s="96" t="s">
        <v>2404</v>
      </c>
      <c r="C554" s="96" t="s">
        <v>1241</v>
      </c>
      <c r="D554" s="96" t="s">
        <v>2543</v>
      </c>
      <c r="E554" s="96" t="s">
        <v>2544</v>
      </c>
      <c r="F554" s="96" t="s">
        <v>2545</v>
      </c>
      <c r="G554" s="88">
        <v>0</v>
      </c>
      <c r="H554" s="91">
        <v>0</v>
      </c>
      <c r="I554" s="100" t="s">
        <v>2405</v>
      </c>
    </row>
    <row r="555" spans="1:9">
      <c r="A555" s="95" t="s">
        <v>2406</v>
      </c>
      <c r="B555" s="96" t="s">
        <v>2404</v>
      </c>
      <c r="C555" s="96" t="s">
        <v>1241</v>
      </c>
      <c r="D555" s="96" t="s">
        <v>2546</v>
      </c>
      <c r="E555" s="96" t="s">
        <v>2547</v>
      </c>
      <c r="F555" s="96" t="s">
        <v>2548</v>
      </c>
      <c r="G555" s="88">
        <v>0</v>
      </c>
      <c r="H555" s="91">
        <v>0</v>
      </c>
      <c r="I555" s="100" t="s">
        <v>2405</v>
      </c>
    </row>
    <row r="556" spans="1:9">
      <c r="A556" s="95" t="s">
        <v>2406</v>
      </c>
      <c r="B556" s="96" t="s">
        <v>2404</v>
      </c>
      <c r="C556" s="96" t="s">
        <v>1241</v>
      </c>
      <c r="D556" s="96" t="s">
        <v>2549</v>
      </c>
      <c r="E556" s="96" t="s">
        <v>2550</v>
      </c>
      <c r="F556" s="96" t="s">
        <v>2551</v>
      </c>
      <c r="G556" s="88">
        <v>104862055135</v>
      </c>
      <c r="H556" s="91">
        <v>104.86205513500001</v>
      </c>
      <c r="I556" s="100" t="s">
        <v>2405</v>
      </c>
    </row>
    <row r="557" spans="1:9">
      <c r="A557" s="95" t="s">
        <v>2406</v>
      </c>
      <c r="B557" s="96" t="s">
        <v>2404</v>
      </c>
      <c r="C557" s="96" t="s">
        <v>1241</v>
      </c>
      <c r="D557" s="96" t="s">
        <v>2552</v>
      </c>
      <c r="E557" s="96" t="s">
        <v>2553</v>
      </c>
      <c r="F557" s="96" t="s">
        <v>2554</v>
      </c>
      <c r="G557" s="88">
        <v>3325443618</v>
      </c>
      <c r="H557" s="91">
        <v>3.325443618</v>
      </c>
      <c r="I557" s="100" t="s">
        <v>2405</v>
      </c>
    </row>
    <row r="558" spans="1:9">
      <c r="A558" s="95" t="s">
        <v>2406</v>
      </c>
      <c r="B558" s="96" t="s">
        <v>2404</v>
      </c>
      <c r="C558" s="96" t="s">
        <v>1241</v>
      </c>
      <c r="D558" s="96" t="s">
        <v>2555</v>
      </c>
      <c r="E558" s="96" t="s">
        <v>2556</v>
      </c>
      <c r="F558" s="96" t="s">
        <v>2557</v>
      </c>
      <c r="G558" s="88">
        <v>5733824194</v>
      </c>
      <c r="H558" s="91">
        <v>5.7338241940000003</v>
      </c>
      <c r="I558" s="100" t="s">
        <v>2405</v>
      </c>
    </row>
    <row r="559" spans="1:9">
      <c r="A559" s="95" t="s">
        <v>2406</v>
      </c>
      <c r="B559" s="96" t="s">
        <v>2404</v>
      </c>
      <c r="C559" s="96" t="s">
        <v>1241</v>
      </c>
      <c r="D559" s="96" t="s">
        <v>86</v>
      </c>
      <c r="E559" s="96" t="s">
        <v>2073</v>
      </c>
      <c r="F559" s="96" t="s">
        <v>2558</v>
      </c>
      <c r="G559" s="88">
        <v>553181844</v>
      </c>
      <c r="H559" s="91">
        <v>0.55318184400000003</v>
      </c>
      <c r="I559" s="100" t="s">
        <v>2405</v>
      </c>
    </row>
    <row r="560" spans="1:9">
      <c r="A560" s="95" t="s">
        <v>2406</v>
      </c>
      <c r="B560" s="96" t="s">
        <v>2404</v>
      </c>
      <c r="C560" s="96" t="s">
        <v>1241</v>
      </c>
      <c r="D560" s="96" t="s">
        <v>1866</v>
      </c>
      <c r="E560" s="96" t="s">
        <v>2559</v>
      </c>
      <c r="F560" s="96" t="s">
        <v>2560</v>
      </c>
      <c r="G560" s="88">
        <v>0</v>
      </c>
      <c r="H560" s="91">
        <v>0</v>
      </c>
      <c r="I560" s="100" t="s">
        <v>2405</v>
      </c>
    </row>
    <row r="561" spans="1:9">
      <c r="A561" s="95" t="s">
        <v>2406</v>
      </c>
      <c r="B561" s="96" t="s">
        <v>2404</v>
      </c>
      <c r="C561" s="96" t="s">
        <v>1241</v>
      </c>
      <c r="D561" s="96" t="s">
        <v>2561</v>
      </c>
      <c r="E561" s="96" t="s">
        <v>2562</v>
      </c>
      <c r="F561" s="96" t="s">
        <v>2563</v>
      </c>
      <c r="G561" s="88">
        <v>0</v>
      </c>
      <c r="H561" s="91">
        <v>0</v>
      </c>
      <c r="I561" s="100" t="s">
        <v>2405</v>
      </c>
    </row>
    <row r="562" spans="1:9">
      <c r="A562" s="95" t="s">
        <v>2406</v>
      </c>
      <c r="B562" s="96" t="s">
        <v>2404</v>
      </c>
      <c r="C562" s="96" t="s">
        <v>1241</v>
      </c>
      <c r="D562" s="96" t="s">
        <v>2564</v>
      </c>
      <c r="E562" s="96" t="s">
        <v>2565</v>
      </c>
      <c r="F562" s="96" t="s">
        <v>2566</v>
      </c>
      <c r="G562" s="88">
        <v>521500000</v>
      </c>
      <c r="H562" s="91">
        <v>0.52149999999999996</v>
      </c>
      <c r="I562" s="100" t="s">
        <v>2405</v>
      </c>
    </row>
    <row r="563" spans="1:9">
      <c r="A563" s="95" t="s">
        <v>2406</v>
      </c>
      <c r="B563" s="96" t="s">
        <v>2404</v>
      </c>
      <c r="C563" s="96" t="s">
        <v>1241</v>
      </c>
      <c r="D563" s="96" t="s">
        <v>2567</v>
      </c>
      <c r="E563" s="96" t="s">
        <v>2568</v>
      </c>
      <c r="F563" s="96" t="s">
        <v>2569</v>
      </c>
      <c r="G563" s="88">
        <v>0</v>
      </c>
      <c r="H563" s="91">
        <v>0</v>
      </c>
      <c r="I563" s="100" t="s">
        <v>2405</v>
      </c>
    </row>
    <row r="564" spans="1:9">
      <c r="A564" s="95" t="s">
        <v>2406</v>
      </c>
      <c r="B564" s="96" t="s">
        <v>2404</v>
      </c>
      <c r="C564" s="96" t="s">
        <v>1241</v>
      </c>
      <c r="D564" s="96" t="s">
        <v>1886</v>
      </c>
      <c r="E564" s="96" t="s">
        <v>2570</v>
      </c>
      <c r="F564" s="96" t="s">
        <v>2521</v>
      </c>
      <c r="G564" s="88">
        <v>31681844</v>
      </c>
      <c r="H564" s="91">
        <v>3.1681844000000001E-2</v>
      </c>
      <c r="I564" s="100" t="s">
        <v>2405</v>
      </c>
    </row>
    <row r="565" spans="1:9">
      <c r="A565" s="95" t="s">
        <v>2406</v>
      </c>
      <c r="B565" s="96" t="s">
        <v>2404</v>
      </c>
      <c r="C565" s="96" t="s">
        <v>1241</v>
      </c>
      <c r="D565" s="96" t="s">
        <v>1892</v>
      </c>
      <c r="E565" s="96" t="s">
        <v>2571</v>
      </c>
      <c r="F565" s="96" t="s">
        <v>2572</v>
      </c>
      <c r="G565" s="88">
        <v>0</v>
      </c>
      <c r="H565" s="91">
        <v>0</v>
      </c>
      <c r="I565" s="100" t="s">
        <v>2405</v>
      </c>
    </row>
    <row r="566" spans="1:9">
      <c r="A566" s="95" t="s">
        <v>2406</v>
      </c>
      <c r="B566" s="96" t="s">
        <v>2404</v>
      </c>
      <c r="C566" s="96" t="s">
        <v>1241</v>
      </c>
      <c r="D566" s="96" t="s">
        <v>1888</v>
      </c>
      <c r="E566" s="96" t="s">
        <v>2573</v>
      </c>
      <c r="F566" s="96" t="s">
        <v>2574</v>
      </c>
      <c r="G566" s="88">
        <v>0</v>
      </c>
      <c r="H566" s="91">
        <v>0</v>
      </c>
      <c r="I566" s="100" t="s">
        <v>2405</v>
      </c>
    </row>
    <row r="567" spans="1:9">
      <c r="A567" s="95" t="s">
        <v>2406</v>
      </c>
      <c r="B567" s="96" t="s">
        <v>2404</v>
      </c>
      <c r="C567" s="96" t="s">
        <v>1241</v>
      </c>
      <c r="D567" s="96" t="s">
        <v>2575</v>
      </c>
      <c r="E567" s="96" t="s">
        <v>2576</v>
      </c>
      <c r="F567" s="96" t="s">
        <v>2577</v>
      </c>
      <c r="G567" s="88">
        <v>0</v>
      </c>
      <c r="H567" s="91">
        <v>0</v>
      </c>
      <c r="I567" s="100" t="s">
        <v>2405</v>
      </c>
    </row>
    <row r="568" spans="1:9">
      <c r="A568" s="95" t="s">
        <v>2406</v>
      </c>
      <c r="B568" s="96" t="s">
        <v>2404</v>
      </c>
      <c r="C568" s="96" t="s">
        <v>1241</v>
      </c>
      <c r="D568" s="96" t="s">
        <v>2578</v>
      </c>
      <c r="E568" s="96" t="s">
        <v>2579</v>
      </c>
      <c r="F568" s="96" t="s">
        <v>2580</v>
      </c>
      <c r="G568" s="88">
        <v>0</v>
      </c>
      <c r="H568" s="91">
        <v>0</v>
      </c>
      <c r="I568" s="100" t="s">
        <v>2405</v>
      </c>
    </row>
    <row r="569" spans="1:9">
      <c r="A569" s="95" t="s">
        <v>2406</v>
      </c>
      <c r="B569" s="96" t="s">
        <v>2404</v>
      </c>
      <c r="C569" s="96" t="s">
        <v>1241</v>
      </c>
      <c r="D569" s="96" t="s">
        <v>2581</v>
      </c>
      <c r="E569" s="96" t="s">
        <v>2582</v>
      </c>
      <c r="F569" s="96" t="s">
        <v>2583</v>
      </c>
      <c r="G569" s="88">
        <v>2332597319875</v>
      </c>
      <c r="H569" s="91">
        <v>2332.5973198749998</v>
      </c>
      <c r="I569" s="100" t="s">
        <v>2405</v>
      </c>
    </row>
    <row r="570" spans="1:9">
      <c r="A570" s="95" t="s">
        <v>2406</v>
      </c>
      <c r="B570" s="96" t="s">
        <v>2404</v>
      </c>
      <c r="C570" s="96" t="s">
        <v>1241</v>
      </c>
      <c r="D570" s="96" t="s">
        <v>2584</v>
      </c>
      <c r="E570" s="96" t="s">
        <v>2585</v>
      </c>
      <c r="F570" s="96" t="s">
        <v>2586</v>
      </c>
      <c r="G570" s="88">
        <v>2332597319875</v>
      </c>
      <c r="H570" s="91">
        <v>2332.5973198749998</v>
      </c>
      <c r="I570" s="100" t="s">
        <v>2405</v>
      </c>
    </row>
    <row r="571" spans="1:9">
      <c r="A571" s="95" t="s">
        <v>2406</v>
      </c>
      <c r="B571" s="96" t="s">
        <v>2404</v>
      </c>
      <c r="C571" s="96" t="s">
        <v>1241</v>
      </c>
      <c r="D571" s="96" t="s">
        <v>2587</v>
      </c>
      <c r="E571" s="96" t="s">
        <v>2588</v>
      </c>
      <c r="F571" s="96" t="s">
        <v>2589</v>
      </c>
      <c r="G571" s="88">
        <v>1362423890000</v>
      </c>
      <c r="H571" s="91">
        <v>1362.42389</v>
      </c>
      <c r="I571" s="100" t="s">
        <v>2405</v>
      </c>
    </row>
    <row r="572" spans="1:9">
      <c r="A572" s="95" t="s">
        <v>2406</v>
      </c>
      <c r="B572" s="96" t="s">
        <v>2404</v>
      </c>
      <c r="C572" s="96" t="s">
        <v>1241</v>
      </c>
      <c r="D572" s="96" t="s">
        <v>1900</v>
      </c>
      <c r="E572" s="96" t="s">
        <v>2590</v>
      </c>
      <c r="F572" s="96" t="s">
        <v>2591</v>
      </c>
      <c r="G572" s="88">
        <v>0</v>
      </c>
      <c r="H572" s="91">
        <v>0</v>
      </c>
      <c r="I572" s="100" t="s">
        <v>2405</v>
      </c>
    </row>
    <row r="573" spans="1:9">
      <c r="A573" s="95" t="s">
        <v>2406</v>
      </c>
      <c r="B573" s="96" t="s">
        <v>2404</v>
      </c>
      <c r="C573" s="96" t="s">
        <v>1241</v>
      </c>
      <c r="D573" s="96" t="s">
        <v>2592</v>
      </c>
      <c r="E573" s="96" t="s">
        <v>2593</v>
      </c>
      <c r="F573" s="96" t="s">
        <v>2594</v>
      </c>
      <c r="G573" s="88">
        <v>0</v>
      </c>
      <c r="H573" s="91">
        <v>0</v>
      </c>
      <c r="I573" s="100" t="s">
        <v>2405</v>
      </c>
    </row>
    <row r="574" spans="1:9">
      <c r="A574" s="95" t="s">
        <v>2406</v>
      </c>
      <c r="B574" s="96" t="s">
        <v>2404</v>
      </c>
      <c r="C574" s="96" t="s">
        <v>1241</v>
      </c>
      <c r="D574" s="96" t="s">
        <v>1906</v>
      </c>
      <c r="E574" s="96" t="s">
        <v>2595</v>
      </c>
      <c r="F574" s="96" t="s">
        <v>2596</v>
      </c>
      <c r="G574" s="88">
        <v>0</v>
      </c>
      <c r="H574" s="91">
        <v>0</v>
      </c>
      <c r="I574" s="100" t="s">
        <v>2405</v>
      </c>
    </row>
    <row r="575" spans="1:9">
      <c r="A575" s="95" t="s">
        <v>2406</v>
      </c>
      <c r="B575" s="96" t="s">
        <v>2404</v>
      </c>
      <c r="C575" s="96" t="s">
        <v>1241</v>
      </c>
      <c r="D575" s="96" t="s">
        <v>2597</v>
      </c>
      <c r="E575" s="96" t="s">
        <v>2598</v>
      </c>
      <c r="F575" s="96" t="s">
        <v>2599</v>
      </c>
      <c r="G575" s="88">
        <v>0</v>
      </c>
      <c r="H575" s="91">
        <v>0</v>
      </c>
      <c r="I575" s="100" t="s">
        <v>2405</v>
      </c>
    </row>
    <row r="576" spans="1:9">
      <c r="A576" s="95" t="s">
        <v>2406</v>
      </c>
      <c r="B576" s="96" t="s">
        <v>2404</v>
      </c>
      <c r="C576" s="96" t="s">
        <v>1241</v>
      </c>
      <c r="D576" s="96" t="s">
        <v>1910</v>
      </c>
      <c r="E576" s="96" t="s">
        <v>2600</v>
      </c>
      <c r="F576" s="96" t="s">
        <v>2601</v>
      </c>
      <c r="G576" s="88">
        <v>0</v>
      </c>
      <c r="H576" s="91">
        <v>0</v>
      </c>
      <c r="I576" s="100" t="s">
        <v>2405</v>
      </c>
    </row>
    <row r="577" spans="1:9">
      <c r="A577" s="95" t="s">
        <v>2406</v>
      </c>
      <c r="B577" s="96" t="s">
        <v>2404</v>
      </c>
      <c r="C577" s="96" t="s">
        <v>1241</v>
      </c>
      <c r="D577" s="96" t="s">
        <v>2602</v>
      </c>
      <c r="E577" s="96" t="s">
        <v>2603</v>
      </c>
      <c r="F577" s="96" t="s">
        <v>2604</v>
      </c>
      <c r="G577" s="88">
        <v>0</v>
      </c>
      <c r="H577" s="91">
        <v>0</v>
      </c>
      <c r="I577" s="100" t="s">
        <v>2405</v>
      </c>
    </row>
    <row r="578" spans="1:9">
      <c r="A578" s="95" t="s">
        <v>2406</v>
      </c>
      <c r="B578" s="96" t="s">
        <v>2404</v>
      </c>
      <c r="C578" s="96" t="s">
        <v>1241</v>
      </c>
      <c r="D578" s="96" t="s">
        <v>2605</v>
      </c>
      <c r="E578" s="96" t="s">
        <v>2606</v>
      </c>
      <c r="F578" s="96" t="s">
        <v>2607</v>
      </c>
      <c r="G578" s="88">
        <v>0</v>
      </c>
      <c r="H578" s="91">
        <v>0</v>
      </c>
      <c r="I578" s="100" t="s">
        <v>2405</v>
      </c>
    </row>
    <row r="579" spans="1:9">
      <c r="A579" s="95" t="s">
        <v>2406</v>
      </c>
      <c r="B579" s="96" t="s">
        <v>2404</v>
      </c>
      <c r="C579" s="96" t="s">
        <v>1241</v>
      </c>
      <c r="D579" s="96" t="s">
        <v>2608</v>
      </c>
      <c r="E579" s="96" t="s">
        <v>2609</v>
      </c>
      <c r="F579" s="96" t="s">
        <v>2610</v>
      </c>
      <c r="G579" s="88">
        <v>0</v>
      </c>
      <c r="H579" s="91">
        <v>0</v>
      </c>
      <c r="I579" s="100" t="s">
        <v>2405</v>
      </c>
    </row>
    <row r="580" spans="1:9">
      <c r="A580" s="95" t="s">
        <v>2406</v>
      </c>
      <c r="B580" s="96" t="s">
        <v>2404</v>
      </c>
      <c r="C580" s="96" t="s">
        <v>1241</v>
      </c>
      <c r="D580" s="96" t="s">
        <v>2611</v>
      </c>
      <c r="E580" s="96" t="s">
        <v>2612</v>
      </c>
      <c r="F580" s="96" t="s">
        <v>2613</v>
      </c>
      <c r="G580" s="88">
        <v>717349159437</v>
      </c>
      <c r="H580" s="91">
        <v>717.34915943700003</v>
      </c>
      <c r="I580" s="100" t="s">
        <v>2405</v>
      </c>
    </row>
    <row r="581" spans="1:9">
      <c r="A581" s="95" t="s">
        <v>2406</v>
      </c>
      <c r="B581" s="96" t="s">
        <v>2404</v>
      </c>
      <c r="C581" s="96" t="s">
        <v>1241</v>
      </c>
      <c r="D581" s="96" t="s">
        <v>2614</v>
      </c>
      <c r="E581" s="96" t="s">
        <v>2615</v>
      </c>
      <c r="F581" s="96" t="s">
        <v>2616</v>
      </c>
      <c r="G581" s="88">
        <v>0</v>
      </c>
      <c r="H581" s="91">
        <v>0</v>
      </c>
      <c r="I581" s="100" t="s">
        <v>2405</v>
      </c>
    </row>
    <row r="582" spans="1:9">
      <c r="A582" s="95" t="s">
        <v>2406</v>
      </c>
      <c r="B582" s="96" t="s">
        <v>2404</v>
      </c>
      <c r="C582" s="96" t="s">
        <v>1241</v>
      </c>
      <c r="D582" s="96" t="s">
        <v>2617</v>
      </c>
      <c r="E582" s="96" t="s">
        <v>2618</v>
      </c>
      <c r="F582" s="96" t="s">
        <v>2619</v>
      </c>
      <c r="G582" s="88">
        <v>0</v>
      </c>
      <c r="H582" s="91">
        <v>0</v>
      </c>
      <c r="I582" s="100" t="s">
        <v>2405</v>
      </c>
    </row>
    <row r="583" spans="1:9">
      <c r="A583" s="95" t="s">
        <v>2406</v>
      </c>
      <c r="B583" s="96" t="s">
        <v>2404</v>
      </c>
      <c r="C583" s="96" t="s">
        <v>1241</v>
      </c>
      <c r="D583" s="96" t="s">
        <v>2620</v>
      </c>
      <c r="E583" s="96" t="s">
        <v>2621</v>
      </c>
      <c r="F583" s="96" t="s">
        <v>2622</v>
      </c>
      <c r="G583" s="88">
        <v>0</v>
      </c>
      <c r="H583" s="91">
        <v>0</v>
      </c>
      <c r="I583" s="100" t="s">
        <v>2405</v>
      </c>
    </row>
    <row r="584" spans="1:9">
      <c r="A584" s="95" t="s">
        <v>2406</v>
      </c>
      <c r="B584" s="96" t="s">
        <v>2404</v>
      </c>
      <c r="C584" s="96" t="s">
        <v>1241</v>
      </c>
      <c r="D584" s="96" t="s">
        <v>2617</v>
      </c>
      <c r="E584" s="96" t="s">
        <v>2618</v>
      </c>
      <c r="F584" s="96" t="s">
        <v>2623</v>
      </c>
      <c r="G584" s="88">
        <v>0</v>
      </c>
      <c r="H584" s="91">
        <v>0</v>
      </c>
      <c r="I584" s="100" t="s">
        <v>2405</v>
      </c>
    </row>
    <row r="585" spans="1:9">
      <c r="A585" s="95" t="s">
        <v>2406</v>
      </c>
      <c r="B585" s="96" t="s">
        <v>2404</v>
      </c>
      <c r="C585" s="96" t="s">
        <v>1241</v>
      </c>
      <c r="D585" s="96" t="s">
        <v>2624</v>
      </c>
      <c r="E585" s="96" t="s">
        <v>2625</v>
      </c>
      <c r="F585" s="96" t="s">
        <v>1631</v>
      </c>
      <c r="G585" s="88">
        <v>0</v>
      </c>
      <c r="H585" s="91">
        <v>0</v>
      </c>
      <c r="I585" s="100" t="s">
        <v>2405</v>
      </c>
    </row>
    <row r="586" spans="1:9">
      <c r="A586" s="95" t="s">
        <v>2406</v>
      </c>
      <c r="B586" s="96" t="s">
        <v>2404</v>
      </c>
      <c r="C586" s="96" t="s">
        <v>1241</v>
      </c>
      <c r="D586" s="96" t="s">
        <v>2626</v>
      </c>
      <c r="E586" s="96" t="s">
        <v>2627</v>
      </c>
      <c r="F586" s="96" t="s">
        <v>2628</v>
      </c>
      <c r="G586" s="88">
        <v>16636134734454</v>
      </c>
      <c r="H586" s="91">
        <v>16636.134734454001</v>
      </c>
      <c r="I586" s="100" t="s">
        <v>2405</v>
      </c>
    </row>
    <row r="587" spans="1:9">
      <c r="A587" s="95" t="s">
        <v>2406</v>
      </c>
      <c r="B587" s="96" t="s">
        <v>2404</v>
      </c>
      <c r="C587" s="96" t="s">
        <v>1241</v>
      </c>
      <c r="D587" s="96" t="s">
        <v>2629</v>
      </c>
      <c r="E587" s="96" t="s">
        <v>2630</v>
      </c>
      <c r="F587" s="96" t="s">
        <v>2631</v>
      </c>
      <c r="G587" s="88">
        <v>0</v>
      </c>
      <c r="H587" s="91">
        <v>0</v>
      </c>
      <c r="I587" s="100" t="s">
        <v>2405</v>
      </c>
    </row>
    <row r="588" spans="1:9">
      <c r="A588" s="95" t="s">
        <v>2406</v>
      </c>
      <c r="B588" s="96" t="s">
        <v>2404</v>
      </c>
      <c r="C588" s="96" t="s">
        <v>1241</v>
      </c>
      <c r="D588" s="96" t="s">
        <v>2632</v>
      </c>
      <c r="E588" s="96" t="s">
        <v>2633</v>
      </c>
      <c r="F588" s="96" t="s">
        <v>2634</v>
      </c>
      <c r="G588" s="88">
        <v>881000000000</v>
      </c>
      <c r="H588" s="91">
        <v>881</v>
      </c>
      <c r="I588" s="100" t="s">
        <v>2405</v>
      </c>
    </row>
    <row r="589" spans="1:9">
      <c r="A589" s="95" t="s">
        <v>2406</v>
      </c>
      <c r="B589" s="96" t="s">
        <v>2404</v>
      </c>
      <c r="C589" s="96" t="s">
        <v>1241</v>
      </c>
      <c r="D589" s="96" t="s">
        <v>2635</v>
      </c>
      <c r="E589" s="96" t="s">
        <v>2636</v>
      </c>
      <c r="F589" s="96" t="s">
        <v>2637</v>
      </c>
      <c r="G589" s="88">
        <v>0</v>
      </c>
      <c r="H589" s="91">
        <v>0</v>
      </c>
      <c r="I589" s="100" t="s">
        <v>2405</v>
      </c>
    </row>
    <row r="590" spans="1:9">
      <c r="A590" s="95" t="s">
        <v>2406</v>
      </c>
      <c r="B590" s="96" t="s">
        <v>2404</v>
      </c>
      <c r="C590" s="96" t="s">
        <v>1241</v>
      </c>
      <c r="D590" s="96" t="s">
        <v>2638</v>
      </c>
      <c r="E590" s="96" t="s">
        <v>2639</v>
      </c>
      <c r="F590" s="96" t="s">
        <v>2640</v>
      </c>
      <c r="G590" s="88">
        <v>0</v>
      </c>
      <c r="H590" s="91">
        <v>0</v>
      </c>
      <c r="I590" s="100" t="s">
        <v>2405</v>
      </c>
    </row>
    <row r="591" spans="1:9">
      <c r="A591" s="95" t="s">
        <v>2406</v>
      </c>
      <c r="B591" s="96" t="s">
        <v>2404</v>
      </c>
      <c r="C591" s="96" t="s">
        <v>1241</v>
      </c>
      <c r="D591" s="96" t="s">
        <v>2641</v>
      </c>
      <c r="E591" s="96" t="s">
        <v>2642</v>
      </c>
      <c r="F591" s="96" t="s">
        <v>2643</v>
      </c>
      <c r="G591" s="88">
        <v>0</v>
      </c>
      <c r="H591" s="91">
        <v>0</v>
      </c>
      <c r="I591" s="100" t="s">
        <v>2405</v>
      </c>
    </row>
    <row r="592" spans="1:9">
      <c r="A592" s="95" t="s">
        <v>2406</v>
      </c>
      <c r="B592" s="96" t="s">
        <v>2404</v>
      </c>
      <c r="C592" s="96" t="s">
        <v>1241</v>
      </c>
      <c r="D592" s="96" t="s">
        <v>2644</v>
      </c>
      <c r="E592" s="96" t="s">
        <v>2645</v>
      </c>
      <c r="F592" s="96" t="s">
        <v>2646</v>
      </c>
      <c r="G592" s="88">
        <v>0</v>
      </c>
      <c r="H592" s="91">
        <v>0</v>
      </c>
      <c r="I592" s="100" t="s">
        <v>2405</v>
      </c>
    </row>
    <row r="593" spans="1:9">
      <c r="A593" s="95" t="s">
        <v>2406</v>
      </c>
      <c r="B593" s="96" t="s">
        <v>2404</v>
      </c>
      <c r="C593" s="96" t="s">
        <v>1241</v>
      </c>
      <c r="D593" s="96" t="s">
        <v>1759</v>
      </c>
      <c r="E593" s="96" t="s">
        <v>2647</v>
      </c>
      <c r="F593" s="96" t="s">
        <v>2648</v>
      </c>
      <c r="G593" s="88">
        <v>0</v>
      </c>
      <c r="H593" s="91">
        <v>0</v>
      </c>
      <c r="I593" s="100" t="s">
        <v>2405</v>
      </c>
    </row>
    <row r="594" spans="1:9">
      <c r="A594" s="95" t="s">
        <v>2406</v>
      </c>
      <c r="B594" s="96" t="s">
        <v>2404</v>
      </c>
      <c r="C594" s="96" t="s">
        <v>1241</v>
      </c>
      <c r="D594" s="96" t="s">
        <v>2649</v>
      </c>
      <c r="E594" s="96" t="s">
        <v>2650</v>
      </c>
      <c r="F594" s="96" t="s">
        <v>2651</v>
      </c>
      <c r="G594" s="88">
        <v>0</v>
      </c>
      <c r="H594" s="91">
        <v>0</v>
      </c>
      <c r="I594" s="100" t="s">
        <v>2405</v>
      </c>
    </row>
    <row r="595" spans="1:9">
      <c r="A595" s="95" t="s">
        <v>2406</v>
      </c>
      <c r="B595" s="96" t="s">
        <v>2404</v>
      </c>
      <c r="C595" s="96" t="s">
        <v>1241</v>
      </c>
      <c r="D595" s="96" t="s">
        <v>2652</v>
      </c>
      <c r="E595" s="96" t="s">
        <v>2653</v>
      </c>
      <c r="F595" s="96" t="s">
        <v>2654</v>
      </c>
      <c r="G595" s="88">
        <v>0</v>
      </c>
      <c r="H595" s="91">
        <v>0</v>
      </c>
      <c r="I595" s="100" t="s">
        <v>2405</v>
      </c>
    </row>
    <row r="596" spans="1:9">
      <c r="A596" s="95" t="s">
        <v>2406</v>
      </c>
      <c r="B596" s="96" t="s">
        <v>2404</v>
      </c>
      <c r="C596" s="96" t="s">
        <v>1241</v>
      </c>
      <c r="D596" s="96" t="s">
        <v>2655</v>
      </c>
      <c r="E596" s="96" t="s">
        <v>2656</v>
      </c>
      <c r="F596" s="96" t="s">
        <v>2657</v>
      </c>
      <c r="G596" s="88">
        <v>0</v>
      </c>
      <c r="H596" s="91">
        <v>0</v>
      </c>
      <c r="I596" s="100" t="s">
        <v>2405</v>
      </c>
    </row>
    <row r="597" spans="1:9">
      <c r="A597" s="95" t="s">
        <v>2406</v>
      </c>
      <c r="B597" s="96" t="s">
        <v>2404</v>
      </c>
      <c r="C597" s="96" t="s">
        <v>1241</v>
      </c>
      <c r="D597" s="96" t="s">
        <v>2632</v>
      </c>
      <c r="E597" s="96" t="s">
        <v>2633</v>
      </c>
      <c r="F597" s="96" t="s">
        <v>2634</v>
      </c>
      <c r="G597" s="88">
        <v>0</v>
      </c>
      <c r="H597" s="91">
        <v>0</v>
      </c>
      <c r="I597" s="100" t="s">
        <v>2405</v>
      </c>
    </row>
    <row r="598" spans="1:9">
      <c r="A598" s="95" t="s">
        <v>2406</v>
      </c>
      <c r="B598" s="96" t="s">
        <v>2404</v>
      </c>
      <c r="C598" s="96" t="s">
        <v>1241</v>
      </c>
      <c r="D598" s="96" t="s">
        <v>2658</v>
      </c>
      <c r="E598" s="96" t="s">
        <v>2659</v>
      </c>
      <c r="F598" s="96" t="s">
        <v>2660</v>
      </c>
      <c r="G598" s="88">
        <v>0</v>
      </c>
      <c r="H598" s="91">
        <v>0</v>
      </c>
      <c r="I598" s="100" t="s">
        <v>2405</v>
      </c>
    </row>
    <row r="599" spans="1:9">
      <c r="A599" s="95" t="s">
        <v>2406</v>
      </c>
      <c r="B599" s="96" t="s">
        <v>2404</v>
      </c>
      <c r="C599" s="96" t="s">
        <v>1241</v>
      </c>
      <c r="D599" s="96" t="s">
        <v>2661</v>
      </c>
      <c r="E599" s="96" t="s">
        <v>2662</v>
      </c>
      <c r="F599" s="96" t="s">
        <v>2663</v>
      </c>
      <c r="G599" s="88">
        <v>265975680705</v>
      </c>
      <c r="H599" s="91">
        <v>265.975680705</v>
      </c>
      <c r="I599" s="100" t="s">
        <v>2405</v>
      </c>
    </row>
    <row r="600" spans="1:9">
      <c r="A600" s="95" t="s">
        <v>2406</v>
      </c>
      <c r="B600" s="96" t="s">
        <v>2404</v>
      </c>
      <c r="C600" s="96" t="s">
        <v>1241</v>
      </c>
      <c r="D600" s="96" t="s">
        <v>1862</v>
      </c>
      <c r="E600" s="96" t="s">
        <v>2664</v>
      </c>
      <c r="F600" s="96" t="s">
        <v>2665</v>
      </c>
      <c r="G600" s="88">
        <v>0</v>
      </c>
      <c r="H600" s="91">
        <v>0</v>
      </c>
      <c r="I600" s="100" t="s">
        <v>2405</v>
      </c>
    </row>
    <row r="601" spans="1:9">
      <c r="A601" s="95" t="s">
        <v>2406</v>
      </c>
      <c r="B601" s="96" t="s">
        <v>2404</v>
      </c>
      <c r="C601" s="96" t="s">
        <v>1241</v>
      </c>
      <c r="D601" s="96" t="s">
        <v>2644</v>
      </c>
      <c r="E601" s="96" t="s">
        <v>2645</v>
      </c>
      <c r="F601" s="96" t="s">
        <v>2666</v>
      </c>
      <c r="G601" s="88">
        <v>0</v>
      </c>
      <c r="H601" s="91">
        <v>0</v>
      </c>
      <c r="I601" s="100" t="s">
        <v>2405</v>
      </c>
    </row>
    <row r="602" spans="1:9">
      <c r="A602" s="95" t="s">
        <v>2406</v>
      </c>
      <c r="B602" s="96" t="s">
        <v>2404</v>
      </c>
      <c r="C602" s="96" t="s">
        <v>1241</v>
      </c>
      <c r="D602" s="96" t="s">
        <v>1868</v>
      </c>
      <c r="E602" s="96" t="s">
        <v>2667</v>
      </c>
      <c r="F602" s="96" t="s">
        <v>2668</v>
      </c>
      <c r="G602" s="88">
        <v>0</v>
      </c>
      <c r="H602" s="91">
        <v>0</v>
      </c>
      <c r="I602" s="100" t="s">
        <v>2405</v>
      </c>
    </row>
    <row r="603" spans="1:9">
      <c r="A603" s="95" t="s">
        <v>2406</v>
      </c>
      <c r="B603" s="96" t="s">
        <v>2404</v>
      </c>
      <c r="C603" s="96" t="s">
        <v>1241</v>
      </c>
      <c r="D603" s="96" t="s">
        <v>1872</v>
      </c>
      <c r="E603" s="96" t="s">
        <v>2669</v>
      </c>
      <c r="F603" s="96" t="s">
        <v>2670</v>
      </c>
      <c r="G603" s="88">
        <v>0</v>
      </c>
      <c r="H603" s="91">
        <v>0</v>
      </c>
      <c r="I603" s="100" t="s">
        <v>2405</v>
      </c>
    </row>
    <row r="604" spans="1:9">
      <c r="A604" s="95" t="s">
        <v>2406</v>
      </c>
      <c r="B604" s="96" t="s">
        <v>2404</v>
      </c>
      <c r="C604" s="96" t="s">
        <v>1241</v>
      </c>
      <c r="D604" s="96" t="s">
        <v>2671</v>
      </c>
      <c r="E604" s="96" t="s">
        <v>2672</v>
      </c>
      <c r="F604" s="96" t="s">
        <v>2673</v>
      </c>
      <c r="G604" s="88">
        <v>0</v>
      </c>
      <c r="H604" s="91">
        <v>0</v>
      </c>
      <c r="I604" s="100" t="s">
        <v>2405</v>
      </c>
    </row>
    <row r="605" spans="1:9">
      <c r="A605" s="95" t="s">
        <v>2406</v>
      </c>
      <c r="B605" s="96" t="s">
        <v>2404</v>
      </c>
      <c r="C605" s="96" t="s">
        <v>1241</v>
      </c>
      <c r="D605" s="96" t="s">
        <v>1882</v>
      </c>
      <c r="E605" s="96" t="s">
        <v>2674</v>
      </c>
      <c r="F605" s="96" t="s">
        <v>2675</v>
      </c>
      <c r="G605" s="88">
        <v>0</v>
      </c>
      <c r="H605" s="91">
        <v>0</v>
      </c>
      <c r="I605" s="100" t="s">
        <v>2405</v>
      </c>
    </row>
    <row r="606" spans="1:9">
      <c r="A606" s="95" t="s">
        <v>2406</v>
      </c>
      <c r="B606" s="96" t="s">
        <v>2404</v>
      </c>
      <c r="C606" s="96" t="s">
        <v>1241</v>
      </c>
      <c r="D606" s="96" t="s">
        <v>2629</v>
      </c>
      <c r="E606" s="96" t="s">
        <v>2630</v>
      </c>
      <c r="F606" s="96" t="s">
        <v>2631</v>
      </c>
      <c r="G606" s="88">
        <v>0</v>
      </c>
      <c r="H606" s="91">
        <v>0</v>
      </c>
      <c r="I606" s="100" t="s">
        <v>2405</v>
      </c>
    </row>
    <row r="607" spans="1:9">
      <c r="A607" s="95" t="s">
        <v>2406</v>
      </c>
      <c r="B607" s="96" t="s">
        <v>2404</v>
      </c>
      <c r="C607" s="96" t="s">
        <v>1241</v>
      </c>
      <c r="D607" s="96" t="s">
        <v>2676</v>
      </c>
      <c r="E607" s="96" t="s">
        <v>2677</v>
      </c>
      <c r="F607" s="96" t="s">
        <v>2678</v>
      </c>
      <c r="G607" s="88">
        <v>1362423890000</v>
      </c>
      <c r="H607" s="91">
        <v>1362.42389</v>
      </c>
      <c r="I607" s="100" t="s">
        <v>2405</v>
      </c>
    </row>
    <row r="608" spans="1:9">
      <c r="A608" s="95" t="s">
        <v>2406</v>
      </c>
      <c r="B608" s="96" t="s">
        <v>2404</v>
      </c>
      <c r="C608" s="96" t="s">
        <v>1241</v>
      </c>
      <c r="D608" s="96" t="s">
        <v>2679</v>
      </c>
      <c r="E608" s="96" t="s">
        <v>2680</v>
      </c>
      <c r="F608" s="96" t="s">
        <v>2681</v>
      </c>
      <c r="G608" s="88">
        <v>0</v>
      </c>
      <c r="H608" s="91">
        <v>0</v>
      </c>
      <c r="I608" s="100" t="s">
        <v>2405</v>
      </c>
    </row>
    <row r="609" spans="1:9">
      <c r="A609" s="95" t="s">
        <v>2406</v>
      </c>
      <c r="B609" s="96" t="s">
        <v>2404</v>
      </c>
      <c r="C609" s="96" t="s">
        <v>1241</v>
      </c>
      <c r="D609" s="96" t="s">
        <v>2682</v>
      </c>
      <c r="E609" s="96" t="s">
        <v>2683</v>
      </c>
      <c r="F609" s="96" t="s">
        <v>2684</v>
      </c>
      <c r="G609" s="88">
        <v>549386390157</v>
      </c>
      <c r="H609" s="91">
        <v>549.38639015700005</v>
      </c>
      <c r="I609" s="100" t="s">
        <v>2405</v>
      </c>
    </row>
    <row r="610" spans="1:9">
      <c r="A610" s="95" t="s">
        <v>2406</v>
      </c>
      <c r="B610" s="96" t="s">
        <v>2404</v>
      </c>
      <c r="C610" s="96" t="s">
        <v>1241</v>
      </c>
      <c r="D610" s="96" t="s">
        <v>2685</v>
      </c>
      <c r="E610" s="96" t="s">
        <v>2686</v>
      </c>
      <c r="F610" s="96" t="s">
        <v>2687</v>
      </c>
      <c r="G610" s="88">
        <v>167962769280</v>
      </c>
      <c r="H610" s="91">
        <v>167.96276928</v>
      </c>
      <c r="I610" s="100" t="s">
        <v>2405</v>
      </c>
    </row>
    <row r="611" spans="1:9">
      <c r="A611" s="95" t="s">
        <v>2406</v>
      </c>
      <c r="B611" s="96" t="s">
        <v>2404</v>
      </c>
      <c r="C611" s="96" t="s">
        <v>1241</v>
      </c>
      <c r="D611" s="96" t="s">
        <v>1810</v>
      </c>
      <c r="E611" s="96" t="s">
        <v>2688</v>
      </c>
      <c r="F611" s="96" t="s">
        <v>2689</v>
      </c>
      <c r="G611" s="88">
        <v>0</v>
      </c>
      <c r="H611" s="91">
        <v>0</v>
      </c>
      <c r="I611" s="100" t="s">
        <v>2405</v>
      </c>
    </row>
    <row r="612" spans="1:9">
      <c r="A612" s="95" t="s">
        <v>2406</v>
      </c>
      <c r="B612" s="96" t="s">
        <v>2404</v>
      </c>
      <c r="C612" s="96" t="s">
        <v>1241</v>
      </c>
      <c r="D612" s="96" t="s">
        <v>1834</v>
      </c>
      <c r="E612" s="96" t="s">
        <v>2690</v>
      </c>
      <c r="F612" s="96" t="s">
        <v>2691</v>
      </c>
      <c r="G612" s="88">
        <v>0</v>
      </c>
      <c r="H612" s="91">
        <v>0</v>
      </c>
      <c r="I612" s="100" t="s">
        <v>2405</v>
      </c>
    </row>
    <row r="613" spans="1:9">
      <c r="A613" s="95" t="s">
        <v>2406</v>
      </c>
      <c r="B613" s="96" t="s">
        <v>2404</v>
      </c>
      <c r="C613" s="96" t="s">
        <v>1241</v>
      </c>
      <c r="D613" s="96" t="s">
        <v>2390</v>
      </c>
      <c r="E613" s="96" t="s">
        <v>2391</v>
      </c>
      <c r="F613" s="96" t="s">
        <v>2692</v>
      </c>
      <c r="G613" s="88">
        <v>252824270438</v>
      </c>
      <c r="H613" s="91">
        <v>252.82427043800001</v>
      </c>
      <c r="I613" s="100" t="s">
        <v>2405</v>
      </c>
    </row>
    <row r="614" spans="1:9">
      <c r="A614" s="95" t="s">
        <v>2406</v>
      </c>
      <c r="B614" s="96" t="s">
        <v>2404</v>
      </c>
      <c r="C614" s="96" t="s">
        <v>1241</v>
      </c>
      <c r="D614" s="96" t="s">
        <v>2693</v>
      </c>
      <c r="E614" s="96" t="s">
        <v>2694</v>
      </c>
      <c r="F614" s="96" t="s">
        <v>2695</v>
      </c>
      <c r="G614" s="88">
        <v>0</v>
      </c>
      <c r="H614" s="91">
        <v>0</v>
      </c>
      <c r="I614" s="100" t="s">
        <v>2405</v>
      </c>
    </row>
    <row r="615" spans="1:9">
      <c r="A615" s="95" t="s">
        <v>2406</v>
      </c>
      <c r="B615" s="96" t="s">
        <v>1034</v>
      </c>
      <c r="C615" s="96" t="s">
        <v>1241</v>
      </c>
      <c r="D615" s="96" t="s">
        <v>68</v>
      </c>
      <c r="E615" s="96" t="s">
        <v>2411</v>
      </c>
      <c r="F615" s="96" t="s">
        <v>2412</v>
      </c>
      <c r="G615" s="88">
        <v>24121385971879</v>
      </c>
      <c r="H615" s="91">
        <v>24121.385971879001</v>
      </c>
      <c r="I615" s="100" t="s">
        <v>2405</v>
      </c>
    </row>
    <row r="616" spans="1:9">
      <c r="A616" s="95" t="s">
        <v>2406</v>
      </c>
      <c r="B616" s="96" t="s">
        <v>1034</v>
      </c>
      <c r="C616" s="96" t="s">
        <v>1241</v>
      </c>
      <c r="D616" s="96" t="s">
        <v>58</v>
      </c>
      <c r="E616" s="96" t="s">
        <v>2413</v>
      </c>
      <c r="F616" s="96" t="s">
        <v>2414</v>
      </c>
      <c r="G616" s="88">
        <v>644900672025</v>
      </c>
      <c r="H616" s="91">
        <v>644.90067202499995</v>
      </c>
      <c r="I616" s="100" t="s">
        <v>2405</v>
      </c>
    </row>
    <row r="617" spans="1:9">
      <c r="A617" s="95" t="s">
        <v>2406</v>
      </c>
      <c r="B617" s="96" t="s">
        <v>1034</v>
      </c>
      <c r="C617" s="96" t="s">
        <v>1241</v>
      </c>
      <c r="D617" s="96" t="s">
        <v>1699</v>
      </c>
      <c r="E617" s="96" t="s">
        <v>2415</v>
      </c>
      <c r="F617" s="96" t="s">
        <v>2416</v>
      </c>
      <c r="G617" s="88">
        <v>644900672025</v>
      </c>
      <c r="H617" s="91">
        <v>644.90067202499995</v>
      </c>
      <c r="I617" s="100" t="s">
        <v>2405</v>
      </c>
    </row>
    <row r="618" spans="1:9">
      <c r="A618" s="95" t="s">
        <v>2406</v>
      </c>
      <c r="B618" s="96" t="s">
        <v>1034</v>
      </c>
      <c r="C618" s="96" t="s">
        <v>1241</v>
      </c>
      <c r="D618" s="96" t="s">
        <v>1701</v>
      </c>
      <c r="E618" s="96" t="s">
        <v>2417</v>
      </c>
      <c r="F618" s="96" t="s">
        <v>2418</v>
      </c>
      <c r="G618" s="88">
        <v>0</v>
      </c>
      <c r="H618" s="91">
        <v>0</v>
      </c>
      <c r="I618" s="100" t="s">
        <v>2405</v>
      </c>
    </row>
    <row r="619" spans="1:9">
      <c r="A619" s="95" t="s">
        <v>2406</v>
      </c>
      <c r="B619" s="96" t="s">
        <v>1034</v>
      </c>
      <c r="C619" s="96" t="s">
        <v>1241</v>
      </c>
      <c r="D619" s="96" t="s">
        <v>2053</v>
      </c>
      <c r="E619" s="96" t="s">
        <v>2419</v>
      </c>
      <c r="F619" s="96" t="s">
        <v>2420</v>
      </c>
      <c r="G619" s="88">
        <v>8004261265743</v>
      </c>
      <c r="H619" s="91">
        <v>8004.261265743</v>
      </c>
      <c r="I619" s="100" t="s">
        <v>2405</v>
      </c>
    </row>
    <row r="620" spans="1:9">
      <c r="A620" s="95" t="s">
        <v>2406</v>
      </c>
      <c r="B620" s="96" t="s">
        <v>1034</v>
      </c>
      <c r="C620" s="96" t="s">
        <v>1241</v>
      </c>
      <c r="D620" s="96" t="s">
        <v>2053</v>
      </c>
      <c r="E620" s="96" t="s">
        <v>2419</v>
      </c>
      <c r="F620" s="96" t="s">
        <v>2420</v>
      </c>
      <c r="G620" s="88">
        <v>0</v>
      </c>
      <c r="H620" s="91">
        <v>0</v>
      </c>
      <c r="I620" s="100" t="s">
        <v>2405</v>
      </c>
    </row>
    <row r="621" spans="1:9">
      <c r="A621" s="95" t="s">
        <v>2406</v>
      </c>
      <c r="B621" s="96" t="s">
        <v>1034</v>
      </c>
      <c r="C621" s="96" t="s">
        <v>1241</v>
      </c>
      <c r="D621" s="96" t="s">
        <v>2421</v>
      </c>
      <c r="E621" s="96" t="s">
        <v>2422</v>
      </c>
      <c r="F621" s="96" t="s">
        <v>2423</v>
      </c>
      <c r="G621" s="88">
        <v>0</v>
      </c>
      <c r="H621" s="91">
        <v>0</v>
      </c>
      <c r="I621" s="100" t="s">
        <v>2405</v>
      </c>
    </row>
    <row r="622" spans="1:9">
      <c r="A622" s="95" t="s">
        <v>2406</v>
      </c>
      <c r="B622" s="96" t="s">
        <v>1034</v>
      </c>
      <c r="C622" s="96" t="s">
        <v>1241</v>
      </c>
      <c r="D622" s="96" t="s">
        <v>2424</v>
      </c>
      <c r="E622" s="96" t="s">
        <v>2425</v>
      </c>
      <c r="F622" s="96" t="s">
        <v>2426</v>
      </c>
      <c r="G622" s="88">
        <v>691244877608</v>
      </c>
      <c r="H622" s="91">
        <v>691.24487760800002</v>
      </c>
      <c r="I622" s="100" t="s">
        <v>2405</v>
      </c>
    </row>
    <row r="623" spans="1:9">
      <c r="A623" s="95" t="s">
        <v>2406</v>
      </c>
      <c r="B623" s="96" t="s">
        <v>1034</v>
      </c>
      <c r="C623" s="96" t="s">
        <v>1241</v>
      </c>
      <c r="D623" s="96" t="s">
        <v>2427</v>
      </c>
      <c r="E623" s="96" t="s">
        <v>2428</v>
      </c>
      <c r="F623" s="96" t="s">
        <v>2429</v>
      </c>
      <c r="G623" s="88">
        <v>235830832599</v>
      </c>
      <c r="H623" s="91">
        <v>235.83083259899999</v>
      </c>
      <c r="I623" s="100" t="s">
        <v>2405</v>
      </c>
    </row>
    <row r="624" spans="1:9">
      <c r="A624" s="95" t="s">
        <v>2406</v>
      </c>
      <c r="B624" s="96" t="s">
        <v>1034</v>
      </c>
      <c r="C624" s="96" t="s">
        <v>1241</v>
      </c>
      <c r="D624" s="96" t="s">
        <v>2430</v>
      </c>
      <c r="E624" s="96" t="s">
        <v>2431</v>
      </c>
      <c r="F624" s="96" t="s">
        <v>2432</v>
      </c>
      <c r="G624" s="88">
        <v>127465220271</v>
      </c>
      <c r="H624" s="91">
        <v>127.46522027100001</v>
      </c>
      <c r="I624" s="100" t="s">
        <v>2405</v>
      </c>
    </row>
    <row r="625" spans="1:9">
      <c r="A625" s="95" t="s">
        <v>2406</v>
      </c>
      <c r="B625" s="96" t="s">
        <v>1034</v>
      </c>
      <c r="C625" s="96" t="s">
        <v>1241</v>
      </c>
      <c r="D625" s="96" t="s">
        <v>2433</v>
      </c>
      <c r="E625" s="96" t="s">
        <v>2434</v>
      </c>
      <c r="F625" s="96" t="s">
        <v>2435</v>
      </c>
      <c r="G625" s="88">
        <v>0</v>
      </c>
      <c r="H625" s="91">
        <v>0</v>
      </c>
      <c r="I625" s="100" t="s">
        <v>2405</v>
      </c>
    </row>
    <row r="626" spans="1:9">
      <c r="A626" s="95" t="s">
        <v>2406</v>
      </c>
      <c r="B626" s="96" t="s">
        <v>1034</v>
      </c>
      <c r="C626" s="96" t="s">
        <v>1241</v>
      </c>
      <c r="D626" s="96" t="s">
        <v>2436</v>
      </c>
      <c r="E626" s="96" t="s">
        <v>2437</v>
      </c>
      <c r="F626" s="96" t="s">
        <v>2438</v>
      </c>
      <c r="G626" s="88">
        <v>0</v>
      </c>
      <c r="H626" s="91">
        <v>0</v>
      </c>
      <c r="I626" s="100" t="s">
        <v>2405</v>
      </c>
    </row>
    <row r="627" spans="1:9">
      <c r="A627" s="95" t="s">
        <v>2406</v>
      </c>
      <c r="B627" s="96" t="s">
        <v>1034</v>
      </c>
      <c r="C627" s="96" t="s">
        <v>1241</v>
      </c>
      <c r="D627" s="96" t="s">
        <v>2439</v>
      </c>
      <c r="E627" s="96" t="s">
        <v>2440</v>
      </c>
      <c r="F627" s="96" t="s">
        <v>2441</v>
      </c>
      <c r="G627" s="88">
        <v>337226607928</v>
      </c>
      <c r="H627" s="91">
        <v>337.22660792800002</v>
      </c>
      <c r="I627" s="100" t="s">
        <v>2405</v>
      </c>
    </row>
    <row r="628" spans="1:9">
      <c r="A628" s="95" t="s">
        <v>2406</v>
      </c>
      <c r="B628" s="96" t="s">
        <v>1034</v>
      </c>
      <c r="C628" s="96" t="s">
        <v>1241</v>
      </c>
      <c r="D628" s="96" t="s">
        <v>2442</v>
      </c>
      <c r="E628" s="96" t="s">
        <v>2443</v>
      </c>
      <c r="F628" s="96" t="s">
        <v>2444</v>
      </c>
      <c r="G628" s="88">
        <v>-9277783190</v>
      </c>
      <c r="H628" s="91">
        <v>-9.2777831899999992</v>
      </c>
      <c r="I628" s="100" t="s">
        <v>2405</v>
      </c>
    </row>
    <row r="629" spans="1:9">
      <c r="A629" s="95" t="s">
        <v>2406</v>
      </c>
      <c r="B629" s="96" t="s">
        <v>1034</v>
      </c>
      <c r="C629" s="96" t="s">
        <v>1241</v>
      </c>
      <c r="D629" s="96" t="s">
        <v>2445</v>
      </c>
      <c r="E629" s="96" t="s">
        <v>2446</v>
      </c>
      <c r="F629" s="96" t="s">
        <v>2447</v>
      </c>
      <c r="G629" s="88">
        <v>14447618583071</v>
      </c>
      <c r="H629" s="91">
        <v>14447.618583071</v>
      </c>
      <c r="I629" s="100" t="s">
        <v>2405</v>
      </c>
    </row>
    <row r="630" spans="1:9">
      <c r="A630" s="95" t="s">
        <v>2406</v>
      </c>
      <c r="B630" s="96" t="s">
        <v>1034</v>
      </c>
      <c r="C630" s="96" t="s">
        <v>1241</v>
      </c>
      <c r="D630" s="96" t="s">
        <v>64</v>
      </c>
      <c r="E630" s="96" t="s">
        <v>2448</v>
      </c>
      <c r="F630" s="96" t="s">
        <v>2449</v>
      </c>
      <c r="G630" s="88">
        <v>14549606154132</v>
      </c>
      <c r="H630" s="91">
        <v>14549.606154132</v>
      </c>
      <c r="I630" s="100" t="s">
        <v>2405</v>
      </c>
    </row>
    <row r="631" spans="1:9">
      <c r="A631" s="95" t="s">
        <v>2406</v>
      </c>
      <c r="B631" s="96" t="s">
        <v>1034</v>
      </c>
      <c r="C631" s="96" t="s">
        <v>1241</v>
      </c>
      <c r="D631" s="96" t="s">
        <v>2450</v>
      </c>
      <c r="E631" s="96" t="s">
        <v>2451</v>
      </c>
      <c r="F631" s="96" t="s">
        <v>2452</v>
      </c>
      <c r="G631" s="88">
        <v>-101987571061</v>
      </c>
      <c r="H631" s="91">
        <v>-101.987571061</v>
      </c>
      <c r="I631" s="100" t="s">
        <v>2405</v>
      </c>
    </row>
    <row r="632" spans="1:9">
      <c r="A632" s="95" t="s">
        <v>2406</v>
      </c>
      <c r="B632" s="96" t="s">
        <v>1034</v>
      </c>
      <c r="C632" s="96" t="s">
        <v>1241</v>
      </c>
      <c r="D632" s="96" t="s">
        <v>2059</v>
      </c>
      <c r="E632" s="96" t="s">
        <v>2453</v>
      </c>
      <c r="F632" s="96" t="s">
        <v>2454</v>
      </c>
      <c r="G632" s="88">
        <v>333360573432</v>
      </c>
      <c r="H632" s="91">
        <v>333.36057343200002</v>
      </c>
      <c r="I632" s="100" t="s">
        <v>2405</v>
      </c>
    </row>
    <row r="633" spans="1:9">
      <c r="A633" s="95" t="s">
        <v>2406</v>
      </c>
      <c r="B633" s="96" t="s">
        <v>1034</v>
      </c>
      <c r="C633" s="96" t="s">
        <v>1241</v>
      </c>
      <c r="D633" s="96" t="s">
        <v>2455</v>
      </c>
      <c r="E633" s="96" t="s">
        <v>2456</v>
      </c>
      <c r="F633" s="96" t="s">
        <v>2457</v>
      </c>
      <c r="G633" s="88">
        <v>229447534690</v>
      </c>
      <c r="H633" s="91">
        <v>229.44753469</v>
      </c>
      <c r="I633" s="100" t="s">
        <v>2405</v>
      </c>
    </row>
    <row r="634" spans="1:9">
      <c r="A634" s="95" t="s">
        <v>2406</v>
      </c>
      <c r="B634" s="96" t="s">
        <v>1034</v>
      </c>
      <c r="C634" s="96" t="s">
        <v>1241</v>
      </c>
      <c r="D634" s="96" t="s">
        <v>2458</v>
      </c>
      <c r="E634" s="96" t="s">
        <v>2459</v>
      </c>
      <c r="F634" s="96" t="s">
        <v>2460</v>
      </c>
      <c r="G634" s="88">
        <v>81691837898</v>
      </c>
      <c r="H634" s="91">
        <v>81.691837898000003</v>
      </c>
      <c r="I634" s="100" t="s">
        <v>2405</v>
      </c>
    </row>
    <row r="635" spans="1:9">
      <c r="A635" s="95" t="s">
        <v>2406</v>
      </c>
      <c r="B635" s="96" t="s">
        <v>1034</v>
      </c>
      <c r="C635" s="96" t="s">
        <v>1241</v>
      </c>
      <c r="D635" s="96" t="s">
        <v>2461</v>
      </c>
      <c r="E635" s="96" t="s">
        <v>2462</v>
      </c>
      <c r="F635" s="96" t="s">
        <v>2463</v>
      </c>
      <c r="G635" s="88">
        <v>22221200844</v>
      </c>
      <c r="H635" s="91">
        <v>22.221200843999998</v>
      </c>
      <c r="I635" s="100" t="s">
        <v>2405</v>
      </c>
    </row>
    <row r="636" spans="1:9">
      <c r="A636" s="95" t="s">
        <v>2406</v>
      </c>
      <c r="B636" s="96" t="s">
        <v>1034</v>
      </c>
      <c r="C636" s="96" t="s">
        <v>1241</v>
      </c>
      <c r="D636" s="96" t="s">
        <v>2059</v>
      </c>
      <c r="E636" s="96" t="s">
        <v>2453</v>
      </c>
      <c r="F636" s="96" t="s">
        <v>2454</v>
      </c>
      <c r="G636" s="88">
        <v>0</v>
      </c>
      <c r="H636" s="91">
        <v>0</v>
      </c>
      <c r="I636" s="100" t="s">
        <v>2405</v>
      </c>
    </row>
    <row r="637" spans="1:9">
      <c r="A637" s="95" t="s">
        <v>2406</v>
      </c>
      <c r="B637" s="96" t="s">
        <v>1034</v>
      </c>
      <c r="C637" s="96" t="s">
        <v>1241</v>
      </c>
      <c r="D637" s="96" t="s">
        <v>1753</v>
      </c>
      <c r="E637" s="96" t="s">
        <v>2464</v>
      </c>
      <c r="F637" s="96" t="s">
        <v>2465</v>
      </c>
      <c r="G637" s="88">
        <v>1905779719009</v>
      </c>
      <c r="H637" s="91">
        <v>1905.779719009</v>
      </c>
      <c r="I637" s="100" t="s">
        <v>2405</v>
      </c>
    </row>
    <row r="638" spans="1:9">
      <c r="A638" s="95" t="s">
        <v>2406</v>
      </c>
      <c r="B638" s="96" t="s">
        <v>1034</v>
      </c>
      <c r="C638" s="96" t="s">
        <v>1241</v>
      </c>
      <c r="D638" s="96" t="s">
        <v>1757</v>
      </c>
      <c r="E638" s="96" t="s">
        <v>2466</v>
      </c>
      <c r="F638" s="96" t="s">
        <v>2467</v>
      </c>
      <c r="G638" s="88">
        <v>198794388004</v>
      </c>
      <c r="H638" s="91">
        <v>198.79438800400001</v>
      </c>
      <c r="I638" s="100" t="s">
        <v>2405</v>
      </c>
    </row>
    <row r="639" spans="1:9">
      <c r="A639" s="95" t="s">
        <v>2406</v>
      </c>
      <c r="B639" s="96" t="s">
        <v>1034</v>
      </c>
      <c r="C639" s="96" t="s">
        <v>1241</v>
      </c>
      <c r="D639" s="96" t="s">
        <v>2468</v>
      </c>
      <c r="E639" s="96" t="s">
        <v>2469</v>
      </c>
      <c r="F639" s="96" t="s">
        <v>2470</v>
      </c>
      <c r="G639" s="88">
        <v>0</v>
      </c>
      <c r="H639" s="91">
        <v>0</v>
      </c>
      <c r="I639" s="100" t="s">
        <v>2405</v>
      </c>
    </row>
    <row r="640" spans="1:9">
      <c r="A640" s="95" t="s">
        <v>2406</v>
      </c>
      <c r="B640" s="96" t="s">
        <v>1034</v>
      </c>
      <c r="C640" s="96" t="s">
        <v>1241</v>
      </c>
      <c r="D640" s="96" t="s">
        <v>2471</v>
      </c>
      <c r="E640" s="96" t="s">
        <v>2472</v>
      </c>
      <c r="F640" s="96" t="s">
        <v>2473</v>
      </c>
      <c r="G640" s="88">
        <v>0</v>
      </c>
      <c r="H640" s="91">
        <v>0</v>
      </c>
      <c r="I640" s="100" t="s">
        <v>2405</v>
      </c>
    </row>
    <row r="641" spans="1:9">
      <c r="A641" s="95" t="s">
        <v>2406</v>
      </c>
      <c r="B641" s="96" t="s">
        <v>1034</v>
      </c>
      <c r="C641" s="96" t="s">
        <v>1241</v>
      </c>
      <c r="D641" s="96" t="s">
        <v>1767</v>
      </c>
      <c r="E641" s="96" t="s">
        <v>2474</v>
      </c>
      <c r="F641" s="96" t="s">
        <v>2475</v>
      </c>
      <c r="G641" s="88">
        <v>198794388004</v>
      </c>
      <c r="H641" s="91">
        <v>198.79438800400001</v>
      </c>
      <c r="I641" s="100" t="s">
        <v>2405</v>
      </c>
    </row>
    <row r="642" spans="1:9">
      <c r="A642" s="95" t="s">
        <v>2406</v>
      </c>
      <c r="B642" s="96" t="s">
        <v>1034</v>
      </c>
      <c r="C642" s="96" t="s">
        <v>1241</v>
      </c>
      <c r="D642" s="96" t="s">
        <v>2476</v>
      </c>
      <c r="E642" s="96" t="s">
        <v>2477</v>
      </c>
      <c r="F642" s="96" t="s">
        <v>2478</v>
      </c>
      <c r="G642" s="88">
        <v>0</v>
      </c>
      <c r="H642" s="91">
        <v>0</v>
      </c>
      <c r="I642" s="100" t="s">
        <v>2405</v>
      </c>
    </row>
    <row r="643" spans="1:9">
      <c r="A643" s="95" t="s">
        <v>2406</v>
      </c>
      <c r="B643" s="96" t="s">
        <v>1034</v>
      </c>
      <c r="C643" s="96" t="s">
        <v>1241</v>
      </c>
      <c r="D643" s="96" t="s">
        <v>70</v>
      </c>
      <c r="E643" s="96" t="s">
        <v>2061</v>
      </c>
      <c r="F643" s="96" t="s">
        <v>2479</v>
      </c>
      <c r="G643" s="88">
        <v>1553698186764</v>
      </c>
      <c r="H643" s="91">
        <v>1553.698186764</v>
      </c>
      <c r="I643" s="100" t="s">
        <v>2405</v>
      </c>
    </row>
    <row r="644" spans="1:9">
      <c r="A644" s="95" t="s">
        <v>2406</v>
      </c>
      <c r="B644" s="96" t="s">
        <v>1034</v>
      </c>
      <c r="C644" s="96" t="s">
        <v>1241</v>
      </c>
      <c r="D644" s="96" t="s">
        <v>1771</v>
      </c>
      <c r="E644" s="96" t="s">
        <v>2480</v>
      </c>
      <c r="F644" s="96" t="s">
        <v>2481</v>
      </c>
      <c r="G644" s="88">
        <v>1169878567133</v>
      </c>
      <c r="H644" s="91">
        <v>1169.8785671329999</v>
      </c>
      <c r="I644" s="100" t="s">
        <v>2405</v>
      </c>
    </row>
    <row r="645" spans="1:9">
      <c r="A645" s="95" t="s">
        <v>2406</v>
      </c>
      <c r="B645" s="96" t="s">
        <v>1034</v>
      </c>
      <c r="C645" s="96" t="s">
        <v>1241</v>
      </c>
      <c r="D645" s="96" t="s">
        <v>1773</v>
      </c>
      <c r="E645" s="96" t="s">
        <v>2482</v>
      </c>
      <c r="F645" s="96" t="s">
        <v>2483</v>
      </c>
      <c r="G645" s="88">
        <v>2347948846104</v>
      </c>
      <c r="H645" s="91">
        <v>2347.948846104</v>
      </c>
      <c r="I645" s="100" t="s">
        <v>2405</v>
      </c>
    </row>
    <row r="646" spans="1:9">
      <c r="A646" s="95" t="s">
        <v>2406</v>
      </c>
      <c r="B646" s="96" t="s">
        <v>1034</v>
      </c>
      <c r="C646" s="96" t="s">
        <v>1241</v>
      </c>
      <c r="D646" s="96" t="s">
        <v>1775</v>
      </c>
      <c r="E646" s="96" t="s">
        <v>2484</v>
      </c>
      <c r="F646" s="96" t="s">
        <v>2485</v>
      </c>
      <c r="G646" s="88">
        <v>-1178070278971</v>
      </c>
      <c r="H646" s="91">
        <v>-1178.0702789710001</v>
      </c>
      <c r="I646" s="100" t="s">
        <v>2405</v>
      </c>
    </row>
    <row r="647" spans="1:9">
      <c r="A647" s="95" t="s">
        <v>2406</v>
      </c>
      <c r="B647" s="96" t="s">
        <v>1034</v>
      </c>
      <c r="C647" s="96" t="s">
        <v>1241</v>
      </c>
      <c r="D647" s="96" t="s">
        <v>2486</v>
      </c>
      <c r="E647" s="96" t="s">
        <v>2487</v>
      </c>
      <c r="F647" s="96" t="s">
        <v>2488</v>
      </c>
      <c r="G647" s="88">
        <v>0</v>
      </c>
      <c r="H647" s="91">
        <v>0</v>
      </c>
      <c r="I647" s="100" t="s">
        <v>2405</v>
      </c>
    </row>
    <row r="648" spans="1:9">
      <c r="A648" s="95" t="s">
        <v>2406</v>
      </c>
      <c r="B648" s="96" t="s">
        <v>1034</v>
      </c>
      <c r="C648" s="96" t="s">
        <v>1241</v>
      </c>
      <c r="D648" s="96" t="s">
        <v>1773</v>
      </c>
      <c r="E648" s="96" t="s">
        <v>2482</v>
      </c>
      <c r="F648" s="96" t="s">
        <v>2489</v>
      </c>
      <c r="G648" s="88">
        <v>0</v>
      </c>
      <c r="H648" s="91">
        <v>0</v>
      </c>
      <c r="I648" s="100" t="s">
        <v>2405</v>
      </c>
    </row>
    <row r="649" spans="1:9">
      <c r="A649" s="95" t="s">
        <v>2406</v>
      </c>
      <c r="B649" s="96" t="s">
        <v>1034</v>
      </c>
      <c r="C649" s="96" t="s">
        <v>1241</v>
      </c>
      <c r="D649" s="96" t="s">
        <v>1775</v>
      </c>
      <c r="E649" s="96" t="s">
        <v>2484</v>
      </c>
      <c r="F649" s="96" t="s">
        <v>2490</v>
      </c>
      <c r="G649" s="88">
        <v>0</v>
      </c>
      <c r="H649" s="91">
        <v>0</v>
      </c>
      <c r="I649" s="100" t="s">
        <v>2405</v>
      </c>
    </row>
    <row r="650" spans="1:9">
      <c r="A650" s="95" t="s">
        <v>2406</v>
      </c>
      <c r="B650" s="96" t="s">
        <v>1034</v>
      </c>
      <c r="C650" s="96" t="s">
        <v>1241</v>
      </c>
      <c r="D650" s="96" t="s">
        <v>1781</v>
      </c>
      <c r="E650" s="96" t="s">
        <v>2491</v>
      </c>
      <c r="F650" s="96" t="s">
        <v>2492</v>
      </c>
      <c r="G650" s="88">
        <v>383819619631</v>
      </c>
      <c r="H650" s="91">
        <v>383.81961963100002</v>
      </c>
      <c r="I650" s="100" t="s">
        <v>2405</v>
      </c>
    </row>
    <row r="651" spans="1:9">
      <c r="A651" s="95" t="s">
        <v>2406</v>
      </c>
      <c r="B651" s="96" t="s">
        <v>1034</v>
      </c>
      <c r="C651" s="96" t="s">
        <v>1241</v>
      </c>
      <c r="D651" s="96" t="s">
        <v>1773</v>
      </c>
      <c r="E651" s="96" t="s">
        <v>2482</v>
      </c>
      <c r="F651" s="96" t="s">
        <v>2493</v>
      </c>
      <c r="G651" s="88">
        <v>521210263687</v>
      </c>
      <c r="H651" s="91">
        <v>521.21026368699995</v>
      </c>
      <c r="I651" s="100" t="s">
        <v>2405</v>
      </c>
    </row>
    <row r="652" spans="1:9">
      <c r="A652" s="95" t="s">
        <v>2406</v>
      </c>
      <c r="B652" s="96" t="s">
        <v>1034</v>
      </c>
      <c r="C652" s="96" t="s">
        <v>1241</v>
      </c>
      <c r="D652" s="96" t="s">
        <v>1775</v>
      </c>
      <c r="E652" s="96" t="s">
        <v>2484</v>
      </c>
      <c r="F652" s="96" t="s">
        <v>2494</v>
      </c>
      <c r="G652" s="88">
        <v>-137390644056</v>
      </c>
      <c r="H652" s="91">
        <v>-137.39064405600001</v>
      </c>
      <c r="I652" s="100" t="s">
        <v>2405</v>
      </c>
    </row>
    <row r="653" spans="1:9">
      <c r="A653" s="95" t="s">
        <v>2406</v>
      </c>
      <c r="B653" s="96" t="s">
        <v>1034</v>
      </c>
      <c r="C653" s="96" t="s">
        <v>1241</v>
      </c>
      <c r="D653" s="96" t="s">
        <v>2495</v>
      </c>
      <c r="E653" s="96" t="s">
        <v>2496</v>
      </c>
      <c r="F653" s="96" t="s">
        <v>2497</v>
      </c>
      <c r="G653" s="88">
        <v>0</v>
      </c>
      <c r="H653" s="91">
        <v>0</v>
      </c>
      <c r="I653" s="100" t="s">
        <v>2405</v>
      </c>
    </row>
    <row r="654" spans="1:9">
      <c r="A654" s="95" t="s">
        <v>2406</v>
      </c>
      <c r="B654" s="96" t="s">
        <v>1034</v>
      </c>
      <c r="C654" s="96" t="s">
        <v>1241</v>
      </c>
      <c r="D654" s="96" t="s">
        <v>1802</v>
      </c>
      <c r="E654" s="96" t="s">
        <v>2498</v>
      </c>
      <c r="F654" s="96" t="s">
        <v>2499</v>
      </c>
      <c r="G654" s="88">
        <v>0</v>
      </c>
      <c r="H654" s="91">
        <v>0</v>
      </c>
      <c r="I654" s="100" t="s">
        <v>2405</v>
      </c>
    </row>
    <row r="655" spans="1:9">
      <c r="A655" s="95" t="s">
        <v>2406</v>
      </c>
      <c r="B655" s="96" t="s">
        <v>1034</v>
      </c>
      <c r="C655" s="96" t="s">
        <v>1241</v>
      </c>
      <c r="D655" s="96" t="s">
        <v>1773</v>
      </c>
      <c r="E655" s="96" t="s">
        <v>2482</v>
      </c>
      <c r="F655" s="96" t="s">
        <v>2500</v>
      </c>
      <c r="G655" s="88">
        <v>0</v>
      </c>
      <c r="H655" s="91">
        <v>0</v>
      </c>
      <c r="I655" s="100" t="s">
        <v>2405</v>
      </c>
    </row>
    <row r="656" spans="1:9">
      <c r="A656" s="95" t="s">
        <v>2406</v>
      </c>
      <c r="B656" s="96" t="s">
        <v>1034</v>
      </c>
      <c r="C656" s="96" t="s">
        <v>1241</v>
      </c>
      <c r="D656" s="96" t="s">
        <v>1775</v>
      </c>
      <c r="E656" s="96" t="s">
        <v>2484</v>
      </c>
      <c r="F656" s="96" t="s">
        <v>2501</v>
      </c>
      <c r="G656" s="88">
        <v>0</v>
      </c>
      <c r="H656" s="91">
        <v>0</v>
      </c>
      <c r="I656" s="100" t="s">
        <v>2405</v>
      </c>
    </row>
    <row r="657" spans="1:9">
      <c r="A657" s="95" t="s">
        <v>2406</v>
      </c>
      <c r="B657" s="96" t="s">
        <v>1034</v>
      </c>
      <c r="C657" s="96" t="s">
        <v>1241</v>
      </c>
      <c r="D657" s="96" t="s">
        <v>2063</v>
      </c>
      <c r="E657" s="96" t="s">
        <v>2502</v>
      </c>
      <c r="F657" s="96" t="s">
        <v>2503</v>
      </c>
      <c r="G657" s="88">
        <v>0</v>
      </c>
      <c r="H657" s="91">
        <v>0</v>
      </c>
      <c r="I657" s="100" t="s">
        <v>2405</v>
      </c>
    </row>
    <row r="658" spans="1:9">
      <c r="A658" s="95" t="s">
        <v>2406</v>
      </c>
      <c r="B658" s="96" t="s">
        <v>1034</v>
      </c>
      <c r="C658" s="96" t="s">
        <v>1241</v>
      </c>
      <c r="D658" s="96" t="s">
        <v>1812</v>
      </c>
      <c r="E658" s="96" t="s">
        <v>2504</v>
      </c>
      <c r="F658" s="96" t="s">
        <v>2505</v>
      </c>
      <c r="G658" s="88">
        <v>0</v>
      </c>
      <c r="H658" s="91">
        <v>0</v>
      </c>
      <c r="I658" s="100" t="s">
        <v>2405</v>
      </c>
    </row>
    <row r="659" spans="1:9">
      <c r="A659" s="95" t="s">
        <v>2406</v>
      </c>
      <c r="B659" s="96" t="s">
        <v>1034</v>
      </c>
      <c r="C659" s="96" t="s">
        <v>1241</v>
      </c>
      <c r="D659" s="96" t="s">
        <v>2506</v>
      </c>
      <c r="E659" s="96" t="s">
        <v>2507</v>
      </c>
      <c r="F659" s="96" t="s">
        <v>2508</v>
      </c>
      <c r="G659" s="88">
        <v>0</v>
      </c>
      <c r="H659" s="91">
        <v>0</v>
      </c>
      <c r="I659" s="100" t="s">
        <v>2405</v>
      </c>
    </row>
    <row r="660" spans="1:9">
      <c r="A660" s="95" t="s">
        <v>2406</v>
      </c>
      <c r="B660" s="96" t="s">
        <v>1034</v>
      </c>
      <c r="C660" s="96" t="s">
        <v>1241</v>
      </c>
      <c r="D660" s="96" t="s">
        <v>1824</v>
      </c>
      <c r="E660" s="96" t="s">
        <v>2509</v>
      </c>
      <c r="F660" s="96" t="s">
        <v>2510</v>
      </c>
      <c r="G660" s="88">
        <v>0</v>
      </c>
      <c r="H660" s="91">
        <v>0</v>
      </c>
      <c r="I660" s="100" t="s">
        <v>2405</v>
      </c>
    </row>
    <row r="661" spans="1:9">
      <c r="A661" s="95" t="s">
        <v>2406</v>
      </c>
      <c r="B661" s="96" t="s">
        <v>1034</v>
      </c>
      <c r="C661" s="96" t="s">
        <v>1241</v>
      </c>
      <c r="D661" s="96" t="s">
        <v>2511</v>
      </c>
      <c r="E661" s="96" t="s">
        <v>2512</v>
      </c>
      <c r="F661" s="96" t="s">
        <v>2513</v>
      </c>
      <c r="G661" s="88">
        <v>0</v>
      </c>
      <c r="H661" s="91">
        <v>0</v>
      </c>
      <c r="I661" s="100" t="s">
        <v>2405</v>
      </c>
    </row>
    <row r="662" spans="1:9">
      <c r="A662" s="95" t="s">
        <v>2406</v>
      </c>
      <c r="B662" s="96" t="s">
        <v>1034</v>
      </c>
      <c r="C662" s="96" t="s">
        <v>1241</v>
      </c>
      <c r="D662" s="96" t="s">
        <v>1836</v>
      </c>
      <c r="E662" s="96" t="s">
        <v>2514</v>
      </c>
      <c r="F662" s="96" t="s">
        <v>2515</v>
      </c>
      <c r="G662" s="88">
        <v>0</v>
      </c>
      <c r="H662" s="91">
        <v>0</v>
      </c>
      <c r="I662" s="100" t="s">
        <v>2405</v>
      </c>
    </row>
    <row r="663" spans="1:9">
      <c r="A663" s="95" t="s">
        <v>2406</v>
      </c>
      <c r="B663" s="96" t="s">
        <v>1034</v>
      </c>
      <c r="C663" s="96" t="s">
        <v>1241</v>
      </c>
      <c r="D663" s="96" t="s">
        <v>74</v>
      </c>
      <c r="E663" s="96" t="s">
        <v>2064</v>
      </c>
      <c r="F663" s="96" t="s">
        <v>2516</v>
      </c>
      <c r="G663" s="88">
        <v>151875190241</v>
      </c>
      <c r="H663" s="91">
        <v>151.87519024100001</v>
      </c>
      <c r="I663" s="100" t="s">
        <v>2405</v>
      </c>
    </row>
    <row r="664" spans="1:9">
      <c r="A664" s="95" t="s">
        <v>2406</v>
      </c>
      <c r="B664" s="96" t="s">
        <v>1034</v>
      </c>
      <c r="C664" s="96" t="s">
        <v>1241</v>
      </c>
      <c r="D664" s="96" t="s">
        <v>2517</v>
      </c>
      <c r="E664" s="96" t="s">
        <v>2518</v>
      </c>
      <c r="F664" s="96" t="s">
        <v>2519</v>
      </c>
      <c r="G664" s="88">
        <v>151875190241</v>
      </c>
      <c r="H664" s="91">
        <v>151.87519024100001</v>
      </c>
      <c r="I664" s="100" t="s">
        <v>2405</v>
      </c>
    </row>
    <row r="665" spans="1:9">
      <c r="A665" s="95" t="s">
        <v>2406</v>
      </c>
      <c r="B665" s="96" t="s">
        <v>1034</v>
      </c>
      <c r="C665" s="96" t="s">
        <v>1241</v>
      </c>
      <c r="D665" s="96" t="s">
        <v>1828</v>
      </c>
      <c r="E665" s="96" t="s">
        <v>2520</v>
      </c>
      <c r="F665" s="96" t="s">
        <v>2521</v>
      </c>
      <c r="G665" s="88">
        <v>0</v>
      </c>
      <c r="H665" s="91">
        <v>0</v>
      </c>
      <c r="I665" s="100" t="s">
        <v>2405</v>
      </c>
    </row>
    <row r="666" spans="1:9">
      <c r="A666" s="95" t="s">
        <v>2406</v>
      </c>
      <c r="B666" s="96" t="s">
        <v>1034</v>
      </c>
      <c r="C666" s="96" t="s">
        <v>1241</v>
      </c>
      <c r="D666" s="96" t="s">
        <v>74</v>
      </c>
      <c r="E666" s="96" t="s">
        <v>2064</v>
      </c>
      <c r="F666" s="96" t="s">
        <v>2522</v>
      </c>
      <c r="G666" s="88">
        <v>0</v>
      </c>
      <c r="H666" s="91">
        <v>0</v>
      </c>
      <c r="I666" s="100" t="s">
        <v>2405</v>
      </c>
    </row>
    <row r="667" spans="1:9">
      <c r="A667" s="95" t="s">
        <v>2406</v>
      </c>
      <c r="B667" s="96" t="s">
        <v>1034</v>
      </c>
      <c r="C667" s="96" t="s">
        <v>1241</v>
      </c>
      <c r="D667" s="96" t="s">
        <v>76</v>
      </c>
      <c r="E667" s="96" t="s">
        <v>75</v>
      </c>
      <c r="F667" s="96" t="s">
        <v>1643</v>
      </c>
      <c r="G667" s="88">
        <v>26027165690888</v>
      </c>
      <c r="H667" s="91">
        <v>26027.165690888</v>
      </c>
      <c r="I667" s="100" t="s">
        <v>2405</v>
      </c>
    </row>
    <row r="668" spans="1:9">
      <c r="A668" s="95" t="s">
        <v>2406</v>
      </c>
      <c r="B668" s="96" t="s">
        <v>1034</v>
      </c>
      <c r="C668" s="96" t="s">
        <v>1241</v>
      </c>
      <c r="D668" s="96" t="s">
        <v>2523</v>
      </c>
      <c r="E668" s="96" t="s">
        <v>487</v>
      </c>
      <c r="F668" s="96" t="s">
        <v>2524</v>
      </c>
      <c r="G668" s="88">
        <v>20513292504198</v>
      </c>
      <c r="H668" s="91">
        <v>20513.292504198002</v>
      </c>
      <c r="I668" s="100" t="s">
        <v>2405</v>
      </c>
    </row>
    <row r="669" spans="1:9">
      <c r="A669" s="95" t="s">
        <v>2406</v>
      </c>
      <c r="B669" s="96" t="s">
        <v>1034</v>
      </c>
      <c r="C669" s="96" t="s">
        <v>1241</v>
      </c>
      <c r="D669" s="96" t="s">
        <v>82</v>
      </c>
      <c r="E669" s="96" t="s">
        <v>2070</v>
      </c>
      <c r="F669" s="96" t="s">
        <v>2525</v>
      </c>
      <c r="G669" s="88">
        <v>20512601322354</v>
      </c>
      <c r="H669" s="91">
        <v>20512.601322353999</v>
      </c>
      <c r="I669" s="100" t="s">
        <v>2405</v>
      </c>
    </row>
    <row r="670" spans="1:9">
      <c r="A670" s="95" t="s">
        <v>2406</v>
      </c>
      <c r="B670" s="96" t="s">
        <v>1034</v>
      </c>
      <c r="C670" s="96" t="s">
        <v>1241</v>
      </c>
      <c r="D670" s="96" t="s">
        <v>2526</v>
      </c>
      <c r="E670" s="96" t="s">
        <v>2527</v>
      </c>
      <c r="F670" s="96" t="s">
        <v>2528</v>
      </c>
      <c r="G670" s="88">
        <v>12381417771551</v>
      </c>
      <c r="H670" s="91">
        <v>12381.417771551</v>
      </c>
      <c r="I670" s="100" t="s">
        <v>2405</v>
      </c>
    </row>
    <row r="671" spans="1:9">
      <c r="A671" s="95" t="s">
        <v>2406</v>
      </c>
      <c r="B671" s="96" t="s">
        <v>1034</v>
      </c>
      <c r="C671" s="96" t="s">
        <v>1241</v>
      </c>
      <c r="D671" s="96" t="s">
        <v>2529</v>
      </c>
      <c r="E671" s="96" t="s">
        <v>2530</v>
      </c>
      <c r="F671" s="96" t="s">
        <v>2531</v>
      </c>
      <c r="G671" s="88">
        <v>5950438859700</v>
      </c>
      <c r="H671" s="91">
        <v>5950.4388596999997</v>
      </c>
      <c r="I671" s="100" t="s">
        <v>2405</v>
      </c>
    </row>
    <row r="672" spans="1:9">
      <c r="A672" s="95" t="s">
        <v>2406</v>
      </c>
      <c r="B672" s="96" t="s">
        <v>1034</v>
      </c>
      <c r="C672" s="96" t="s">
        <v>1241</v>
      </c>
      <c r="D672" s="96" t="s">
        <v>2532</v>
      </c>
      <c r="E672" s="96" t="s">
        <v>2533</v>
      </c>
      <c r="F672" s="96" t="s">
        <v>2534</v>
      </c>
      <c r="G672" s="88">
        <v>55739123040</v>
      </c>
      <c r="H672" s="91">
        <v>55.739123040000003</v>
      </c>
      <c r="I672" s="100" t="s">
        <v>2405</v>
      </c>
    </row>
    <row r="673" spans="1:9">
      <c r="A673" s="95" t="s">
        <v>2406</v>
      </c>
      <c r="B673" s="96" t="s">
        <v>1034</v>
      </c>
      <c r="C673" s="96" t="s">
        <v>1241</v>
      </c>
      <c r="D673" s="96" t="s">
        <v>2535</v>
      </c>
      <c r="E673" s="96" t="s">
        <v>2536</v>
      </c>
      <c r="F673" s="96" t="s">
        <v>2537</v>
      </c>
      <c r="G673" s="88">
        <v>101791294866</v>
      </c>
      <c r="H673" s="91">
        <v>101.791294866</v>
      </c>
      <c r="I673" s="100" t="s">
        <v>2405</v>
      </c>
    </row>
    <row r="674" spans="1:9">
      <c r="A674" s="95" t="s">
        <v>2406</v>
      </c>
      <c r="B674" s="96" t="s">
        <v>1034</v>
      </c>
      <c r="C674" s="96" t="s">
        <v>1241</v>
      </c>
      <c r="D674" s="96" t="s">
        <v>1846</v>
      </c>
      <c r="E674" s="96" t="s">
        <v>2538</v>
      </c>
      <c r="F674" s="96" t="s">
        <v>2539</v>
      </c>
      <c r="G674" s="88">
        <v>964201158078</v>
      </c>
      <c r="H674" s="91">
        <v>964.20115807800005</v>
      </c>
      <c r="I674" s="100" t="s">
        <v>2405</v>
      </c>
    </row>
    <row r="675" spans="1:9">
      <c r="A675" s="95" t="s">
        <v>2406</v>
      </c>
      <c r="B675" s="96" t="s">
        <v>1034</v>
      </c>
      <c r="C675" s="96" t="s">
        <v>1241</v>
      </c>
      <c r="D675" s="96" t="s">
        <v>2540</v>
      </c>
      <c r="E675" s="96" t="s">
        <v>2541</v>
      </c>
      <c r="F675" s="96" t="s">
        <v>2542</v>
      </c>
      <c r="G675" s="88">
        <v>398978870697</v>
      </c>
      <c r="H675" s="91">
        <v>398.97887069699999</v>
      </c>
      <c r="I675" s="100" t="s">
        <v>2405</v>
      </c>
    </row>
    <row r="676" spans="1:9">
      <c r="A676" s="95" t="s">
        <v>2406</v>
      </c>
      <c r="B676" s="96" t="s">
        <v>1034</v>
      </c>
      <c r="C676" s="96" t="s">
        <v>1241</v>
      </c>
      <c r="D676" s="96" t="s">
        <v>2543</v>
      </c>
      <c r="E676" s="96" t="s">
        <v>2544</v>
      </c>
      <c r="F676" s="96" t="s">
        <v>2545</v>
      </c>
      <c r="G676" s="88">
        <v>0</v>
      </c>
      <c r="H676" s="91">
        <v>0</v>
      </c>
      <c r="I676" s="100" t="s">
        <v>2405</v>
      </c>
    </row>
    <row r="677" spans="1:9">
      <c r="A677" s="95" t="s">
        <v>2406</v>
      </c>
      <c r="B677" s="96" t="s">
        <v>1034</v>
      </c>
      <c r="C677" s="96" t="s">
        <v>1241</v>
      </c>
      <c r="D677" s="96" t="s">
        <v>2546</v>
      </c>
      <c r="E677" s="96" t="s">
        <v>2547</v>
      </c>
      <c r="F677" s="96" t="s">
        <v>2548</v>
      </c>
      <c r="G677" s="88">
        <v>0</v>
      </c>
      <c r="H677" s="91">
        <v>0</v>
      </c>
      <c r="I677" s="100" t="s">
        <v>2405</v>
      </c>
    </row>
    <row r="678" spans="1:9">
      <c r="A678" s="95" t="s">
        <v>2406</v>
      </c>
      <c r="B678" s="96" t="s">
        <v>1034</v>
      </c>
      <c r="C678" s="96" t="s">
        <v>1241</v>
      </c>
      <c r="D678" s="96" t="s">
        <v>2549</v>
      </c>
      <c r="E678" s="96" t="s">
        <v>2550</v>
      </c>
      <c r="F678" s="96" t="s">
        <v>2551</v>
      </c>
      <c r="G678" s="88">
        <v>93587802787</v>
      </c>
      <c r="H678" s="91">
        <v>93.587802787000001</v>
      </c>
      <c r="I678" s="100" t="s">
        <v>2405</v>
      </c>
    </row>
    <row r="679" spans="1:9">
      <c r="A679" s="95" t="s">
        <v>2406</v>
      </c>
      <c r="B679" s="96" t="s">
        <v>1034</v>
      </c>
      <c r="C679" s="96" t="s">
        <v>1241</v>
      </c>
      <c r="D679" s="96" t="s">
        <v>2552</v>
      </c>
      <c r="E679" s="96" t="s">
        <v>2553</v>
      </c>
      <c r="F679" s="96" t="s">
        <v>2554</v>
      </c>
      <c r="G679" s="88">
        <v>5908658518</v>
      </c>
      <c r="H679" s="91">
        <v>5.9086585180000002</v>
      </c>
      <c r="I679" s="100" t="s">
        <v>2405</v>
      </c>
    </row>
    <row r="680" spans="1:9">
      <c r="A680" s="95" t="s">
        <v>2406</v>
      </c>
      <c r="B680" s="96" t="s">
        <v>1034</v>
      </c>
      <c r="C680" s="96" t="s">
        <v>1241</v>
      </c>
      <c r="D680" s="96" t="s">
        <v>2555</v>
      </c>
      <c r="E680" s="96" t="s">
        <v>2556</v>
      </c>
      <c r="F680" s="96" t="s">
        <v>2557</v>
      </c>
      <c r="G680" s="88">
        <v>8178120854</v>
      </c>
      <c r="H680" s="91">
        <v>8.1781208539999994</v>
      </c>
      <c r="I680" s="100" t="s">
        <v>2405</v>
      </c>
    </row>
    <row r="681" spans="1:9">
      <c r="A681" s="95" t="s">
        <v>2406</v>
      </c>
      <c r="B681" s="96" t="s">
        <v>1034</v>
      </c>
      <c r="C681" s="96" t="s">
        <v>1241</v>
      </c>
      <c r="D681" s="96" t="s">
        <v>86</v>
      </c>
      <c r="E681" s="96" t="s">
        <v>2073</v>
      </c>
      <c r="F681" s="96" t="s">
        <v>2558</v>
      </c>
      <c r="G681" s="88">
        <v>691181844</v>
      </c>
      <c r="H681" s="91">
        <v>0.69118184400000005</v>
      </c>
      <c r="I681" s="100" t="s">
        <v>2405</v>
      </c>
    </row>
    <row r="682" spans="1:9">
      <c r="A682" s="95" t="s">
        <v>2406</v>
      </c>
      <c r="B682" s="96" t="s">
        <v>1034</v>
      </c>
      <c r="C682" s="96" t="s">
        <v>1241</v>
      </c>
      <c r="D682" s="96" t="s">
        <v>1866</v>
      </c>
      <c r="E682" s="96" t="s">
        <v>2559</v>
      </c>
      <c r="F682" s="96" t="s">
        <v>2560</v>
      </c>
      <c r="G682" s="88">
        <v>0</v>
      </c>
      <c r="H682" s="91">
        <v>0</v>
      </c>
      <c r="I682" s="100" t="s">
        <v>2405</v>
      </c>
    </row>
    <row r="683" spans="1:9">
      <c r="A683" s="95" t="s">
        <v>2406</v>
      </c>
      <c r="B683" s="96" t="s">
        <v>1034</v>
      </c>
      <c r="C683" s="96" t="s">
        <v>1241</v>
      </c>
      <c r="D683" s="96" t="s">
        <v>2561</v>
      </c>
      <c r="E683" s="96" t="s">
        <v>2562</v>
      </c>
      <c r="F683" s="96" t="s">
        <v>2563</v>
      </c>
      <c r="G683" s="88">
        <v>0</v>
      </c>
      <c r="H683" s="91">
        <v>0</v>
      </c>
      <c r="I683" s="100" t="s">
        <v>2405</v>
      </c>
    </row>
    <row r="684" spans="1:9">
      <c r="A684" s="95" t="s">
        <v>2406</v>
      </c>
      <c r="B684" s="96" t="s">
        <v>1034</v>
      </c>
      <c r="C684" s="96" t="s">
        <v>1241</v>
      </c>
      <c r="D684" s="96" t="s">
        <v>2564</v>
      </c>
      <c r="E684" s="96" t="s">
        <v>2565</v>
      </c>
      <c r="F684" s="96" t="s">
        <v>2566</v>
      </c>
      <c r="G684" s="88">
        <v>659500000</v>
      </c>
      <c r="H684" s="91">
        <v>0.65949999999999998</v>
      </c>
      <c r="I684" s="100" t="s">
        <v>2405</v>
      </c>
    </row>
    <row r="685" spans="1:9">
      <c r="A685" s="95" t="s">
        <v>2406</v>
      </c>
      <c r="B685" s="96" t="s">
        <v>1034</v>
      </c>
      <c r="C685" s="96" t="s">
        <v>1241</v>
      </c>
      <c r="D685" s="96" t="s">
        <v>2567</v>
      </c>
      <c r="E685" s="96" t="s">
        <v>2568</v>
      </c>
      <c r="F685" s="96" t="s">
        <v>2569</v>
      </c>
      <c r="G685" s="88">
        <v>0</v>
      </c>
      <c r="H685" s="91">
        <v>0</v>
      </c>
      <c r="I685" s="100" t="s">
        <v>2405</v>
      </c>
    </row>
    <row r="686" spans="1:9">
      <c r="A686" s="95" t="s">
        <v>2406</v>
      </c>
      <c r="B686" s="96" t="s">
        <v>1034</v>
      </c>
      <c r="C686" s="96" t="s">
        <v>1241</v>
      </c>
      <c r="D686" s="96" t="s">
        <v>1886</v>
      </c>
      <c r="E686" s="96" t="s">
        <v>2570</v>
      </c>
      <c r="F686" s="96" t="s">
        <v>2521</v>
      </c>
      <c r="G686" s="88">
        <v>31681844</v>
      </c>
      <c r="H686" s="91">
        <v>3.1681844000000001E-2</v>
      </c>
      <c r="I686" s="100" t="s">
        <v>2405</v>
      </c>
    </row>
    <row r="687" spans="1:9">
      <c r="A687" s="95" t="s">
        <v>2406</v>
      </c>
      <c r="B687" s="96" t="s">
        <v>1034</v>
      </c>
      <c r="C687" s="96" t="s">
        <v>1241</v>
      </c>
      <c r="D687" s="96" t="s">
        <v>1892</v>
      </c>
      <c r="E687" s="96" t="s">
        <v>2571</v>
      </c>
      <c r="F687" s="96" t="s">
        <v>2572</v>
      </c>
      <c r="G687" s="88">
        <v>0</v>
      </c>
      <c r="H687" s="91">
        <v>0</v>
      </c>
      <c r="I687" s="100" t="s">
        <v>2405</v>
      </c>
    </row>
    <row r="688" spans="1:9">
      <c r="A688" s="95" t="s">
        <v>2406</v>
      </c>
      <c r="B688" s="96" t="s">
        <v>1034</v>
      </c>
      <c r="C688" s="96" t="s">
        <v>1241</v>
      </c>
      <c r="D688" s="96" t="s">
        <v>1888</v>
      </c>
      <c r="E688" s="96" t="s">
        <v>2573</v>
      </c>
      <c r="F688" s="96" t="s">
        <v>2574</v>
      </c>
      <c r="G688" s="88">
        <v>0</v>
      </c>
      <c r="H688" s="91">
        <v>0</v>
      </c>
      <c r="I688" s="100" t="s">
        <v>2405</v>
      </c>
    </row>
    <row r="689" spans="1:9">
      <c r="A689" s="95" t="s">
        <v>2406</v>
      </c>
      <c r="B689" s="96" t="s">
        <v>1034</v>
      </c>
      <c r="C689" s="96" t="s">
        <v>1241</v>
      </c>
      <c r="D689" s="96" t="s">
        <v>2575</v>
      </c>
      <c r="E689" s="96" t="s">
        <v>2576</v>
      </c>
      <c r="F689" s="96" t="s">
        <v>2577</v>
      </c>
      <c r="G689" s="88">
        <v>0</v>
      </c>
      <c r="H689" s="91">
        <v>0</v>
      </c>
      <c r="I689" s="100" t="s">
        <v>2405</v>
      </c>
    </row>
    <row r="690" spans="1:9">
      <c r="A690" s="95" t="s">
        <v>2406</v>
      </c>
      <c r="B690" s="96" t="s">
        <v>1034</v>
      </c>
      <c r="C690" s="96" t="s">
        <v>1241</v>
      </c>
      <c r="D690" s="96" t="s">
        <v>2578</v>
      </c>
      <c r="E690" s="96" t="s">
        <v>2579</v>
      </c>
      <c r="F690" s="96" t="s">
        <v>2580</v>
      </c>
      <c r="G690" s="88">
        <v>0</v>
      </c>
      <c r="H690" s="91">
        <v>0</v>
      </c>
      <c r="I690" s="100" t="s">
        <v>2405</v>
      </c>
    </row>
    <row r="691" spans="1:9">
      <c r="A691" s="95" t="s">
        <v>2406</v>
      </c>
      <c r="B691" s="96" t="s">
        <v>1034</v>
      </c>
      <c r="C691" s="96" t="s">
        <v>1241</v>
      </c>
      <c r="D691" s="96" t="s">
        <v>2581</v>
      </c>
      <c r="E691" s="96" t="s">
        <v>2582</v>
      </c>
      <c r="F691" s="96" t="s">
        <v>2583</v>
      </c>
      <c r="G691" s="88">
        <v>5513873186690</v>
      </c>
      <c r="H691" s="91">
        <v>5513.8731866899998</v>
      </c>
      <c r="I691" s="100" t="s">
        <v>2405</v>
      </c>
    </row>
    <row r="692" spans="1:9">
      <c r="A692" s="95" t="s">
        <v>2406</v>
      </c>
      <c r="B692" s="96" t="s">
        <v>1034</v>
      </c>
      <c r="C692" s="96" t="s">
        <v>1241</v>
      </c>
      <c r="D692" s="96" t="s">
        <v>2584</v>
      </c>
      <c r="E692" s="96" t="s">
        <v>2585</v>
      </c>
      <c r="F692" s="96" t="s">
        <v>2586</v>
      </c>
      <c r="G692" s="88">
        <v>5513873186690</v>
      </c>
      <c r="H692" s="91">
        <v>5513.8731866899998</v>
      </c>
      <c r="I692" s="100" t="s">
        <v>2405</v>
      </c>
    </row>
    <row r="693" spans="1:9">
      <c r="A693" s="95" t="s">
        <v>2406</v>
      </c>
      <c r="B693" s="96" t="s">
        <v>1034</v>
      </c>
      <c r="C693" s="96" t="s">
        <v>1241</v>
      </c>
      <c r="D693" s="96" t="s">
        <v>2587</v>
      </c>
      <c r="E693" s="96" t="s">
        <v>2588</v>
      </c>
      <c r="F693" s="96" t="s">
        <v>2589</v>
      </c>
      <c r="G693" s="88">
        <v>1703017850000</v>
      </c>
      <c r="H693" s="91">
        <v>1703.01785</v>
      </c>
      <c r="I693" s="100" t="s">
        <v>2405</v>
      </c>
    </row>
    <row r="694" spans="1:9">
      <c r="A694" s="95" t="s">
        <v>2406</v>
      </c>
      <c r="B694" s="96" t="s">
        <v>1034</v>
      </c>
      <c r="C694" s="96" t="s">
        <v>1241</v>
      </c>
      <c r="D694" s="96" t="s">
        <v>1900</v>
      </c>
      <c r="E694" s="96" t="s">
        <v>2590</v>
      </c>
      <c r="F694" s="96" t="s">
        <v>2591</v>
      </c>
      <c r="G694" s="88">
        <v>0</v>
      </c>
      <c r="H694" s="91">
        <v>0</v>
      </c>
      <c r="I694" s="100" t="s">
        <v>2405</v>
      </c>
    </row>
    <row r="695" spans="1:9">
      <c r="A695" s="95" t="s">
        <v>2406</v>
      </c>
      <c r="B695" s="96" t="s">
        <v>1034</v>
      </c>
      <c r="C695" s="96" t="s">
        <v>1241</v>
      </c>
      <c r="D695" s="96" t="s">
        <v>2592</v>
      </c>
      <c r="E695" s="96" t="s">
        <v>2593</v>
      </c>
      <c r="F695" s="96" t="s">
        <v>2594</v>
      </c>
      <c r="G695" s="88">
        <v>0</v>
      </c>
      <c r="H695" s="91">
        <v>0</v>
      </c>
      <c r="I695" s="100" t="s">
        <v>2405</v>
      </c>
    </row>
    <row r="696" spans="1:9">
      <c r="A696" s="95" t="s">
        <v>2406</v>
      </c>
      <c r="B696" s="96" t="s">
        <v>1034</v>
      </c>
      <c r="C696" s="96" t="s">
        <v>1241</v>
      </c>
      <c r="D696" s="96" t="s">
        <v>1906</v>
      </c>
      <c r="E696" s="96" t="s">
        <v>2595</v>
      </c>
      <c r="F696" s="96" t="s">
        <v>2596</v>
      </c>
      <c r="G696" s="88">
        <v>0</v>
      </c>
      <c r="H696" s="91">
        <v>0</v>
      </c>
      <c r="I696" s="100" t="s">
        <v>2405</v>
      </c>
    </row>
    <row r="697" spans="1:9">
      <c r="A697" s="95" t="s">
        <v>2406</v>
      </c>
      <c r="B697" s="96" t="s">
        <v>1034</v>
      </c>
      <c r="C697" s="96" t="s">
        <v>1241</v>
      </c>
      <c r="D697" s="96" t="s">
        <v>2597</v>
      </c>
      <c r="E697" s="96" t="s">
        <v>2598</v>
      </c>
      <c r="F697" s="96" t="s">
        <v>2599</v>
      </c>
      <c r="G697" s="88">
        <v>0</v>
      </c>
      <c r="H697" s="91">
        <v>0</v>
      </c>
      <c r="I697" s="100" t="s">
        <v>2405</v>
      </c>
    </row>
    <row r="698" spans="1:9">
      <c r="A698" s="95" t="s">
        <v>2406</v>
      </c>
      <c r="B698" s="96" t="s">
        <v>1034</v>
      </c>
      <c r="C698" s="96" t="s">
        <v>1241</v>
      </c>
      <c r="D698" s="96" t="s">
        <v>1910</v>
      </c>
      <c r="E698" s="96" t="s">
        <v>2600</v>
      </c>
      <c r="F698" s="96" t="s">
        <v>2601</v>
      </c>
      <c r="G698" s="88">
        <v>0</v>
      </c>
      <c r="H698" s="91">
        <v>0</v>
      </c>
      <c r="I698" s="100" t="s">
        <v>2405</v>
      </c>
    </row>
    <row r="699" spans="1:9">
      <c r="A699" s="95" t="s">
        <v>2406</v>
      </c>
      <c r="B699" s="96" t="s">
        <v>1034</v>
      </c>
      <c r="C699" s="96" t="s">
        <v>1241</v>
      </c>
      <c r="D699" s="96" t="s">
        <v>2602</v>
      </c>
      <c r="E699" s="96" t="s">
        <v>2603</v>
      </c>
      <c r="F699" s="96" t="s">
        <v>2604</v>
      </c>
      <c r="G699" s="88">
        <v>0</v>
      </c>
      <c r="H699" s="91">
        <v>0</v>
      </c>
      <c r="I699" s="100" t="s">
        <v>2405</v>
      </c>
    </row>
    <row r="700" spans="1:9">
      <c r="A700" s="95" t="s">
        <v>2406</v>
      </c>
      <c r="B700" s="96" t="s">
        <v>1034</v>
      </c>
      <c r="C700" s="96" t="s">
        <v>1241</v>
      </c>
      <c r="D700" s="96" t="s">
        <v>2605</v>
      </c>
      <c r="E700" s="96" t="s">
        <v>2606</v>
      </c>
      <c r="F700" s="96" t="s">
        <v>2607</v>
      </c>
      <c r="G700" s="88">
        <v>0</v>
      </c>
      <c r="H700" s="91">
        <v>0</v>
      </c>
      <c r="I700" s="100" t="s">
        <v>2405</v>
      </c>
    </row>
    <row r="701" spans="1:9">
      <c r="A701" s="95" t="s">
        <v>2406</v>
      </c>
      <c r="B701" s="96" t="s">
        <v>1034</v>
      </c>
      <c r="C701" s="96" t="s">
        <v>1241</v>
      </c>
      <c r="D701" s="96" t="s">
        <v>2608</v>
      </c>
      <c r="E701" s="96" t="s">
        <v>2609</v>
      </c>
      <c r="F701" s="96" t="s">
        <v>2610</v>
      </c>
      <c r="G701" s="88">
        <v>0</v>
      </c>
      <c r="H701" s="91">
        <v>0</v>
      </c>
      <c r="I701" s="100" t="s">
        <v>2405</v>
      </c>
    </row>
    <row r="702" spans="1:9">
      <c r="A702" s="95" t="s">
        <v>2406</v>
      </c>
      <c r="B702" s="96" t="s">
        <v>1034</v>
      </c>
      <c r="C702" s="96" t="s">
        <v>1241</v>
      </c>
      <c r="D702" s="96" t="s">
        <v>2611</v>
      </c>
      <c r="E702" s="96" t="s">
        <v>2612</v>
      </c>
      <c r="F702" s="96" t="s">
        <v>2613</v>
      </c>
      <c r="G702" s="88">
        <v>2755970958238</v>
      </c>
      <c r="H702" s="91">
        <v>2755.9709582380001</v>
      </c>
      <c r="I702" s="100" t="s">
        <v>2405</v>
      </c>
    </row>
    <row r="703" spans="1:9">
      <c r="A703" s="95" t="s">
        <v>2406</v>
      </c>
      <c r="B703" s="96" t="s">
        <v>1034</v>
      </c>
      <c r="C703" s="96" t="s">
        <v>1241</v>
      </c>
      <c r="D703" s="96" t="s">
        <v>2614</v>
      </c>
      <c r="E703" s="96" t="s">
        <v>2615</v>
      </c>
      <c r="F703" s="96" t="s">
        <v>2616</v>
      </c>
      <c r="G703" s="88">
        <v>0</v>
      </c>
      <c r="H703" s="91">
        <v>0</v>
      </c>
      <c r="I703" s="100" t="s">
        <v>2405</v>
      </c>
    </row>
    <row r="704" spans="1:9">
      <c r="A704" s="95" t="s">
        <v>2406</v>
      </c>
      <c r="B704" s="96" t="s">
        <v>1034</v>
      </c>
      <c r="C704" s="96" t="s">
        <v>1241</v>
      </c>
      <c r="D704" s="96" t="s">
        <v>2617</v>
      </c>
      <c r="E704" s="96" t="s">
        <v>2618</v>
      </c>
      <c r="F704" s="96" t="s">
        <v>2619</v>
      </c>
      <c r="G704" s="88">
        <v>0</v>
      </c>
      <c r="H704" s="91">
        <v>0</v>
      </c>
      <c r="I704" s="100" t="s">
        <v>2405</v>
      </c>
    </row>
    <row r="705" spans="1:9">
      <c r="A705" s="95" t="s">
        <v>2406</v>
      </c>
      <c r="B705" s="96" t="s">
        <v>1034</v>
      </c>
      <c r="C705" s="96" t="s">
        <v>1241</v>
      </c>
      <c r="D705" s="96" t="s">
        <v>2620</v>
      </c>
      <c r="E705" s="96" t="s">
        <v>2621</v>
      </c>
      <c r="F705" s="96" t="s">
        <v>2622</v>
      </c>
      <c r="G705" s="88">
        <v>0</v>
      </c>
      <c r="H705" s="91">
        <v>0</v>
      </c>
      <c r="I705" s="100" t="s">
        <v>2405</v>
      </c>
    </row>
    <row r="706" spans="1:9">
      <c r="A706" s="95" t="s">
        <v>2406</v>
      </c>
      <c r="B706" s="96" t="s">
        <v>1034</v>
      </c>
      <c r="C706" s="96" t="s">
        <v>1241</v>
      </c>
      <c r="D706" s="96" t="s">
        <v>2617</v>
      </c>
      <c r="E706" s="96" t="s">
        <v>2618</v>
      </c>
      <c r="F706" s="96" t="s">
        <v>2623</v>
      </c>
      <c r="G706" s="88">
        <v>0</v>
      </c>
      <c r="H706" s="91">
        <v>0</v>
      </c>
      <c r="I706" s="100" t="s">
        <v>2405</v>
      </c>
    </row>
    <row r="707" spans="1:9">
      <c r="A707" s="95" t="s">
        <v>2406</v>
      </c>
      <c r="B707" s="96" t="s">
        <v>1034</v>
      </c>
      <c r="C707" s="96" t="s">
        <v>1241</v>
      </c>
      <c r="D707" s="96" t="s">
        <v>2624</v>
      </c>
      <c r="E707" s="96" t="s">
        <v>2625</v>
      </c>
      <c r="F707" s="96" t="s">
        <v>1631</v>
      </c>
      <c r="G707" s="88">
        <v>0</v>
      </c>
      <c r="H707" s="91">
        <v>0</v>
      </c>
      <c r="I707" s="100" t="s">
        <v>2405</v>
      </c>
    </row>
    <row r="708" spans="1:9">
      <c r="A708" s="95" t="s">
        <v>2406</v>
      </c>
      <c r="B708" s="96" t="s">
        <v>1034</v>
      </c>
      <c r="C708" s="96" t="s">
        <v>1241</v>
      </c>
      <c r="D708" s="96" t="s">
        <v>2626</v>
      </c>
      <c r="E708" s="96" t="s">
        <v>2627</v>
      </c>
      <c r="F708" s="96" t="s">
        <v>2628</v>
      </c>
      <c r="G708" s="88">
        <v>26027165690888</v>
      </c>
      <c r="H708" s="91">
        <v>26027.165690888</v>
      </c>
      <c r="I708" s="100" t="s">
        <v>2405</v>
      </c>
    </row>
    <row r="709" spans="1:9">
      <c r="A709" s="95" t="s">
        <v>2406</v>
      </c>
      <c r="B709" s="96" t="s">
        <v>1034</v>
      </c>
      <c r="C709" s="96" t="s">
        <v>1241</v>
      </c>
      <c r="D709" s="96" t="s">
        <v>2629</v>
      </c>
      <c r="E709" s="96" t="s">
        <v>2630</v>
      </c>
      <c r="F709" s="96" t="s">
        <v>2631</v>
      </c>
      <c r="G709" s="88">
        <v>0</v>
      </c>
      <c r="H709" s="91">
        <v>0</v>
      </c>
      <c r="I709" s="100" t="s">
        <v>2405</v>
      </c>
    </row>
    <row r="710" spans="1:9">
      <c r="A710" s="95" t="s">
        <v>2406</v>
      </c>
      <c r="B710" s="96" t="s">
        <v>1034</v>
      </c>
      <c r="C710" s="96" t="s">
        <v>1241</v>
      </c>
      <c r="D710" s="96" t="s">
        <v>2632</v>
      </c>
      <c r="E710" s="96" t="s">
        <v>2633</v>
      </c>
      <c r="F710" s="96" t="s">
        <v>2634</v>
      </c>
      <c r="G710" s="88">
        <v>8004261265743</v>
      </c>
      <c r="H710" s="91">
        <v>8004.261265743</v>
      </c>
      <c r="I710" s="100" t="s">
        <v>2405</v>
      </c>
    </row>
    <row r="711" spans="1:9">
      <c r="A711" s="95" t="s">
        <v>2406</v>
      </c>
      <c r="B711" s="96" t="s">
        <v>1034</v>
      </c>
      <c r="C711" s="96" t="s">
        <v>1241</v>
      </c>
      <c r="D711" s="96" t="s">
        <v>2635</v>
      </c>
      <c r="E711" s="96" t="s">
        <v>2636</v>
      </c>
      <c r="F711" s="96" t="s">
        <v>2637</v>
      </c>
      <c r="G711" s="88">
        <v>0</v>
      </c>
      <c r="H711" s="91">
        <v>0</v>
      </c>
      <c r="I711" s="100" t="s">
        <v>2405</v>
      </c>
    </row>
    <row r="712" spans="1:9">
      <c r="A712" s="95" t="s">
        <v>2406</v>
      </c>
      <c r="B712" s="96" t="s">
        <v>1034</v>
      </c>
      <c r="C712" s="96" t="s">
        <v>1241</v>
      </c>
      <c r="D712" s="96" t="s">
        <v>2638</v>
      </c>
      <c r="E712" s="96" t="s">
        <v>2639</v>
      </c>
      <c r="F712" s="96" t="s">
        <v>2640</v>
      </c>
      <c r="G712" s="88">
        <v>0</v>
      </c>
      <c r="H712" s="91">
        <v>0</v>
      </c>
      <c r="I712" s="100" t="s">
        <v>2405</v>
      </c>
    </row>
    <row r="713" spans="1:9">
      <c r="A713" s="95" t="s">
        <v>2406</v>
      </c>
      <c r="B713" s="96" t="s">
        <v>1034</v>
      </c>
      <c r="C713" s="96" t="s">
        <v>1241</v>
      </c>
      <c r="D713" s="96" t="s">
        <v>2641</v>
      </c>
      <c r="E713" s="96" t="s">
        <v>2642</v>
      </c>
      <c r="F713" s="96" t="s">
        <v>2643</v>
      </c>
      <c r="G713" s="88">
        <v>0</v>
      </c>
      <c r="H713" s="91">
        <v>0</v>
      </c>
      <c r="I713" s="100" t="s">
        <v>2405</v>
      </c>
    </row>
    <row r="714" spans="1:9">
      <c r="A714" s="95" t="s">
        <v>2406</v>
      </c>
      <c r="B714" s="96" t="s">
        <v>1034</v>
      </c>
      <c r="C714" s="96" t="s">
        <v>1241</v>
      </c>
      <c r="D714" s="96" t="s">
        <v>2644</v>
      </c>
      <c r="E714" s="96" t="s">
        <v>2645</v>
      </c>
      <c r="F714" s="96" t="s">
        <v>2646</v>
      </c>
      <c r="G714" s="88">
        <v>0</v>
      </c>
      <c r="H714" s="91">
        <v>0</v>
      </c>
      <c r="I714" s="100" t="s">
        <v>2405</v>
      </c>
    </row>
    <row r="715" spans="1:9">
      <c r="A715" s="95" t="s">
        <v>2406</v>
      </c>
      <c r="B715" s="96" t="s">
        <v>1034</v>
      </c>
      <c r="C715" s="96" t="s">
        <v>1241</v>
      </c>
      <c r="D715" s="96" t="s">
        <v>1759</v>
      </c>
      <c r="E715" s="96" t="s">
        <v>2647</v>
      </c>
      <c r="F715" s="96" t="s">
        <v>2648</v>
      </c>
      <c r="G715" s="88">
        <v>0</v>
      </c>
      <c r="H715" s="91">
        <v>0</v>
      </c>
      <c r="I715" s="100" t="s">
        <v>2405</v>
      </c>
    </row>
    <row r="716" spans="1:9">
      <c r="A716" s="95" t="s">
        <v>2406</v>
      </c>
      <c r="B716" s="96" t="s">
        <v>1034</v>
      </c>
      <c r="C716" s="96" t="s">
        <v>1241</v>
      </c>
      <c r="D716" s="96" t="s">
        <v>2649</v>
      </c>
      <c r="E716" s="96" t="s">
        <v>2650</v>
      </c>
      <c r="F716" s="96" t="s">
        <v>2651</v>
      </c>
      <c r="G716" s="88">
        <v>0</v>
      </c>
      <c r="H716" s="91">
        <v>0</v>
      </c>
      <c r="I716" s="100" t="s">
        <v>2405</v>
      </c>
    </row>
    <row r="717" spans="1:9">
      <c r="A717" s="95" t="s">
        <v>2406</v>
      </c>
      <c r="B717" s="96" t="s">
        <v>1034</v>
      </c>
      <c r="C717" s="96" t="s">
        <v>1241</v>
      </c>
      <c r="D717" s="96" t="s">
        <v>2652</v>
      </c>
      <c r="E717" s="96" t="s">
        <v>2653</v>
      </c>
      <c r="F717" s="96" t="s">
        <v>2654</v>
      </c>
      <c r="G717" s="88">
        <v>1411954000</v>
      </c>
      <c r="H717" s="91">
        <v>1.4119539999999999</v>
      </c>
      <c r="I717" s="100" t="s">
        <v>2405</v>
      </c>
    </row>
    <row r="718" spans="1:9">
      <c r="A718" s="95" t="s">
        <v>2406</v>
      </c>
      <c r="B718" s="96" t="s">
        <v>1034</v>
      </c>
      <c r="C718" s="96" t="s">
        <v>1241</v>
      </c>
      <c r="D718" s="96" t="s">
        <v>2655</v>
      </c>
      <c r="E718" s="96" t="s">
        <v>2656</v>
      </c>
      <c r="F718" s="96" t="s">
        <v>2657</v>
      </c>
      <c r="G718" s="88">
        <v>0</v>
      </c>
      <c r="H718" s="91">
        <v>0</v>
      </c>
      <c r="I718" s="100" t="s">
        <v>2405</v>
      </c>
    </row>
    <row r="719" spans="1:9">
      <c r="A719" s="95" t="s">
        <v>2406</v>
      </c>
      <c r="B719" s="96" t="s">
        <v>1034</v>
      </c>
      <c r="C719" s="96" t="s">
        <v>1241</v>
      </c>
      <c r="D719" s="96" t="s">
        <v>2632</v>
      </c>
      <c r="E719" s="96" t="s">
        <v>2633</v>
      </c>
      <c r="F719" s="96" t="s">
        <v>2634</v>
      </c>
      <c r="G719" s="88">
        <v>0</v>
      </c>
      <c r="H719" s="91">
        <v>0</v>
      </c>
      <c r="I719" s="100" t="s">
        <v>2405</v>
      </c>
    </row>
    <row r="720" spans="1:9">
      <c r="A720" s="95" t="s">
        <v>2406</v>
      </c>
      <c r="B720" s="96" t="s">
        <v>1034</v>
      </c>
      <c r="C720" s="96" t="s">
        <v>1241</v>
      </c>
      <c r="D720" s="96" t="s">
        <v>2658</v>
      </c>
      <c r="E720" s="96" t="s">
        <v>2659</v>
      </c>
      <c r="F720" s="96" t="s">
        <v>2660</v>
      </c>
      <c r="G720" s="88">
        <v>0</v>
      </c>
      <c r="H720" s="91">
        <v>0</v>
      </c>
      <c r="I720" s="100" t="s">
        <v>2405</v>
      </c>
    </row>
    <row r="721" spans="1:9">
      <c r="A721" s="95" t="s">
        <v>2406</v>
      </c>
      <c r="B721" s="96" t="s">
        <v>1034</v>
      </c>
      <c r="C721" s="96" t="s">
        <v>1241</v>
      </c>
      <c r="D721" s="96" t="s">
        <v>2661</v>
      </c>
      <c r="E721" s="96" t="s">
        <v>2662</v>
      </c>
      <c r="F721" s="96" t="s">
        <v>2663</v>
      </c>
      <c r="G721" s="88">
        <v>552359662263</v>
      </c>
      <c r="H721" s="91">
        <v>552.35966226300002</v>
      </c>
      <c r="I721" s="100" t="s">
        <v>2405</v>
      </c>
    </row>
    <row r="722" spans="1:9">
      <c r="A722" s="95" t="s">
        <v>2406</v>
      </c>
      <c r="B722" s="96" t="s">
        <v>1034</v>
      </c>
      <c r="C722" s="96" t="s">
        <v>1241</v>
      </c>
      <c r="D722" s="96" t="s">
        <v>1862</v>
      </c>
      <c r="E722" s="96" t="s">
        <v>2664</v>
      </c>
      <c r="F722" s="96" t="s">
        <v>2665</v>
      </c>
      <c r="G722" s="88">
        <v>0</v>
      </c>
      <c r="H722" s="91">
        <v>0</v>
      </c>
      <c r="I722" s="100" t="s">
        <v>2405</v>
      </c>
    </row>
    <row r="723" spans="1:9">
      <c r="A723" s="95" t="s">
        <v>2406</v>
      </c>
      <c r="B723" s="96" t="s">
        <v>1034</v>
      </c>
      <c r="C723" s="96" t="s">
        <v>1241</v>
      </c>
      <c r="D723" s="96" t="s">
        <v>2644</v>
      </c>
      <c r="E723" s="96" t="s">
        <v>2645</v>
      </c>
      <c r="F723" s="96" t="s">
        <v>2666</v>
      </c>
      <c r="G723" s="88">
        <v>0</v>
      </c>
      <c r="H723" s="91">
        <v>0</v>
      </c>
      <c r="I723" s="100" t="s">
        <v>2405</v>
      </c>
    </row>
    <row r="724" spans="1:9">
      <c r="A724" s="95" t="s">
        <v>2406</v>
      </c>
      <c r="B724" s="96" t="s">
        <v>1034</v>
      </c>
      <c r="C724" s="96" t="s">
        <v>1241</v>
      </c>
      <c r="D724" s="96" t="s">
        <v>1868</v>
      </c>
      <c r="E724" s="96" t="s">
        <v>2667</v>
      </c>
      <c r="F724" s="96" t="s">
        <v>2668</v>
      </c>
      <c r="G724" s="88">
        <v>0</v>
      </c>
      <c r="H724" s="91">
        <v>0</v>
      </c>
      <c r="I724" s="100" t="s">
        <v>2405</v>
      </c>
    </row>
    <row r="725" spans="1:9">
      <c r="A725" s="95" t="s">
        <v>2406</v>
      </c>
      <c r="B725" s="96" t="s">
        <v>1034</v>
      </c>
      <c r="C725" s="96" t="s">
        <v>1241</v>
      </c>
      <c r="D725" s="96" t="s">
        <v>1872</v>
      </c>
      <c r="E725" s="96" t="s">
        <v>2669</v>
      </c>
      <c r="F725" s="96" t="s">
        <v>2670</v>
      </c>
      <c r="G725" s="88">
        <v>0</v>
      </c>
      <c r="H725" s="91">
        <v>0</v>
      </c>
      <c r="I725" s="100" t="s">
        <v>2405</v>
      </c>
    </row>
    <row r="726" spans="1:9">
      <c r="A726" s="95" t="s">
        <v>2406</v>
      </c>
      <c r="B726" s="96" t="s">
        <v>1034</v>
      </c>
      <c r="C726" s="96" t="s">
        <v>1241</v>
      </c>
      <c r="D726" s="96" t="s">
        <v>2671</v>
      </c>
      <c r="E726" s="96" t="s">
        <v>2672</v>
      </c>
      <c r="F726" s="96" t="s">
        <v>2673</v>
      </c>
      <c r="G726" s="88">
        <v>0</v>
      </c>
      <c r="H726" s="91">
        <v>0</v>
      </c>
      <c r="I726" s="100" t="s">
        <v>2405</v>
      </c>
    </row>
    <row r="727" spans="1:9">
      <c r="A727" s="95" t="s">
        <v>2406</v>
      </c>
      <c r="B727" s="96" t="s">
        <v>1034</v>
      </c>
      <c r="C727" s="96" t="s">
        <v>1241</v>
      </c>
      <c r="D727" s="96" t="s">
        <v>1882</v>
      </c>
      <c r="E727" s="96" t="s">
        <v>2674</v>
      </c>
      <c r="F727" s="96" t="s">
        <v>2675</v>
      </c>
      <c r="G727" s="88">
        <v>0</v>
      </c>
      <c r="H727" s="91">
        <v>0</v>
      </c>
      <c r="I727" s="100" t="s">
        <v>2405</v>
      </c>
    </row>
    <row r="728" spans="1:9">
      <c r="A728" s="95" t="s">
        <v>2406</v>
      </c>
      <c r="B728" s="96" t="s">
        <v>1034</v>
      </c>
      <c r="C728" s="96" t="s">
        <v>1241</v>
      </c>
      <c r="D728" s="96" t="s">
        <v>2629</v>
      </c>
      <c r="E728" s="96" t="s">
        <v>2630</v>
      </c>
      <c r="F728" s="96" t="s">
        <v>2631</v>
      </c>
      <c r="G728" s="88">
        <v>0</v>
      </c>
      <c r="H728" s="91">
        <v>0</v>
      </c>
      <c r="I728" s="100" t="s">
        <v>2405</v>
      </c>
    </row>
    <row r="729" spans="1:9">
      <c r="A729" s="95" t="s">
        <v>2406</v>
      </c>
      <c r="B729" s="96" t="s">
        <v>1034</v>
      </c>
      <c r="C729" s="96" t="s">
        <v>1241</v>
      </c>
      <c r="D729" s="96" t="s">
        <v>2676</v>
      </c>
      <c r="E729" s="96" t="s">
        <v>2677</v>
      </c>
      <c r="F729" s="96" t="s">
        <v>2678</v>
      </c>
      <c r="G729" s="88">
        <v>1703017850000</v>
      </c>
      <c r="H729" s="91">
        <v>1703.01785</v>
      </c>
      <c r="I729" s="100" t="s">
        <v>2405</v>
      </c>
    </row>
    <row r="730" spans="1:9">
      <c r="A730" s="95" t="s">
        <v>2406</v>
      </c>
      <c r="B730" s="96" t="s">
        <v>1034</v>
      </c>
      <c r="C730" s="96" t="s">
        <v>1241</v>
      </c>
      <c r="D730" s="96" t="s">
        <v>2679</v>
      </c>
      <c r="E730" s="96" t="s">
        <v>2680</v>
      </c>
      <c r="F730" s="96" t="s">
        <v>2681</v>
      </c>
      <c r="G730" s="88">
        <v>0</v>
      </c>
      <c r="H730" s="91">
        <v>0</v>
      </c>
      <c r="I730" s="100" t="s">
        <v>2405</v>
      </c>
    </row>
    <row r="731" spans="1:9">
      <c r="A731" s="95" t="s">
        <v>2406</v>
      </c>
      <c r="B731" s="96" t="s">
        <v>1034</v>
      </c>
      <c r="C731" s="96" t="s">
        <v>1241</v>
      </c>
      <c r="D731" s="96" t="s">
        <v>2682</v>
      </c>
      <c r="E731" s="96" t="s">
        <v>2683</v>
      </c>
      <c r="F731" s="96" t="s">
        <v>2684</v>
      </c>
      <c r="G731" s="88">
        <v>2468463255515</v>
      </c>
      <c r="H731" s="91">
        <v>2468.4632555150001</v>
      </c>
      <c r="I731" s="100" t="s">
        <v>2405</v>
      </c>
    </row>
    <row r="732" spans="1:9">
      <c r="A732" s="95" t="s">
        <v>2406</v>
      </c>
      <c r="B732" s="96" t="s">
        <v>1034</v>
      </c>
      <c r="C732" s="96" t="s">
        <v>1241</v>
      </c>
      <c r="D732" s="96" t="s">
        <v>2685</v>
      </c>
      <c r="E732" s="96" t="s">
        <v>2686</v>
      </c>
      <c r="F732" s="96" t="s">
        <v>2687</v>
      </c>
      <c r="G732" s="88">
        <v>287507702723</v>
      </c>
      <c r="H732" s="91">
        <v>287.50770272300002</v>
      </c>
      <c r="I732" s="100" t="s">
        <v>2405</v>
      </c>
    </row>
    <row r="733" spans="1:9">
      <c r="A733" s="95" t="s">
        <v>2406</v>
      </c>
      <c r="B733" s="96" t="s">
        <v>1034</v>
      </c>
      <c r="C733" s="96" t="s">
        <v>1241</v>
      </c>
      <c r="D733" s="96" t="s">
        <v>1810</v>
      </c>
      <c r="E733" s="96" t="s">
        <v>2688</v>
      </c>
      <c r="F733" s="96" t="s">
        <v>2689</v>
      </c>
      <c r="G733" s="88">
        <v>1411954000</v>
      </c>
      <c r="H733" s="91">
        <v>1.4119539999999999</v>
      </c>
      <c r="I733" s="100" t="s">
        <v>2405</v>
      </c>
    </row>
    <row r="734" spans="1:9">
      <c r="A734" s="95" t="s">
        <v>2406</v>
      </c>
      <c r="B734" s="96" t="s">
        <v>1034</v>
      </c>
      <c r="C734" s="96" t="s">
        <v>1241</v>
      </c>
      <c r="D734" s="96" t="s">
        <v>1834</v>
      </c>
      <c r="E734" s="96" t="s">
        <v>2690</v>
      </c>
      <c r="F734" s="96" t="s">
        <v>2691</v>
      </c>
      <c r="G734" s="88">
        <v>0</v>
      </c>
      <c r="H734" s="91">
        <v>0</v>
      </c>
      <c r="I734" s="100" t="s">
        <v>2405</v>
      </c>
    </row>
    <row r="735" spans="1:9">
      <c r="A735" s="95" t="s">
        <v>2406</v>
      </c>
      <c r="B735" s="96" t="s">
        <v>1034</v>
      </c>
      <c r="C735" s="96" t="s">
        <v>1241</v>
      </c>
      <c r="D735" s="96" t="s">
        <v>2390</v>
      </c>
      <c r="E735" s="96" t="s">
        <v>2391</v>
      </c>
      <c r="F735" s="96" t="s">
        <v>2692</v>
      </c>
      <c r="G735" s="88">
        <v>1054884378452</v>
      </c>
      <c r="H735" s="91">
        <v>1054.884378452</v>
      </c>
      <c r="I735" s="100" t="s">
        <v>2405</v>
      </c>
    </row>
    <row r="736" spans="1:9">
      <c r="A736" s="95" t="s">
        <v>2406</v>
      </c>
      <c r="B736" s="96" t="s">
        <v>1034</v>
      </c>
      <c r="C736" s="96" t="s">
        <v>1241</v>
      </c>
      <c r="D736" s="96" t="s">
        <v>2693</v>
      </c>
      <c r="E736" s="96" t="s">
        <v>2694</v>
      </c>
      <c r="F736" s="96" t="s">
        <v>2695</v>
      </c>
      <c r="G736" s="88">
        <v>0</v>
      </c>
      <c r="H736" s="91">
        <v>0</v>
      </c>
      <c r="I736" s="100" t="s">
        <v>2405</v>
      </c>
    </row>
    <row r="737" spans="1:9">
      <c r="A737" s="95" t="s">
        <v>2407</v>
      </c>
      <c r="B737" s="96" t="s">
        <v>2333</v>
      </c>
      <c r="C737" s="96" t="s">
        <v>1241</v>
      </c>
      <c r="D737" s="96" t="s">
        <v>68</v>
      </c>
      <c r="E737" s="96" t="s">
        <v>2411</v>
      </c>
      <c r="F737" s="96" t="s">
        <v>2412</v>
      </c>
      <c r="G737" s="88">
        <v>10704379520381</v>
      </c>
      <c r="H737" s="91">
        <v>10704.379520381</v>
      </c>
      <c r="I737" s="100" t="s">
        <v>2337</v>
      </c>
    </row>
    <row r="738" spans="1:9">
      <c r="A738" s="95" t="s">
        <v>2407</v>
      </c>
      <c r="B738" s="96" t="s">
        <v>2333</v>
      </c>
      <c r="C738" s="96" t="s">
        <v>1241</v>
      </c>
      <c r="D738" s="96" t="s">
        <v>58</v>
      </c>
      <c r="E738" s="96" t="s">
        <v>2413</v>
      </c>
      <c r="F738" s="96" t="s">
        <v>2414</v>
      </c>
      <c r="G738" s="88">
        <v>1742001985979</v>
      </c>
      <c r="H738" s="91">
        <v>1742.001985979</v>
      </c>
      <c r="I738" s="100" t="s">
        <v>2337</v>
      </c>
    </row>
    <row r="739" spans="1:9">
      <c r="A739" s="95" t="s">
        <v>2407</v>
      </c>
      <c r="B739" s="96" t="s">
        <v>2333</v>
      </c>
      <c r="C739" s="96" t="s">
        <v>1241</v>
      </c>
      <c r="D739" s="96" t="s">
        <v>1699</v>
      </c>
      <c r="E739" s="96" t="s">
        <v>2415</v>
      </c>
      <c r="F739" s="96" t="s">
        <v>2416</v>
      </c>
      <c r="G739" s="88">
        <v>352432027280</v>
      </c>
      <c r="H739" s="91">
        <v>352.43202728</v>
      </c>
      <c r="I739" s="100" t="s">
        <v>2337</v>
      </c>
    </row>
    <row r="740" spans="1:9">
      <c r="A740" s="95" t="s">
        <v>2407</v>
      </c>
      <c r="B740" s="96" t="s">
        <v>2333</v>
      </c>
      <c r="C740" s="96" t="s">
        <v>1241</v>
      </c>
      <c r="D740" s="96" t="s">
        <v>1701</v>
      </c>
      <c r="E740" s="96" t="s">
        <v>2417</v>
      </c>
      <c r="F740" s="96" t="s">
        <v>2418</v>
      </c>
      <c r="G740" s="88">
        <v>1389569958699</v>
      </c>
      <c r="H740" s="91">
        <v>1389.5699586989999</v>
      </c>
      <c r="I740" s="100" t="s">
        <v>2337</v>
      </c>
    </row>
    <row r="741" spans="1:9">
      <c r="A741" s="95" t="s">
        <v>2407</v>
      </c>
      <c r="B741" s="96" t="s">
        <v>2333</v>
      </c>
      <c r="C741" s="96" t="s">
        <v>1241</v>
      </c>
      <c r="D741" s="96" t="s">
        <v>2053</v>
      </c>
      <c r="E741" s="96" t="s">
        <v>2419</v>
      </c>
      <c r="F741" s="96" t="s">
        <v>2420</v>
      </c>
      <c r="G741" s="88">
        <v>697303455000</v>
      </c>
      <c r="H741" s="91">
        <v>697.30345499999999</v>
      </c>
      <c r="I741" s="100" t="s">
        <v>2337</v>
      </c>
    </row>
    <row r="742" spans="1:9">
      <c r="A742" s="95" t="s">
        <v>2407</v>
      </c>
      <c r="B742" s="96" t="s">
        <v>2333</v>
      </c>
      <c r="C742" s="96" t="s">
        <v>1241</v>
      </c>
      <c r="D742" s="96" t="s">
        <v>2053</v>
      </c>
      <c r="E742" s="96" t="s">
        <v>2419</v>
      </c>
      <c r="F742" s="96" t="s">
        <v>2420</v>
      </c>
      <c r="G742" s="88">
        <v>772336660000</v>
      </c>
      <c r="H742" s="91">
        <v>772.33666000000005</v>
      </c>
      <c r="I742" s="100" t="s">
        <v>2337</v>
      </c>
    </row>
    <row r="743" spans="1:9">
      <c r="A743" s="95" t="s">
        <v>2407</v>
      </c>
      <c r="B743" s="96" t="s">
        <v>2333</v>
      </c>
      <c r="C743" s="96" t="s">
        <v>1241</v>
      </c>
      <c r="D743" s="96" t="s">
        <v>2421</v>
      </c>
      <c r="E743" s="96" t="s">
        <v>2422</v>
      </c>
      <c r="F743" s="96" t="s">
        <v>2423</v>
      </c>
      <c r="G743" s="88">
        <v>-90888205000</v>
      </c>
      <c r="H743" s="91">
        <v>-90.888204999999999</v>
      </c>
      <c r="I743" s="100" t="s">
        <v>2337</v>
      </c>
    </row>
    <row r="744" spans="1:9">
      <c r="A744" s="95" t="s">
        <v>2407</v>
      </c>
      <c r="B744" s="96" t="s">
        <v>2333</v>
      </c>
      <c r="C744" s="96" t="s">
        <v>1241</v>
      </c>
      <c r="D744" s="96" t="s">
        <v>2424</v>
      </c>
      <c r="E744" s="96" t="s">
        <v>2425</v>
      </c>
      <c r="F744" s="96" t="s">
        <v>2426</v>
      </c>
      <c r="G744" s="88">
        <v>3516745328931</v>
      </c>
      <c r="H744" s="91">
        <v>3516.7453289310001</v>
      </c>
      <c r="I744" s="100" t="s">
        <v>2337</v>
      </c>
    </row>
    <row r="745" spans="1:9">
      <c r="A745" s="95" t="s">
        <v>2407</v>
      </c>
      <c r="B745" s="96" t="s">
        <v>2333</v>
      </c>
      <c r="C745" s="96" t="s">
        <v>1241</v>
      </c>
      <c r="D745" s="96" t="s">
        <v>2427</v>
      </c>
      <c r="E745" s="96" t="s">
        <v>2428</v>
      </c>
      <c r="F745" s="96" t="s">
        <v>2429</v>
      </c>
      <c r="G745" s="88">
        <v>3222983045435</v>
      </c>
      <c r="H745" s="91">
        <v>3222.9830454349999</v>
      </c>
      <c r="I745" s="100" t="s">
        <v>2337</v>
      </c>
    </row>
    <row r="746" spans="1:9">
      <c r="A746" s="95" t="s">
        <v>2407</v>
      </c>
      <c r="B746" s="96" t="s">
        <v>2333</v>
      </c>
      <c r="C746" s="96" t="s">
        <v>1241</v>
      </c>
      <c r="D746" s="96" t="s">
        <v>2430</v>
      </c>
      <c r="E746" s="96" t="s">
        <v>2431</v>
      </c>
      <c r="F746" s="96" t="s">
        <v>2432</v>
      </c>
      <c r="G746" s="88">
        <v>147693141345</v>
      </c>
      <c r="H746" s="91">
        <v>147.69314134499999</v>
      </c>
      <c r="I746" s="100" t="s">
        <v>2337</v>
      </c>
    </row>
    <row r="747" spans="1:9">
      <c r="A747" s="95" t="s">
        <v>2407</v>
      </c>
      <c r="B747" s="96" t="s">
        <v>2333</v>
      </c>
      <c r="C747" s="96" t="s">
        <v>1241</v>
      </c>
      <c r="D747" s="96" t="s">
        <v>2433</v>
      </c>
      <c r="E747" s="96" t="s">
        <v>2434</v>
      </c>
      <c r="F747" s="96" t="s">
        <v>2435</v>
      </c>
      <c r="G747" s="88">
        <v>0</v>
      </c>
      <c r="H747" s="91">
        <v>0</v>
      </c>
      <c r="I747" s="100" t="s">
        <v>2337</v>
      </c>
    </row>
    <row r="748" spans="1:9">
      <c r="A748" s="95" t="s">
        <v>2407</v>
      </c>
      <c r="B748" s="96" t="s">
        <v>2333</v>
      </c>
      <c r="C748" s="96" t="s">
        <v>1241</v>
      </c>
      <c r="D748" s="96" t="s">
        <v>2436</v>
      </c>
      <c r="E748" s="96" t="s">
        <v>2437</v>
      </c>
      <c r="F748" s="96" t="s">
        <v>2438</v>
      </c>
      <c r="G748" s="88">
        <v>0</v>
      </c>
      <c r="H748" s="91">
        <v>0</v>
      </c>
      <c r="I748" s="100" t="s">
        <v>2337</v>
      </c>
    </row>
    <row r="749" spans="1:9">
      <c r="A749" s="95" t="s">
        <v>2407</v>
      </c>
      <c r="B749" s="96" t="s">
        <v>2333</v>
      </c>
      <c r="C749" s="96" t="s">
        <v>1241</v>
      </c>
      <c r="D749" s="96" t="s">
        <v>2439</v>
      </c>
      <c r="E749" s="96" t="s">
        <v>2440</v>
      </c>
      <c r="F749" s="96" t="s">
        <v>2441</v>
      </c>
      <c r="G749" s="88">
        <v>64088501944</v>
      </c>
      <c r="H749" s="91">
        <v>64.088501944000001</v>
      </c>
      <c r="I749" s="100" t="s">
        <v>2337</v>
      </c>
    </row>
    <row r="750" spans="1:9">
      <c r="A750" s="95" t="s">
        <v>2407</v>
      </c>
      <c r="B750" s="96" t="s">
        <v>2333</v>
      </c>
      <c r="C750" s="96" t="s">
        <v>1241</v>
      </c>
      <c r="D750" s="96" t="s">
        <v>2442</v>
      </c>
      <c r="E750" s="96" t="s">
        <v>2443</v>
      </c>
      <c r="F750" s="96" t="s">
        <v>2444</v>
      </c>
      <c r="G750" s="88">
        <v>-3977793126</v>
      </c>
      <c r="H750" s="91">
        <v>-3.9777931259999999</v>
      </c>
      <c r="I750" s="100" t="s">
        <v>2337</v>
      </c>
    </row>
    <row r="751" spans="1:9">
      <c r="A751" s="95" t="s">
        <v>2407</v>
      </c>
      <c r="B751" s="96" t="s">
        <v>2333</v>
      </c>
      <c r="C751" s="96" t="s">
        <v>1241</v>
      </c>
      <c r="D751" s="96" t="s">
        <v>2445</v>
      </c>
      <c r="E751" s="96" t="s">
        <v>2446</v>
      </c>
      <c r="F751" s="96" t="s">
        <v>2447</v>
      </c>
      <c r="G751" s="88">
        <v>4436217717740</v>
      </c>
      <c r="H751" s="91">
        <v>4436.2177177399999</v>
      </c>
      <c r="I751" s="100" t="s">
        <v>2337</v>
      </c>
    </row>
    <row r="752" spans="1:9">
      <c r="A752" s="95" t="s">
        <v>2407</v>
      </c>
      <c r="B752" s="96" t="s">
        <v>2333</v>
      </c>
      <c r="C752" s="96" t="s">
        <v>1241</v>
      </c>
      <c r="D752" s="96" t="s">
        <v>64</v>
      </c>
      <c r="E752" s="96" t="s">
        <v>2448</v>
      </c>
      <c r="F752" s="96" t="s">
        <v>2449</v>
      </c>
      <c r="G752" s="88">
        <v>4571619977868</v>
      </c>
      <c r="H752" s="91">
        <v>4571.6199778680002</v>
      </c>
      <c r="I752" s="100" t="s">
        <v>2337</v>
      </c>
    </row>
    <row r="753" spans="1:9">
      <c r="A753" s="95" t="s">
        <v>2407</v>
      </c>
      <c r="B753" s="96" t="s">
        <v>2333</v>
      </c>
      <c r="C753" s="96" t="s">
        <v>1241</v>
      </c>
      <c r="D753" s="96" t="s">
        <v>2450</v>
      </c>
      <c r="E753" s="96" t="s">
        <v>2451</v>
      </c>
      <c r="F753" s="96" t="s">
        <v>2452</v>
      </c>
      <c r="G753" s="88">
        <v>-135402260128</v>
      </c>
      <c r="H753" s="91">
        <v>-135.40226012799999</v>
      </c>
      <c r="I753" s="100" t="s">
        <v>2337</v>
      </c>
    </row>
    <row r="754" spans="1:9">
      <c r="A754" s="95" t="s">
        <v>2407</v>
      </c>
      <c r="B754" s="96" t="s">
        <v>2333</v>
      </c>
      <c r="C754" s="96" t="s">
        <v>1241</v>
      </c>
      <c r="D754" s="96" t="s">
        <v>2059</v>
      </c>
      <c r="E754" s="96" t="s">
        <v>2453</v>
      </c>
      <c r="F754" s="96" t="s">
        <v>2454</v>
      </c>
      <c r="G754" s="88">
        <v>312111032731</v>
      </c>
      <c r="H754" s="91">
        <v>312.11103273100002</v>
      </c>
      <c r="I754" s="100" t="s">
        <v>2337</v>
      </c>
    </row>
    <row r="755" spans="1:9">
      <c r="A755" s="95" t="s">
        <v>2407</v>
      </c>
      <c r="B755" s="96" t="s">
        <v>2333</v>
      </c>
      <c r="C755" s="96" t="s">
        <v>1241</v>
      </c>
      <c r="D755" s="96" t="s">
        <v>2455</v>
      </c>
      <c r="E755" s="96" t="s">
        <v>2456</v>
      </c>
      <c r="F755" s="96" t="s">
        <v>2457</v>
      </c>
      <c r="G755" s="88">
        <v>18766186096</v>
      </c>
      <c r="H755" s="91">
        <v>18.766186095999998</v>
      </c>
      <c r="I755" s="100" t="s">
        <v>2337</v>
      </c>
    </row>
    <row r="756" spans="1:9">
      <c r="A756" s="95" t="s">
        <v>2407</v>
      </c>
      <c r="B756" s="96" t="s">
        <v>2333</v>
      </c>
      <c r="C756" s="96" t="s">
        <v>1241</v>
      </c>
      <c r="D756" s="96" t="s">
        <v>2458</v>
      </c>
      <c r="E756" s="96" t="s">
        <v>2459</v>
      </c>
      <c r="F756" s="96" t="s">
        <v>2460</v>
      </c>
      <c r="G756" s="88">
        <v>292091116531</v>
      </c>
      <c r="H756" s="91">
        <v>292.09111653100001</v>
      </c>
      <c r="I756" s="100" t="s">
        <v>2337</v>
      </c>
    </row>
    <row r="757" spans="1:9">
      <c r="A757" s="95" t="s">
        <v>2407</v>
      </c>
      <c r="B757" s="96" t="s">
        <v>2333</v>
      </c>
      <c r="C757" s="96" t="s">
        <v>1241</v>
      </c>
      <c r="D757" s="96" t="s">
        <v>2461</v>
      </c>
      <c r="E757" s="96" t="s">
        <v>2462</v>
      </c>
      <c r="F757" s="96" t="s">
        <v>2463</v>
      </c>
      <c r="G757" s="88">
        <v>1253730104</v>
      </c>
      <c r="H757" s="91">
        <v>1.253730104</v>
      </c>
      <c r="I757" s="100" t="s">
        <v>2337</v>
      </c>
    </row>
    <row r="758" spans="1:9">
      <c r="A758" s="95" t="s">
        <v>2407</v>
      </c>
      <c r="B758" s="96" t="s">
        <v>2333</v>
      </c>
      <c r="C758" s="96" t="s">
        <v>1241</v>
      </c>
      <c r="D758" s="96" t="s">
        <v>2059</v>
      </c>
      <c r="E758" s="96" t="s">
        <v>2453</v>
      </c>
      <c r="F758" s="96" t="s">
        <v>2454</v>
      </c>
      <c r="G758" s="88">
        <v>0</v>
      </c>
      <c r="H758" s="91">
        <v>0</v>
      </c>
      <c r="I758" s="100" t="s">
        <v>2337</v>
      </c>
    </row>
    <row r="759" spans="1:9">
      <c r="A759" s="95" t="s">
        <v>2407</v>
      </c>
      <c r="B759" s="96" t="s">
        <v>2333</v>
      </c>
      <c r="C759" s="96" t="s">
        <v>1241</v>
      </c>
      <c r="D759" s="96" t="s">
        <v>1753</v>
      </c>
      <c r="E759" s="96" t="s">
        <v>2464</v>
      </c>
      <c r="F759" s="96" t="s">
        <v>2465</v>
      </c>
      <c r="G759" s="88">
        <v>554975366538</v>
      </c>
      <c r="H759" s="91">
        <v>554.975366538</v>
      </c>
      <c r="I759" s="100" t="s">
        <v>2337</v>
      </c>
    </row>
    <row r="760" spans="1:9">
      <c r="A760" s="95" t="s">
        <v>2407</v>
      </c>
      <c r="B760" s="96" t="s">
        <v>2333</v>
      </c>
      <c r="C760" s="96" t="s">
        <v>1241</v>
      </c>
      <c r="D760" s="96" t="s">
        <v>1757</v>
      </c>
      <c r="E760" s="96" t="s">
        <v>2466</v>
      </c>
      <c r="F760" s="96" t="s">
        <v>2467</v>
      </c>
      <c r="G760" s="88">
        <v>13903413413</v>
      </c>
      <c r="H760" s="91">
        <v>13.903413413000001</v>
      </c>
      <c r="I760" s="100" t="s">
        <v>2337</v>
      </c>
    </row>
    <row r="761" spans="1:9">
      <c r="A761" s="95" t="s">
        <v>2407</v>
      </c>
      <c r="B761" s="96" t="s">
        <v>2333</v>
      </c>
      <c r="C761" s="96" t="s">
        <v>1241</v>
      </c>
      <c r="D761" s="96" t="s">
        <v>2468</v>
      </c>
      <c r="E761" s="96" t="s">
        <v>2469</v>
      </c>
      <c r="F761" s="96" t="s">
        <v>2470</v>
      </c>
      <c r="G761" s="88">
        <v>0</v>
      </c>
      <c r="H761" s="91">
        <v>0</v>
      </c>
      <c r="I761" s="100" t="s">
        <v>2337</v>
      </c>
    </row>
    <row r="762" spans="1:9">
      <c r="A762" s="95" t="s">
        <v>2407</v>
      </c>
      <c r="B762" s="96" t="s">
        <v>2333</v>
      </c>
      <c r="C762" s="96" t="s">
        <v>1241</v>
      </c>
      <c r="D762" s="96" t="s">
        <v>2471</v>
      </c>
      <c r="E762" s="96" t="s">
        <v>2472</v>
      </c>
      <c r="F762" s="96" t="s">
        <v>2473</v>
      </c>
      <c r="G762" s="88">
        <v>0</v>
      </c>
      <c r="H762" s="91">
        <v>0</v>
      </c>
      <c r="I762" s="100" t="s">
        <v>2337</v>
      </c>
    </row>
    <row r="763" spans="1:9">
      <c r="A763" s="95" t="s">
        <v>2407</v>
      </c>
      <c r="B763" s="96" t="s">
        <v>2333</v>
      </c>
      <c r="C763" s="96" t="s">
        <v>1241</v>
      </c>
      <c r="D763" s="96" t="s">
        <v>1767</v>
      </c>
      <c r="E763" s="96" t="s">
        <v>2474</v>
      </c>
      <c r="F763" s="96" t="s">
        <v>2475</v>
      </c>
      <c r="G763" s="88">
        <v>13903413413</v>
      </c>
      <c r="H763" s="91">
        <v>13.903413413000001</v>
      </c>
      <c r="I763" s="100" t="s">
        <v>2337</v>
      </c>
    </row>
    <row r="764" spans="1:9">
      <c r="A764" s="95" t="s">
        <v>2407</v>
      </c>
      <c r="B764" s="96" t="s">
        <v>2333</v>
      </c>
      <c r="C764" s="96" t="s">
        <v>1241</v>
      </c>
      <c r="D764" s="96" t="s">
        <v>2476</v>
      </c>
      <c r="E764" s="96" t="s">
        <v>2477</v>
      </c>
      <c r="F764" s="96" t="s">
        <v>2478</v>
      </c>
      <c r="G764" s="88">
        <v>0</v>
      </c>
      <c r="H764" s="91">
        <v>0</v>
      </c>
      <c r="I764" s="100" t="s">
        <v>2337</v>
      </c>
    </row>
    <row r="765" spans="1:9">
      <c r="A765" s="95" t="s">
        <v>2407</v>
      </c>
      <c r="B765" s="96" t="s">
        <v>2333</v>
      </c>
      <c r="C765" s="96" t="s">
        <v>1241</v>
      </c>
      <c r="D765" s="96" t="s">
        <v>70</v>
      </c>
      <c r="E765" s="96" t="s">
        <v>2061</v>
      </c>
      <c r="F765" s="96" t="s">
        <v>2479</v>
      </c>
      <c r="G765" s="88">
        <v>126862978181</v>
      </c>
      <c r="H765" s="91">
        <v>126.862978181</v>
      </c>
      <c r="I765" s="100" t="s">
        <v>2337</v>
      </c>
    </row>
    <row r="766" spans="1:9">
      <c r="A766" s="95" t="s">
        <v>2407</v>
      </c>
      <c r="B766" s="96" t="s">
        <v>2333</v>
      </c>
      <c r="C766" s="96" t="s">
        <v>1241</v>
      </c>
      <c r="D766" s="96" t="s">
        <v>1771</v>
      </c>
      <c r="E766" s="96" t="s">
        <v>2480</v>
      </c>
      <c r="F766" s="96" t="s">
        <v>2481</v>
      </c>
      <c r="G766" s="88">
        <v>55884251058</v>
      </c>
      <c r="H766" s="91">
        <v>55.884251057999997</v>
      </c>
      <c r="I766" s="100" t="s">
        <v>2337</v>
      </c>
    </row>
    <row r="767" spans="1:9">
      <c r="A767" s="95" t="s">
        <v>2407</v>
      </c>
      <c r="B767" s="96" t="s">
        <v>2333</v>
      </c>
      <c r="C767" s="96" t="s">
        <v>1241</v>
      </c>
      <c r="D767" s="96" t="s">
        <v>1773</v>
      </c>
      <c r="E767" s="96" t="s">
        <v>2482</v>
      </c>
      <c r="F767" s="96" t="s">
        <v>2483</v>
      </c>
      <c r="G767" s="88">
        <v>117611291490</v>
      </c>
      <c r="H767" s="91">
        <v>117.61129149</v>
      </c>
      <c r="I767" s="100" t="s">
        <v>2337</v>
      </c>
    </row>
    <row r="768" spans="1:9">
      <c r="A768" s="95" t="s">
        <v>2407</v>
      </c>
      <c r="B768" s="96" t="s">
        <v>2333</v>
      </c>
      <c r="C768" s="96" t="s">
        <v>1241</v>
      </c>
      <c r="D768" s="96" t="s">
        <v>1775</v>
      </c>
      <c r="E768" s="96" t="s">
        <v>2484</v>
      </c>
      <c r="F768" s="96" t="s">
        <v>2485</v>
      </c>
      <c r="G768" s="88">
        <v>-61727040432</v>
      </c>
      <c r="H768" s="91">
        <v>-61.727040432000003</v>
      </c>
      <c r="I768" s="100" t="s">
        <v>2337</v>
      </c>
    </row>
    <row r="769" spans="1:9">
      <c r="A769" s="95" t="s">
        <v>2407</v>
      </c>
      <c r="B769" s="96" t="s">
        <v>2333</v>
      </c>
      <c r="C769" s="96" t="s">
        <v>1241</v>
      </c>
      <c r="D769" s="96" t="s">
        <v>2486</v>
      </c>
      <c r="E769" s="96" t="s">
        <v>2487</v>
      </c>
      <c r="F769" s="96" t="s">
        <v>2488</v>
      </c>
      <c r="G769" s="88">
        <v>0</v>
      </c>
      <c r="H769" s="91">
        <v>0</v>
      </c>
      <c r="I769" s="100" t="s">
        <v>2337</v>
      </c>
    </row>
    <row r="770" spans="1:9">
      <c r="A770" s="95" t="s">
        <v>2407</v>
      </c>
      <c r="B770" s="96" t="s">
        <v>2333</v>
      </c>
      <c r="C770" s="96" t="s">
        <v>1241</v>
      </c>
      <c r="D770" s="96" t="s">
        <v>1773</v>
      </c>
      <c r="E770" s="96" t="s">
        <v>2482</v>
      </c>
      <c r="F770" s="96" t="s">
        <v>2489</v>
      </c>
      <c r="G770" s="88">
        <v>0</v>
      </c>
      <c r="H770" s="91">
        <v>0</v>
      </c>
      <c r="I770" s="100" t="s">
        <v>2337</v>
      </c>
    </row>
    <row r="771" spans="1:9">
      <c r="A771" s="95" t="s">
        <v>2407</v>
      </c>
      <c r="B771" s="96" t="s">
        <v>2333</v>
      </c>
      <c r="C771" s="96" t="s">
        <v>1241</v>
      </c>
      <c r="D771" s="96" t="s">
        <v>1775</v>
      </c>
      <c r="E771" s="96" t="s">
        <v>2484</v>
      </c>
      <c r="F771" s="96" t="s">
        <v>2490</v>
      </c>
      <c r="G771" s="88">
        <v>0</v>
      </c>
      <c r="H771" s="91">
        <v>0</v>
      </c>
      <c r="I771" s="100" t="s">
        <v>2337</v>
      </c>
    </row>
    <row r="772" spans="1:9">
      <c r="A772" s="95" t="s">
        <v>2407</v>
      </c>
      <c r="B772" s="96" t="s">
        <v>2333</v>
      </c>
      <c r="C772" s="96" t="s">
        <v>1241</v>
      </c>
      <c r="D772" s="96" t="s">
        <v>1781</v>
      </c>
      <c r="E772" s="96" t="s">
        <v>2491</v>
      </c>
      <c r="F772" s="96" t="s">
        <v>2492</v>
      </c>
      <c r="G772" s="88">
        <v>70978727123</v>
      </c>
      <c r="H772" s="91">
        <v>70.978727122999999</v>
      </c>
      <c r="I772" s="100" t="s">
        <v>2337</v>
      </c>
    </row>
    <row r="773" spans="1:9">
      <c r="A773" s="95" t="s">
        <v>2407</v>
      </c>
      <c r="B773" s="96" t="s">
        <v>2333</v>
      </c>
      <c r="C773" s="96" t="s">
        <v>1241</v>
      </c>
      <c r="D773" s="96" t="s">
        <v>1773</v>
      </c>
      <c r="E773" s="96" t="s">
        <v>2482</v>
      </c>
      <c r="F773" s="96" t="s">
        <v>2493</v>
      </c>
      <c r="G773" s="88">
        <v>89116661428</v>
      </c>
      <c r="H773" s="91">
        <v>89.116661428</v>
      </c>
      <c r="I773" s="100" t="s">
        <v>2337</v>
      </c>
    </row>
    <row r="774" spans="1:9">
      <c r="A774" s="95" t="s">
        <v>2407</v>
      </c>
      <c r="B774" s="96" t="s">
        <v>2333</v>
      </c>
      <c r="C774" s="96" t="s">
        <v>1241</v>
      </c>
      <c r="D774" s="96" t="s">
        <v>1775</v>
      </c>
      <c r="E774" s="96" t="s">
        <v>2484</v>
      </c>
      <c r="F774" s="96" t="s">
        <v>2494</v>
      </c>
      <c r="G774" s="88">
        <v>-18137934305</v>
      </c>
      <c r="H774" s="91">
        <v>-18.137934305000002</v>
      </c>
      <c r="I774" s="100" t="s">
        <v>2337</v>
      </c>
    </row>
    <row r="775" spans="1:9">
      <c r="A775" s="95" t="s">
        <v>2407</v>
      </c>
      <c r="B775" s="96" t="s">
        <v>2333</v>
      </c>
      <c r="C775" s="96" t="s">
        <v>1241</v>
      </c>
      <c r="D775" s="96" t="s">
        <v>2495</v>
      </c>
      <c r="E775" s="96" t="s">
        <v>2496</v>
      </c>
      <c r="F775" s="96" t="s">
        <v>2497</v>
      </c>
      <c r="G775" s="88">
        <v>0</v>
      </c>
      <c r="H775" s="91">
        <v>0</v>
      </c>
      <c r="I775" s="100" t="s">
        <v>2337</v>
      </c>
    </row>
    <row r="776" spans="1:9">
      <c r="A776" s="95" t="s">
        <v>2407</v>
      </c>
      <c r="B776" s="96" t="s">
        <v>2333</v>
      </c>
      <c r="C776" s="96" t="s">
        <v>1241</v>
      </c>
      <c r="D776" s="96" t="s">
        <v>1802</v>
      </c>
      <c r="E776" s="96" t="s">
        <v>2498</v>
      </c>
      <c r="F776" s="96" t="s">
        <v>2499</v>
      </c>
      <c r="G776" s="88">
        <v>0</v>
      </c>
      <c r="H776" s="91">
        <v>0</v>
      </c>
      <c r="I776" s="100" t="s">
        <v>2337</v>
      </c>
    </row>
    <row r="777" spans="1:9">
      <c r="A777" s="95" t="s">
        <v>2407</v>
      </c>
      <c r="B777" s="96" t="s">
        <v>2333</v>
      </c>
      <c r="C777" s="96" t="s">
        <v>1241</v>
      </c>
      <c r="D777" s="96" t="s">
        <v>1773</v>
      </c>
      <c r="E777" s="96" t="s">
        <v>2482</v>
      </c>
      <c r="F777" s="96" t="s">
        <v>2500</v>
      </c>
      <c r="G777" s="88">
        <v>0</v>
      </c>
      <c r="H777" s="91">
        <v>0</v>
      </c>
      <c r="I777" s="100" t="s">
        <v>2337</v>
      </c>
    </row>
    <row r="778" spans="1:9">
      <c r="A778" s="95" t="s">
        <v>2407</v>
      </c>
      <c r="B778" s="96" t="s">
        <v>2333</v>
      </c>
      <c r="C778" s="96" t="s">
        <v>1241</v>
      </c>
      <c r="D778" s="96" t="s">
        <v>1775</v>
      </c>
      <c r="E778" s="96" t="s">
        <v>2484</v>
      </c>
      <c r="F778" s="96" t="s">
        <v>2501</v>
      </c>
      <c r="G778" s="88">
        <v>0</v>
      </c>
      <c r="H778" s="91">
        <v>0</v>
      </c>
      <c r="I778" s="100" t="s">
        <v>2337</v>
      </c>
    </row>
    <row r="779" spans="1:9">
      <c r="A779" s="95" t="s">
        <v>2407</v>
      </c>
      <c r="B779" s="96" t="s">
        <v>2333</v>
      </c>
      <c r="C779" s="96" t="s">
        <v>1241</v>
      </c>
      <c r="D779" s="96" t="s">
        <v>2063</v>
      </c>
      <c r="E779" s="96" t="s">
        <v>2502</v>
      </c>
      <c r="F779" s="96" t="s">
        <v>2503</v>
      </c>
      <c r="G779" s="88">
        <v>36824013410</v>
      </c>
      <c r="H779" s="91">
        <v>36.824013409999999</v>
      </c>
      <c r="I779" s="100" t="s">
        <v>2337</v>
      </c>
    </row>
    <row r="780" spans="1:9">
      <c r="A780" s="95" t="s">
        <v>2407</v>
      </c>
      <c r="B780" s="96" t="s">
        <v>2333</v>
      </c>
      <c r="C780" s="96" t="s">
        <v>1241</v>
      </c>
      <c r="D780" s="96" t="s">
        <v>1812</v>
      </c>
      <c r="E780" s="96" t="s">
        <v>2504</v>
      </c>
      <c r="F780" s="96" t="s">
        <v>2505</v>
      </c>
      <c r="G780" s="88">
        <v>0</v>
      </c>
      <c r="H780" s="91">
        <v>0</v>
      </c>
      <c r="I780" s="100" t="s">
        <v>2337</v>
      </c>
    </row>
    <row r="781" spans="1:9">
      <c r="A781" s="95" t="s">
        <v>2407</v>
      </c>
      <c r="B781" s="96" t="s">
        <v>2333</v>
      </c>
      <c r="C781" s="96" t="s">
        <v>1241</v>
      </c>
      <c r="D781" s="96" t="s">
        <v>2506</v>
      </c>
      <c r="E781" s="96" t="s">
        <v>2507</v>
      </c>
      <c r="F781" s="96" t="s">
        <v>2508</v>
      </c>
      <c r="G781" s="88">
        <v>14010252327</v>
      </c>
      <c r="H781" s="91">
        <v>14.010252327</v>
      </c>
      <c r="I781" s="100" t="s">
        <v>2337</v>
      </c>
    </row>
    <row r="782" spans="1:9">
      <c r="A782" s="95" t="s">
        <v>2407</v>
      </c>
      <c r="B782" s="96" t="s">
        <v>2333</v>
      </c>
      <c r="C782" s="96" t="s">
        <v>1241</v>
      </c>
      <c r="D782" s="96" t="s">
        <v>1824</v>
      </c>
      <c r="E782" s="96" t="s">
        <v>2509</v>
      </c>
      <c r="F782" s="96" t="s">
        <v>2510</v>
      </c>
      <c r="G782" s="88">
        <v>40233974607</v>
      </c>
      <c r="H782" s="91">
        <v>40.233974607</v>
      </c>
      <c r="I782" s="100" t="s">
        <v>2337</v>
      </c>
    </row>
    <row r="783" spans="1:9">
      <c r="A783" s="95" t="s">
        <v>2407</v>
      </c>
      <c r="B783" s="96" t="s">
        <v>2333</v>
      </c>
      <c r="C783" s="96" t="s">
        <v>1241</v>
      </c>
      <c r="D783" s="96" t="s">
        <v>2511</v>
      </c>
      <c r="E783" s="96" t="s">
        <v>2512</v>
      </c>
      <c r="F783" s="96" t="s">
        <v>2513</v>
      </c>
      <c r="G783" s="88">
        <v>-17420213524</v>
      </c>
      <c r="H783" s="91">
        <v>-17.420213524000001</v>
      </c>
      <c r="I783" s="100" t="s">
        <v>2337</v>
      </c>
    </row>
    <row r="784" spans="1:9">
      <c r="A784" s="95" t="s">
        <v>2407</v>
      </c>
      <c r="B784" s="96" t="s">
        <v>2333</v>
      </c>
      <c r="C784" s="96" t="s">
        <v>1241</v>
      </c>
      <c r="D784" s="96" t="s">
        <v>1836</v>
      </c>
      <c r="E784" s="96" t="s">
        <v>2514</v>
      </c>
      <c r="F784" s="96" t="s">
        <v>2515</v>
      </c>
      <c r="G784" s="88">
        <v>0</v>
      </c>
      <c r="H784" s="91">
        <v>0</v>
      </c>
      <c r="I784" s="100" t="s">
        <v>2337</v>
      </c>
    </row>
    <row r="785" spans="1:9">
      <c r="A785" s="95" t="s">
        <v>2407</v>
      </c>
      <c r="B785" s="96" t="s">
        <v>2333</v>
      </c>
      <c r="C785" s="96" t="s">
        <v>1241</v>
      </c>
      <c r="D785" s="96" t="s">
        <v>74</v>
      </c>
      <c r="E785" s="96" t="s">
        <v>2064</v>
      </c>
      <c r="F785" s="96" t="s">
        <v>2516</v>
      </c>
      <c r="G785" s="88">
        <v>377384961534</v>
      </c>
      <c r="H785" s="91">
        <v>377.38496153400001</v>
      </c>
      <c r="I785" s="100" t="s">
        <v>2337</v>
      </c>
    </row>
    <row r="786" spans="1:9">
      <c r="A786" s="95" t="s">
        <v>2407</v>
      </c>
      <c r="B786" s="96" t="s">
        <v>2333</v>
      </c>
      <c r="C786" s="96" t="s">
        <v>1241</v>
      </c>
      <c r="D786" s="96" t="s">
        <v>2517</v>
      </c>
      <c r="E786" s="96" t="s">
        <v>2518</v>
      </c>
      <c r="F786" s="96" t="s">
        <v>2519</v>
      </c>
      <c r="G786" s="88">
        <v>17398316713</v>
      </c>
      <c r="H786" s="91">
        <v>17.398316713</v>
      </c>
      <c r="I786" s="100" t="s">
        <v>2337</v>
      </c>
    </row>
    <row r="787" spans="1:9">
      <c r="A787" s="95" t="s">
        <v>2407</v>
      </c>
      <c r="B787" s="96" t="s">
        <v>2333</v>
      </c>
      <c r="C787" s="96" t="s">
        <v>1241</v>
      </c>
      <c r="D787" s="96" t="s">
        <v>1828</v>
      </c>
      <c r="E787" s="96" t="s">
        <v>2520</v>
      </c>
      <c r="F787" s="96" t="s">
        <v>2521</v>
      </c>
      <c r="G787" s="88">
        <v>132480043965</v>
      </c>
      <c r="H787" s="91">
        <v>132.48004396499999</v>
      </c>
      <c r="I787" s="100" t="s">
        <v>2337</v>
      </c>
    </row>
    <row r="788" spans="1:9">
      <c r="A788" s="95" t="s">
        <v>2407</v>
      </c>
      <c r="B788" s="96" t="s">
        <v>2333</v>
      </c>
      <c r="C788" s="96" t="s">
        <v>1241</v>
      </c>
      <c r="D788" s="96" t="s">
        <v>74</v>
      </c>
      <c r="E788" s="96" t="s">
        <v>2064</v>
      </c>
      <c r="F788" s="96" t="s">
        <v>2522</v>
      </c>
      <c r="G788" s="88">
        <v>9248006055</v>
      </c>
      <c r="H788" s="91">
        <v>9.2480060549999994</v>
      </c>
      <c r="I788" s="100" t="s">
        <v>2337</v>
      </c>
    </row>
    <row r="789" spans="1:9">
      <c r="A789" s="95" t="s">
        <v>2407</v>
      </c>
      <c r="B789" s="96" t="s">
        <v>2333</v>
      </c>
      <c r="C789" s="96" t="s">
        <v>1241</v>
      </c>
      <c r="D789" s="96" t="s">
        <v>76</v>
      </c>
      <c r="E789" s="96" t="s">
        <v>75</v>
      </c>
      <c r="F789" s="96" t="s">
        <v>1643</v>
      </c>
      <c r="G789" s="88">
        <v>11259354886919</v>
      </c>
      <c r="H789" s="91">
        <v>11259.354886919</v>
      </c>
      <c r="I789" s="100" t="s">
        <v>2337</v>
      </c>
    </row>
    <row r="790" spans="1:9">
      <c r="A790" s="95" t="s">
        <v>2407</v>
      </c>
      <c r="B790" s="96" t="s">
        <v>2333</v>
      </c>
      <c r="C790" s="96" t="s">
        <v>1241</v>
      </c>
      <c r="D790" s="96" t="s">
        <v>2523</v>
      </c>
      <c r="E790" s="96" t="s">
        <v>487</v>
      </c>
      <c r="F790" s="96" t="s">
        <v>2524</v>
      </c>
      <c r="G790" s="88">
        <v>7786988527374</v>
      </c>
      <c r="H790" s="91">
        <v>7786.9885273740001</v>
      </c>
      <c r="I790" s="100" t="s">
        <v>2337</v>
      </c>
    </row>
    <row r="791" spans="1:9">
      <c r="A791" s="95" t="s">
        <v>2407</v>
      </c>
      <c r="B791" s="96" t="s">
        <v>2333</v>
      </c>
      <c r="C791" s="96" t="s">
        <v>1241</v>
      </c>
      <c r="D791" s="96" t="s">
        <v>82</v>
      </c>
      <c r="E791" s="96" t="s">
        <v>2070</v>
      </c>
      <c r="F791" s="96" t="s">
        <v>2525</v>
      </c>
      <c r="G791" s="88">
        <v>7782454897947</v>
      </c>
      <c r="H791" s="91">
        <v>7782.4548979470001</v>
      </c>
      <c r="I791" s="100" t="s">
        <v>2337</v>
      </c>
    </row>
    <row r="792" spans="1:9">
      <c r="A792" s="95" t="s">
        <v>2407</v>
      </c>
      <c r="B792" s="96" t="s">
        <v>2333</v>
      </c>
      <c r="C792" s="96" t="s">
        <v>1241</v>
      </c>
      <c r="D792" s="96" t="s">
        <v>2526</v>
      </c>
      <c r="E792" s="96" t="s">
        <v>2527</v>
      </c>
      <c r="F792" s="96" t="s">
        <v>2528</v>
      </c>
      <c r="G792" s="88">
        <v>2899171034481</v>
      </c>
      <c r="H792" s="91">
        <v>2899.1710344809999</v>
      </c>
      <c r="I792" s="100" t="s">
        <v>2337</v>
      </c>
    </row>
    <row r="793" spans="1:9">
      <c r="A793" s="95" t="s">
        <v>2407</v>
      </c>
      <c r="B793" s="96" t="s">
        <v>2333</v>
      </c>
      <c r="C793" s="96" t="s">
        <v>1241</v>
      </c>
      <c r="D793" s="96" t="s">
        <v>2529</v>
      </c>
      <c r="E793" s="96" t="s">
        <v>2530</v>
      </c>
      <c r="F793" s="96" t="s">
        <v>2531</v>
      </c>
      <c r="G793" s="88">
        <v>3524391650301</v>
      </c>
      <c r="H793" s="91">
        <v>3524.391650301</v>
      </c>
      <c r="I793" s="100" t="s">
        <v>2337</v>
      </c>
    </row>
    <row r="794" spans="1:9">
      <c r="A794" s="95" t="s">
        <v>2407</v>
      </c>
      <c r="B794" s="96" t="s">
        <v>2333</v>
      </c>
      <c r="C794" s="96" t="s">
        <v>1241</v>
      </c>
      <c r="D794" s="96" t="s">
        <v>2532</v>
      </c>
      <c r="E794" s="96" t="s">
        <v>2533</v>
      </c>
      <c r="F794" s="96" t="s">
        <v>2534</v>
      </c>
      <c r="G794" s="88">
        <v>277890266385</v>
      </c>
      <c r="H794" s="91">
        <v>277.89026638500002</v>
      </c>
      <c r="I794" s="100" t="s">
        <v>2337</v>
      </c>
    </row>
    <row r="795" spans="1:9">
      <c r="A795" s="95" t="s">
        <v>2407</v>
      </c>
      <c r="B795" s="96" t="s">
        <v>2333</v>
      </c>
      <c r="C795" s="96" t="s">
        <v>1241</v>
      </c>
      <c r="D795" s="96" t="s">
        <v>2535</v>
      </c>
      <c r="E795" s="96" t="s">
        <v>2536</v>
      </c>
      <c r="F795" s="96" t="s">
        <v>2537</v>
      </c>
      <c r="G795" s="88">
        <v>42018519569</v>
      </c>
      <c r="H795" s="91">
        <v>42.018519568999999</v>
      </c>
      <c r="I795" s="100" t="s">
        <v>2337</v>
      </c>
    </row>
    <row r="796" spans="1:9">
      <c r="A796" s="95" t="s">
        <v>2407</v>
      </c>
      <c r="B796" s="96" t="s">
        <v>2333</v>
      </c>
      <c r="C796" s="96" t="s">
        <v>1241</v>
      </c>
      <c r="D796" s="96" t="s">
        <v>1846</v>
      </c>
      <c r="E796" s="96" t="s">
        <v>2538</v>
      </c>
      <c r="F796" s="96" t="s">
        <v>2539</v>
      </c>
      <c r="G796" s="88">
        <v>40740418105</v>
      </c>
      <c r="H796" s="91">
        <v>40.740418105000003</v>
      </c>
      <c r="I796" s="100" t="s">
        <v>2337</v>
      </c>
    </row>
    <row r="797" spans="1:9">
      <c r="A797" s="95" t="s">
        <v>2407</v>
      </c>
      <c r="B797" s="96" t="s">
        <v>2333</v>
      </c>
      <c r="C797" s="96" t="s">
        <v>1241</v>
      </c>
      <c r="D797" s="96" t="s">
        <v>2540</v>
      </c>
      <c r="E797" s="96" t="s">
        <v>2541</v>
      </c>
      <c r="F797" s="96" t="s">
        <v>2542</v>
      </c>
      <c r="G797" s="88">
        <v>432116215957</v>
      </c>
      <c r="H797" s="91">
        <v>432.11621595700001</v>
      </c>
      <c r="I797" s="100" t="s">
        <v>2337</v>
      </c>
    </row>
    <row r="798" spans="1:9">
      <c r="A798" s="95" t="s">
        <v>2407</v>
      </c>
      <c r="B798" s="96" t="s">
        <v>2333</v>
      </c>
      <c r="C798" s="96" t="s">
        <v>1241</v>
      </c>
      <c r="D798" s="96" t="s">
        <v>2543</v>
      </c>
      <c r="E798" s="96" t="s">
        <v>2544</v>
      </c>
      <c r="F798" s="96" t="s">
        <v>2545</v>
      </c>
      <c r="G798" s="88">
        <v>0</v>
      </c>
      <c r="H798" s="91">
        <v>0</v>
      </c>
      <c r="I798" s="100" t="s">
        <v>2337</v>
      </c>
    </row>
    <row r="799" spans="1:9">
      <c r="A799" s="95" t="s">
        <v>2407</v>
      </c>
      <c r="B799" s="96" t="s">
        <v>2333</v>
      </c>
      <c r="C799" s="96" t="s">
        <v>1241</v>
      </c>
      <c r="D799" s="96" t="s">
        <v>2546</v>
      </c>
      <c r="E799" s="96" t="s">
        <v>2547</v>
      </c>
      <c r="F799" s="96" t="s">
        <v>2548</v>
      </c>
      <c r="G799" s="88">
        <v>0</v>
      </c>
      <c r="H799" s="91">
        <v>0</v>
      </c>
      <c r="I799" s="100" t="s">
        <v>2337</v>
      </c>
    </row>
    <row r="800" spans="1:9">
      <c r="A800" s="95" t="s">
        <v>2407</v>
      </c>
      <c r="B800" s="96" t="s">
        <v>2333</v>
      </c>
      <c r="C800" s="96" t="s">
        <v>1241</v>
      </c>
      <c r="D800" s="96" t="s">
        <v>2549</v>
      </c>
      <c r="E800" s="96" t="s">
        <v>2550</v>
      </c>
      <c r="F800" s="96" t="s">
        <v>2551</v>
      </c>
      <c r="G800" s="88">
        <v>566126793149</v>
      </c>
      <c r="H800" s="91">
        <v>566.12679314900004</v>
      </c>
      <c r="I800" s="100" t="s">
        <v>2337</v>
      </c>
    </row>
    <row r="801" spans="1:9">
      <c r="A801" s="95" t="s">
        <v>2407</v>
      </c>
      <c r="B801" s="96" t="s">
        <v>2333</v>
      </c>
      <c r="C801" s="96" t="s">
        <v>1241</v>
      </c>
      <c r="D801" s="96" t="s">
        <v>2552</v>
      </c>
      <c r="E801" s="96" t="s">
        <v>2553</v>
      </c>
      <c r="F801" s="96" t="s">
        <v>2554</v>
      </c>
      <c r="G801" s="88">
        <v>0</v>
      </c>
      <c r="H801" s="91">
        <v>0</v>
      </c>
      <c r="I801" s="100" t="s">
        <v>2337</v>
      </c>
    </row>
    <row r="802" spans="1:9">
      <c r="A802" s="95" t="s">
        <v>2407</v>
      </c>
      <c r="B802" s="96" t="s">
        <v>2333</v>
      </c>
      <c r="C802" s="96" t="s">
        <v>1241</v>
      </c>
      <c r="D802" s="96" t="s">
        <v>2555</v>
      </c>
      <c r="E802" s="96" t="s">
        <v>2556</v>
      </c>
      <c r="F802" s="96" t="s">
        <v>2557</v>
      </c>
      <c r="G802" s="88">
        <v>0</v>
      </c>
      <c r="H802" s="91">
        <v>0</v>
      </c>
      <c r="I802" s="100" t="s">
        <v>2337</v>
      </c>
    </row>
    <row r="803" spans="1:9">
      <c r="A803" s="95" t="s">
        <v>2407</v>
      </c>
      <c r="B803" s="96" t="s">
        <v>2333</v>
      </c>
      <c r="C803" s="96" t="s">
        <v>1241</v>
      </c>
      <c r="D803" s="96" t="s">
        <v>86</v>
      </c>
      <c r="E803" s="96" t="s">
        <v>2073</v>
      </c>
      <c r="F803" s="96" t="s">
        <v>2558</v>
      </c>
      <c r="G803" s="88">
        <v>4533629427</v>
      </c>
      <c r="H803" s="91">
        <v>4.5336294270000002</v>
      </c>
      <c r="I803" s="100" t="s">
        <v>2337</v>
      </c>
    </row>
    <row r="804" spans="1:9">
      <c r="A804" s="95" t="s">
        <v>2407</v>
      </c>
      <c r="B804" s="96" t="s">
        <v>2333</v>
      </c>
      <c r="C804" s="96" t="s">
        <v>1241</v>
      </c>
      <c r="D804" s="96" t="s">
        <v>1866</v>
      </c>
      <c r="E804" s="96" t="s">
        <v>2559</v>
      </c>
      <c r="F804" s="96" t="s">
        <v>2560</v>
      </c>
      <c r="G804" s="88">
        <v>0</v>
      </c>
      <c r="H804" s="91">
        <v>0</v>
      </c>
      <c r="I804" s="100" t="s">
        <v>2337</v>
      </c>
    </row>
    <row r="805" spans="1:9">
      <c r="A805" s="95" t="s">
        <v>2407</v>
      </c>
      <c r="B805" s="96" t="s">
        <v>2333</v>
      </c>
      <c r="C805" s="96" t="s">
        <v>1241</v>
      </c>
      <c r="D805" s="96" t="s">
        <v>2561</v>
      </c>
      <c r="E805" s="96" t="s">
        <v>2562</v>
      </c>
      <c r="F805" s="96" t="s">
        <v>2563</v>
      </c>
      <c r="G805" s="88">
        <v>0</v>
      </c>
      <c r="H805" s="91">
        <v>0</v>
      </c>
      <c r="I805" s="100" t="s">
        <v>2337</v>
      </c>
    </row>
    <row r="806" spans="1:9">
      <c r="A806" s="95" t="s">
        <v>2407</v>
      </c>
      <c r="B806" s="96" t="s">
        <v>2333</v>
      </c>
      <c r="C806" s="96" t="s">
        <v>1241</v>
      </c>
      <c r="D806" s="96" t="s">
        <v>2564</v>
      </c>
      <c r="E806" s="96" t="s">
        <v>2565</v>
      </c>
      <c r="F806" s="96" t="s">
        <v>2566</v>
      </c>
      <c r="G806" s="88">
        <v>4533629427</v>
      </c>
      <c r="H806" s="91">
        <v>4.5336294270000002</v>
      </c>
      <c r="I806" s="100" t="s">
        <v>2337</v>
      </c>
    </row>
    <row r="807" spans="1:9">
      <c r="A807" s="95" t="s">
        <v>2407</v>
      </c>
      <c r="B807" s="96" t="s">
        <v>2333</v>
      </c>
      <c r="C807" s="96" t="s">
        <v>1241</v>
      </c>
      <c r="D807" s="96" t="s">
        <v>2567</v>
      </c>
      <c r="E807" s="96" t="s">
        <v>2568</v>
      </c>
      <c r="F807" s="96" t="s">
        <v>2569</v>
      </c>
      <c r="G807" s="88">
        <v>0</v>
      </c>
      <c r="H807" s="91">
        <v>0</v>
      </c>
      <c r="I807" s="100" t="s">
        <v>2337</v>
      </c>
    </row>
    <row r="808" spans="1:9">
      <c r="A808" s="95" t="s">
        <v>2407</v>
      </c>
      <c r="B808" s="96" t="s">
        <v>2333</v>
      </c>
      <c r="C808" s="96" t="s">
        <v>1241</v>
      </c>
      <c r="D808" s="96" t="s">
        <v>1886</v>
      </c>
      <c r="E808" s="96" t="s">
        <v>2570</v>
      </c>
      <c r="F808" s="96" t="s">
        <v>2521</v>
      </c>
      <c r="G808" s="88">
        <v>0</v>
      </c>
      <c r="H808" s="91">
        <v>0</v>
      </c>
      <c r="I808" s="100" t="s">
        <v>2337</v>
      </c>
    </row>
    <row r="809" spans="1:9">
      <c r="A809" s="95" t="s">
        <v>2407</v>
      </c>
      <c r="B809" s="96" t="s">
        <v>2333</v>
      </c>
      <c r="C809" s="96" t="s">
        <v>1241</v>
      </c>
      <c r="D809" s="96" t="s">
        <v>1892</v>
      </c>
      <c r="E809" s="96" t="s">
        <v>2571</v>
      </c>
      <c r="F809" s="96" t="s">
        <v>2572</v>
      </c>
      <c r="G809" s="88">
        <v>0</v>
      </c>
      <c r="H809" s="91">
        <v>0</v>
      </c>
      <c r="I809" s="100" t="s">
        <v>2337</v>
      </c>
    </row>
    <row r="810" spans="1:9">
      <c r="A810" s="95" t="s">
        <v>2407</v>
      </c>
      <c r="B810" s="96" t="s">
        <v>2333</v>
      </c>
      <c r="C810" s="96" t="s">
        <v>1241</v>
      </c>
      <c r="D810" s="96" t="s">
        <v>1888</v>
      </c>
      <c r="E810" s="96" t="s">
        <v>2573</v>
      </c>
      <c r="F810" s="96" t="s">
        <v>2574</v>
      </c>
      <c r="G810" s="88">
        <v>0</v>
      </c>
      <c r="H810" s="91">
        <v>0</v>
      </c>
      <c r="I810" s="100" t="s">
        <v>2337</v>
      </c>
    </row>
    <row r="811" spans="1:9">
      <c r="A811" s="95" t="s">
        <v>2407</v>
      </c>
      <c r="B811" s="96" t="s">
        <v>2333</v>
      </c>
      <c r="C811" s="96" t="s">
        <v>1241</v>
      </c>
      <c r="D811" s="96" t="s">
        <v>2575</v>
      </c>
      <c r="E811" s="96" t="s">
        <v>2576</v>
      </c>
      <c r="F811" s="96" t="s">
        <v>2577</v>
      </c>
      <c r="G811" s="88">
        <v>0</v>
      </c>
      <c r="H811" s="91">
        <v>0</v>
      </c>
      <c r="I811" s="100" t="s">
        <v>2337</v>
      </c>
    </row>
    <row r="812" spans="1:9">
      <c r="A812" s="95" t="s">
        <v>2407</v>
      </c>
      <c r="B812" s="96" t="s">
        <v>2333</v>
      </c>
      <c r="C812" s="96" t="s">
        <v>1241</v>
      </c>
      <c r="D812" s="96" t="s">
        <v>2578</v>
      </c>
      <c r="E812" s="96" t="s">
        <v>2579</v>
      </c>
      <c r="F812" s="96" t="s">
        <v>2580</v>
      </c>
      <c r="G812" s="88">
        <v>0</v>
      </c>
      <c r="H812" s="91">
        <v>0</v>
      </c>
      <c r="I812" s="100" t="s">
        <v>2337</v>
      </c>
    </row>
    <row r="813" spans="1:9">
      <c r="A813" s="95" t="s">
        <v>2407</v>
      </c>
      <c r="B813" s="96" t="s">
        <v>2333</v>
      </c>
      <c r="C813" s="96" t="s">
        <v>1241</v>
      </c>
      <c r="D813" s="96" t="s">
        <v>2581</v>
      </c>
      <c r="E813" s="96" t="s">
        <v>2582</v>
      </c>
      <c r="F813" s="96" t="s">
        <v>2583</v>
      </c>
      <c r="G813" s="88">
        <v>3472366359545</v>
      </c>
      <c r="H813" s="91">
        <v>3472.3663595449998</v>
      </c>
      <c r="I813" s="100" t="s">
        <v>2337</v>
      </c>
    </row>
    <row r="814" spans="1:9">
      <c r="A814" s="95" t="s">
        <v>2407</v>
      </c>
      <c r="B814" s="96" t="s">
        <v>2333</v>
      </c>
      <c r="C814" s="96" t="s">
        <v>1241</v>
      </c>
      <c r="D814" s="96" t="s">
        <v>2584</v>
      </c>
      <c r="E814" s="96" t="s">
        <v>2585</v>
      </c>
      <c r="F814" s="96" t="s">
        <v>2586</v>
      </c>
      <c r="G814" s="88">
        <v>3472366359545</v>
      </c>
      <c r="H814" s="91">
        <v>3472.3663595449998</v>
      </c>
      <c r="I814" s="100" t="s">
        <v>2337</v>
      </c>
    </row>
    <row r="815" spans="1:9">
      <c r="A815" s="95" t="s">
        <v>2407</v>
      </c>
      <c r="B815" s="96" t="s">
        <v>2333</v>
      </c>
      <c r="C815" s="96" t="s">
        <v>1241</v>
      </c>
      <c r="D815" s="96" t="s">
        <v>2587</v>
      </c>
      <c r="E815" s="96" t="s">
        <v>2588</v>
      </c>
      <c r="F815" s="96" t="s">
        <v>2589</v>
      </c>
      <c r="G815" s="88">
        <v>2213201690000</v>
      </c>
      <c r="H815" s="91">
        <v>2213.2016899999999</v>
      </c>
      <c r="I815" s="100" t="s">
        <v>2337</v>
      </c>
    </row>
    <row r="816" spans="1:9">
      <c r="A816" s="95" t="s">
        <v>2407</v>
      </c>
      <c r="B816" s="96" t="s">
        <v>2333</v>
      </c>
      <c r="C816" s="96" t="s">
        <v>1241</v>
      </c>
      <c r="D816" s="96" t="s">
        <v>1900</v>
      </c>
      <c r="E816" s="96" t="s">
        <v>2590</v>
      </c>
      <c r="F816" s="96" t="s">
        <v>2591</v>
      </c>
      <c r="G816" s="88">
        <v>61233761416</v>
      </c>
      <c r="H816" s="91">
        <v>61.233761416</v>
      </c>
      <c r="I816" s="100" t="s">
        <v>2337</v>
      </c>
    </row>
    <row r="817" spans="1:9">
      <c r="A817" s="95" t="s">
        <v>2407</v>
      </c>
      <c r="B817" s="96" t="s">
        <v>2333</v>
      </c>
      <c r="C817" s="96" t="s">
        <v>1241</v>
      </c>
      <c r="D817" s="96" t="s">
        <v>2592</v>
      </c>
      <c r="E817" s="96" t="s">
        <v>2593</v>
      </c>
      <c r="F817" s="96" t="s">
        <v>2594</v>
      </c>
      <c r="G817" s="88">
        <v>0</v>
      </c>
      <c r="H817" s="91">
        <v>0</v>
      </c>
      <c r="I817" s="100" t="s">
        <v>2337</v>
      </c>
    </row>
    <row r="818" spans="1:9">
      <c r="A818" s="95" t="s">
        <v>2407</v>
      </c>
      <c r="B818" s="96" t="s">
        <v>2333</v>
      </c>
      <c r="C818" s="96" t="s">
        <v>1241</v>
      </c>
      <c r="D818" s="96" t="s">
        <v>1906</v>
      </c>
      <c r="E818" s="96" t="s">
        <v>2595</v>
      </c>
      <c r="F818" s="96" t="s">
        <v>2596</v>
      </c>
      <c r="G818" s="88">
        <v>-6272937166</v>
      </c>
      <c r="H818" s="91">
        <v>-6.2729371660000002</v>
      </c>
      <c r="I818" s="100" t="s">
        <v>2337</v>
      </c>
    </row>
    <row r="819" spans="1:9">
      <c r="A819" s="95" t="s">
        <v>2407</v>
      </c>
      <c r="B819" s="96" t="s">
        <v>2333</v>
      </c>
      <c r="C819" s="96" t="s">
        <v>1241</v>
      </c>
      <c r="D819" s="96" t="s">
        <v>2597</v>
      </c>
      <c r="E819" s="96" t="s">
        <v>2598</v>
      </c>
      <c r="F819" s="96" t="s">
        <v>2599</v>
      </c>
      <c r="G819" s="88">
        <v>0</v>
      </c>
      <c r="H819" s="91">
        <v>0</v>
      </c>
      <c r="I819" s="100" t="s">
        <v>2337</v>
      </c>
    </row>
    <row r="820" spans="1:9">
      <c r="A820" s="95" t="s">
        <v>2407</v>
      </c>
      <c r="B820" s="96" t="s">
        <v>2333</v>
      </c>
      <c r="C820" s="96" t="s">
        <v>1241</v>
      </c>
      <c r="D820" s="96" t="s">
        <v>1910</v>
      </c>
      <c r="E820" s="96" t="s">
        <v>2600</v>
      </c>
      <c r="F820" s="96" t="s">
        <v>2601</v>
      </c>
      <c r="G820" s="88">
        <v>0</v>
      </c>
      <c r="H820" s="91">
        <v>0</v>
      </c>
      <c r="I820" s="100" t="s">
        <v>2337</v>
      </c>
    </row>
    <row r="821" spans="1:9">
      <c r="A821" s="95" t="s">
        <v>2407</v>
      </c>
      <c r="B821" s="96" t="s">
        <v>2333</v>
      </c>
      <c r="C821" s="96" t="s">
        <v>1241</v>
      </c>
      <c r="D821" s="96" t="s">
        <v>2602</v>
      </c>
      <c r="E821" s="96" t="s">
        <v>2603</v>
      </c>
      <c r="F821" s="96" t="s">
        <v>2604</v>
      </c>
      <c r="G821" s="88">
        <v>400000000</v>
      </c>
      <c r="H821" s="91">
        <v>0.4</v>
      </c>
      <c r="I821" s="100" t="s">
        <v>2337</v>
      </c>
    </row>
    <row r="822" spans="1:9">
      <c r="A822" s="95" t="s">
        <v>2407</v>
      </c>
      <c r="B822" s="96" t="s">
        <v>2333</v>
      </c>
      <c r="C822" s="96" t="s">
        <v>1241</v>
      </c>
      <c r="D822" s="96" t="s">
        <v>2605</v>
      </c>
      <c r="E822" s="96" t="s">
        <v>2606</v>
      </c>
      <c r="F822" s="96" t="s">
        <v>2607</v>
      </c>
      <c r="G822" s="88">
        <v>0</v>
      </c>
      <c r="H822" s="91">
        <v>0</v>
      </c>
      <c r="I822" s="100" t="s">
        <v>2337</v>
      </c>
    </row>
    <row r="823" spans="1:9">
      <c r="A823" s="95" t="s">
        <v>2407</v>
      </c>
      <c r="B823" s="96" t="s">
        <v>2333</v>
      </c>
      <c r="C823" s="96" t="s">
        <v>1241</v>
      </c>
      <c r="D823" s="96" t="s">
        <v>2608</v>
      </c>
      <c r="E823" s="96" t="s">
        <v>2609</v>
      </c>
      <c r="F823" s="96" t="s">
        <v>2610</v>
      </c>
      <c r="G823" s="88">
        <v>0</v>
      </c>
      <c r="H823" s="91">
        <v>0</v>
      </c>
      <c r="I823" s="100" t="s">
        <v>2337</v>
      </c>
    </row>
    <row r="824" spans="1:9">
      <c r="A824" s="95" t="s">
        <v>2407</v>
      </c>
      <c r="B824" s="96" t="s">
        <v>2333</v>
      </c>
      <c r="C824" s="96" t="s">
        <v>1241</v>
      </c>
      <c r="D824" s="96" t="s">
        <v>2611</v>
      </c>
      <c r="E824" s="96" t="s">
        <v>2612</v>
      </c>
      <c r="F824" s="96" t="s">
        <v>2613</v>
      </c>
      <c r="G824" s="88">
        <v>1163421826200</v>
      </c>
      <c r="H824" s="91">
        <v>1163.4218261999999</v>
      </c>
      <c r="I824" s="100" t="s">
        <v>2337</v>
      </c>
    </row>
    <row r="825" spans="1:9">
      <c r="A825" s="95" t="s">
        <v>2407</v>
      </c>
      <c r="B825" s="96" t="s">
        <v>2333</v>
      </c>
      <c r="C825" s="96" t="s">
        <v>1241</v>
      </c>
      <c r="D825" s="96" t="s">
        <v>2614</v>
      </c>
      <c r="E825" s="96" t="s">
        <v>2615</v>
      </c>
      <c r="F825" s="96" t="s">
        <v>2616</v>
      </c>
      <c r="G825" s="88">
        <v>0</v>
      </c>
      <c r="H825" s="91">
        <v>0</v>
      </c>
      <c r="I825" s="100" t="s">
        <v>2337</v>
      </c>
    </row>
    <row r="826" spans="1:9">
      <c r="A826" s="95" t="s">
        <v>2407</v>
      </c>
      <c r="B826" s="96" t="s">
        <v>2333</v>
      </c>
      <c r="C826" s="96" t="s">
        <v>1241</v>
      </c>
      <c r="D826" s="96" t="s">
        <v>2617</v>
      </c>
      <c r="E826" s="96" t="s">
        <v>2618</v>
      </c>
      <c r="F826" s="96" t="s">
        <v>2619</v>
      </c>
      <c r="G826" s="88">
        <v>0</v>
      </c>
      <c r="H826" s="91">
        <v>0</v>
      </c>
      <c r="I826" s="100" t="s">
        <v>2337</v>
      </c>
    </row>
    <row r="827" spans="1:9">
      <c r="A827" s="95" t="s">
        <v>2407</v>
      </c>
      <c r="B827" s="96" t="s">
        <v>2333</v>
      </c>
      <c r="C827" s="96" t="s">
        <v>1241</v>
      </c>
      <c r="D827" s="96" t="s">
        <v>2620</v>
      </c>
      <c r="E827" s="96" t="s">
        <v>2621</v>
      </c>
      <c r="F827" s="96" t="s">
        <v>2622</v>
      </c>
      <c r="G827" s="88">
        <v>0</v>
      </c>
      <c r="H827" s="91">
        <v>0</v>
      </c>
      <c r="I827" s="100" t="s">
        <v>2337</v>
      </c>
    </row>
    <row r="828" spans="1:9">
      <c r="A828" s="95" t="s">
        <v>2407</v>
      </c>
      <c r="B828" s="96" t="s">
        <v>2333</v>
      </c>
      <c r="C828" s="96" t="s">
        <v>1241</v>
      </c>
      <c r="D828" s="96" t="s">
        <v>2617</v>
      </c>
      <c r="E828" s="96" t="s">
        <v>2618</v>
      </c>
      <c r="F828" s="96" t="s">
        <v>2623</v>
      </c>
      <c r="G828" s="88">
        <v>0</v>
      </c>
      <c r="H828" s="91">
        <v>0</v>
      </c>
      <c r="I828" s="100" t="s">
        <v>2337</v>
      </c>
    </row>
    <row r="829" spans="1:9">
      <c r="A829" s="95" t="s">
        <v>2407</v>
      </c>
      <c r="B829" s="96" t="s">
        <v>2333</v>
      </c>
      <c r="C829" s="96" t="s">
        <v>1241</v>
      </c>
      <c r="D829" s="96" t="s">
        <v>2624</v>
      </c>
      <c r="E829" s="96" t="s">
        <v>2625</v>
      </c>
      <c r="F829" s="96" t="s">
        <v>1631</v>
      </c>
      <c r="G829" s="88">
        <v>0</v>
      </c>
      <c r="H829" s="91">
        <v>0</v>
      </c>
      <c r="I829" s="100" t="s">
        <v>2337</v>
      </c>
    </row>
    <row r="830" spans="1:9">
      <c r="A830" s="95" t="s">
        <v>2407</v>
      </c>
      <c r="B830" s="96" t="s">
        <v>2333</v>
      </c>
      <c r="C830" s="96" t="s">
        <v>1241</v>
      </c>
      <c r="D830" s="96" t="s">
        <v>2626</v>
      </c>
      <c r="E830" s="96" t="s">
        <v>2627</v>
      </c>
      <c r="F830" s="96" t="s">
        <v>2628</v>
      </c>
      <c r="G830" s="88">
        <v>11259354886919</v>
      </c>
      <c r="H830" s="91">
        <v>11259.354886919</v>
      </c>
      <c r="I830" s="100" t="s">
        <v>2337</v>
      </c>
    </row>
    <row r="831" spans="1:9">
      <c r="A831" s="95" t="s">
        <v>2407</v>
      </c>
      <c r="B831" s="96" t="s">
        <v>2333</v>
      </c>
      <c r="C831" s="96" t="s">
        <v>1241</v>
      </c>
      <c r="D831" s="96" t="s">
        <v>2629</v>
      </c>
      <c r="E831" s="96" t="s">
        <v>2630</v>
      </c>
      <c r="F831" s="96" t="s">
        <v>2631</v>
      </c>
      <c r="G831" s="88">
        <v>0</v>
      </c>
      <c r="H831" s="91">
        <v>0</v>
      </c>
      <c r="I831" s="100" t="s">
        <v>2337</v>
      </c>
    </row>
    <row r="832" spans="1:9">
      <c r="A832" s="95" t="s">
        <v>2407</v>
      </c>
      <c r="B832" s="96" t="s">
        <v>2333</v>
      </c>
      <c r="C832" s="96" t="s">
        <v>1241</v>
      </c>
      <c r="D832" s="96" t="s">
        <v>2632</v>
      </c>
      <c r="E832" s="96" t="s">
        <v>2633</v>
      </c>
      <c r="F832" s="96" t="s">
        <v>2634</v>
      </c>
      <c r="G832" s="88">
        <v>15855000000</v>
      </c>
      <c r="H832" s="91">
        <v>15.855</v>
      </c>
      <c r="I832" s="100" t="s">
        <v>2337</v>
      </c>
    </row>
    <row r="833" spans="1:9">
      <c r="A833" s="95" t="s">
        <v>2407</v>
      </c>
      <c r="B833" s="96" t="s">
        <v>2333</v>
      </c>
      <c r="C833" s="96" t="s">
        <v>1241</v>
      </c>
      <c r="D833" s="96" t="s">
        <v>2635</v>
      </c>
      <c r="E833" s="96" t="s">
        <v>2636</v>
      </c>
      <c r="F833" s="96" t="s">
        <v>2637</v>
      </c>
      <c r="G833" s="88">
        <v>0</v>
      </c>
      <c r="H833" s="91">
        <v>0</v>
      </c>
      <c r="I833" s="100" t="s">
        <v>2337</v>
      </c>
    </row>
    <row r="834" spans="1:9">
      <c r="A834" s="95" t="s">
        <v>2407</v>
      </c>
      <c r="B834" s="96" t="s">
        <v>2333</v>
      </c>
      <c r="C834" s="96" t="s">
        <v>1241</v>
      </c>
      <c r="D834" s="96" t="s">
        <v>2638</v>
      </c>
      <c r="E834" s="96" t="s">
        <v>2639</v>
      </c>
      <c r="F834" s="96" t="s">
        <v>2640</v>
      </c>
      <c r="G834" s="88">
        <v>0</v>
      </c>
      <c r="H834" s="91">
        <v>0</v>
      </c>
      <c r="I834" s="100" t="s">
        <v>2337</v>
      </c>
    </row>
    <row r="835" spans="1:9">
      <c r="A835" s="95" t="s">
        <v>2407</v>
      </c>
      <c r="B835" s="96" t="s">
        <v>2333</v>
      </c>
      <c r="C835" s="96" t="s">
        <v>1241</v>
      </c>
      <c r="D835" s="96" t="s">
        <v>2641</v>
      </c>
      <c r="E835" s="96" t="s">
        <v>2642</v>
      </c>
      <c r="F835" s="96" t="s">
        <v>2643</v>
      </c>
      <c r="G835" s="88">
        <v>85958433333</v>
      </c>
      <c r="H835" s="91">
        <v>85.958433333000002</v>
      </c>
      <c r="I835" s="100" t="s">
        <v>2337</v>
      </c>
    </row>
    <row r="836" spans="1:9">
      <c r="A836" s="95" t="s">
        <v>2407</v>
      </c>
      <c r="B836" s="96" t="s">
        <v>2333</v>
      </c>
      <c r="C836" s="96" t="s">
        <v>1241</v>
      </c>
      <c r="D836" s="96" t="s">
        <v>2644</v>
      </c>
      <c r="E836" s="96" t="s">
        <v>2645</v>
      </c>
      <c r="F836" s="96" t="s">
        <v>2646</v>
      </c>
      <c r="G836" s="88">
        <v>0</v>
      </c>
      <c r="H836" s="91">
        <v>0</v>
      </c>
      <c r="I836" s="100" t="s">
        <v>2337</v>
      </c>
    </row>
    <row r="837" spans="1:9">
      <c r="A837" s="95" t="s">
        <v>2407</v>
      </c>
      <c r="B837" s="96" t="s">
        <v>2333</v>
      </c>
      <c r="C837" s="96" t="s">
        <v>1241</v>
      </c>
      <c r="D837" s="96" t="s">
        <v>1759</v>
      </c>
      <c r="E837" s="96" t="s">
        <v>2647</v>
      </c>
      <c r="F837" s="96" t="s">
        <v>2648</v>
      </c>
      <c r="G837" s="88">
        <v>0</v>
      </c>
      <c r="H837" s="91">
        <v>0</v>
      </c>
      <c r="I837" s="100" t="s">
        <v>2337</v>
      </c>
    </row>
    <row r="838" spans="1:9">
      <c r="A838" s="95" t="s">
        <v>2407</v>
      </c>
      <c r="B838" s="96" t="s">
        <v>2333</v>
      </c>
      <c r="C838" s="96" t="s">
        <v>1241</v>
      </c>
      <c r="D838" s="96" t="s">
        <v>2649</v>
      </c>
      <c r="E838" s="96" t="s">
        <v>2650</v>
      </c>
      <c r="F838" s="96" t="s">
        <v>2651</v>
      </c>
      <c r="G838" s="88">
        <v>0</v>
      </c>
      <c r="H838" s="91">
        <v>0</v>
      </c>
      <c r="I838" s="100" t="s">
        <v>2337</v>
      </c>
    </row>
    <row r="839" spans="1:9">
      <c r="A839" s="95" t="s">
        <v>2407</v>
      </c>
      <c r="B839" s="96" t="s">
        <v>2333</v>
      </c>
      <c r="C839" s="96" t="s">
        <v>1241</v>
      </c>
      <c r="D839" s="96" t="s">
        <v>2652</v>
      </c>
      <c r="E839" s="96" t="s">
        <v>2653</v>
      </c>
      <c r="F839" s="96" t="s">
        <v>2654</v>
      </c>
      <c r="G839" s="88">
        <v>0</v>
      </c>
      <c r="H839" s="91">
        <v>0</v>
      </c>
      <c r="I839" s="100" t="s">
        <v>2337</v>
      </c>
    </row>
    <row r="840" spans="1:9">
      <c r="A840" s="95" t="s">
        <v>2407</v>
      </c>
      <c r="B840" s="96" t="s">
        <v>2333</v>
      </c>
      <c r="C840" s="96" t="s">
        <v>1241</v>
      </c>
      <c r="D840" s="96" t="s">
        <v>2655</v>
      </c>
      <c r="E840" s="96" t="s">
        <v>2656</v>
      </c>
      <c r="F840" s="96" t="s">
        <v>2657</v>
      </c>
      <c r="G840" s="88">
        <v>0</v>
      </c>
      <c r="H840" s="91">
        <v>0</v>
      </c>
      <c r="I840" s="100" t="s">
        <v>2337</v>
      </c>
    </row>
    <row r="841" spans="1:9">
      <c r="A841" s="95" t="s">
        <v>2407</v>
      </c>
      <c r="B841" s="96" t="s">
        <v>2333</v>
      </c>
      <c r="C841" s="96" t="s">
        <v>1241</v>
      </c>
      <c r="D841" s="96" t="s">
        <v>2632</v>
      </c>
      <c r="E841" s="96" t="s">
        <v>2633</v>
      </c>
      <c r="F841" s="96" t="s">
        <v>2634</v>
      </c>
      <c r="G841" s="88">
        <v>0</v>
      </c>
      <c r="H841" s="91">
        <v>0</v>
      </c>
      <c r="I841" s="100" t="s">
        <v>2337</v>
      </c>
    </row>
    <row r="842" spans="1:9">
      <c r="A842" s="95" t="s">
        <v>2407</v>
      </c>
      <c r="B842" s="96" t="s">
        <v>2333</v>
      </c>
      <c r="C842" s="96" t="s">
        <v>1241</v>
      </c>
      <c r="D842" s="96" t="s">
        <v>2658</v>
      </c>
      <c r="E842" s="96" t="s">
        <v>2659</v>
      </c>
      <c r="F842" s="96" t="s">
        <v>2660</v>
      </c>
      <c r="G842" s="88">
        <v>0</v>
      </c>
      <c r="H842" s="91">
        <v>0</v>
      </c>
      <c r="I842" s="100" t="s">
        <v>2337</v>
      </c>
    </row>
    <row r="843" spans="1:9">
      <c r="A843" s="95" t="s">
        <v>2407</v>
      </c>
      <c r="B843" s="96" t="s">
        <v>2333</v>
      </c>
      <c r="C843" s="96" t="s">
        <v>1241</v>
      </c>
      <c r="D843" s="96" t="s">
        <v>2661</v>
      </c>
      <c r="E843" s="96" t="s">
        <v>2662</v>
      </c>
      <c r="F843" s="96" t="s">
        <v>2663</v>
      </c>
      <c r="G843" s="88">
        <v>0</v>
      </c>
      <c r="H843" s="91">
        <v>0</v>
      </c>
      <c r="I843" s="100" t="s">
        <v>2337</v>
      </c>
    </row>
    <row r="844" spans="1:9">
      <c r="A844" s="95" t="s">
        <v>2407</v>
      </c>
      <c r="B844" s="96" t="s">
        <v>2333</v>
      </c>
      <c r="C844" s="96" t="s">
        <v>1241</v>
      </c>
      <c r="D844" s="96" t="s">
        <v>1862</v>
      </c>
      <c r="E844" s="96" t="s">
        <v>2664</v>
      </c>
      <c r="F844" s="96" t="s">
        <v>2665</v>
      </c>
      <c r="G844" s="88">
        <v>0</v>
      </c>
      <c r="H844" s="91">
        <v>0</v>
      </c>
      <c r="I844" s="100" t="s">
        <v>2337</v>
      </c>
    </row>
    <row r="845" spans="1:9">
      <c r="A845" s="95" t="s">
        <v>2407</v>
      </c>
      <c r="B845" s="96" t="s">
        <v>2333</v>
      </c>
      <c r="C845" s="96" t="s">
        <v>1241</v>
      </c>
      <c r="D845" s="96" t="s">
        <v>2644</v>
      </c>
      <c r="E845" s="96" t="s">
        <v>2645</v>
      </c>
      <c r="F845" s="96" t="s">
        <v>2666</v>
      </c>
      <c r="G845" s="88">
        <v>0</v>
      </c>
      <c r="H845" s="91">
        <v>0</v>
      </c>
      <c r="I845" s="100" t="s">
        <v>2337</v>
      </c>
    </row>
    <row r="846" spans="1:9">
      <c r="A846" s="95" t="s">
        <v>2407</v>
      </c>
      <c r="B846" s="96" t="s">
        <v>2333</v>
      </c>
      <c r="C846" s="96" t="s">
        <v>1241</v>
      </c>
      <c r="D846" s="96" t="s">
        <v>1868</v>
      </c>
      <c r="E846" s="96" t="s">
        <v>2667</v>
      </c>
      <c r="F846" s="96" t="s">
        <v>2668</v>
      </c>
      <c r="G846" s="88">
        <v>0</v>
      </c>
      <c r="H846" s="91">
        <v>0</v>
      </c>
      <c r="I846" s="100" t="s">
        <v>2337</v>
      </c>
    </row>
    <row r="847" spans="1:9">
      <c r="A847" s="95" t="s">
        <v>2407</v>
      </c>
      <c r="B847" s="96" t="s">
        <v>2333</v>
      </c>
      <c r="C847" s="96" t="s">
        <v>1241</v>
      </c>
      <c r="D847" s="96" t="s">
        <v>1872</v>
      </c>
      <c r="E847" s="96" t="s">
        <v>2669</v>
      </c>
      <c r="F847" s="96" t="s">
        <v>2670</v>
      </c>
      <c r="G847" s="88">
        <v>0</v>
      </c>
      <c r="H847" s="91">
        <v>0</v>
      </c>
      <c r="I847" s="100" t="s">
        <v>2337</v>
      </c>
    </row>
    <row r="848" spans="1:9">
      <c r="A848" s="95" t="s">
        <v>2407</v>
      </c>
      <c r="B848" s="96" t="s">
        <v>2333</v>
      </c>
      <c r="C848" s="96" t="s">
        <v>1241</v>
      </c>
      <c r="D848" s="96" t="s">
        <v>2671</v>
      </c>
      <c r="E848" s="96" t="s">
        <v>2672</v>
      </c>
      <c r="F848" s="96" t="s">
        <v>2673</v>
      </c>
      <c r="G848" s="88">
        <v>0</v>
      </c>
      <c r="H848" s="91">
        <v>0</v>
      </c>
      <c r="I848" s="100" t="s">
        <v>2337</v>
      </c>
    </row>
    <row r="849" spans="1:9">
      <c r="A849" s="95" t="s">
        <v>2407</v>
      </c>
      <c r="B849" s="96" t="s">
        <v>2333</v>
      </c>
      <c r="C849" s="96" t="s">
        <v>1241</v>
      </c>
      <c r="D849" s="96" t="s">
        <v>1882</v>
      </c>
      <c r="E849" s="96" t="s">
        <v>2674</v>
      </c>
      <c r="F849" s="96" t="s">
        <v>2675</v>
      </c>
      <c r="G849" s="88">
        <v>0</v>
      </c>
      <c r="H849" s="91">
        <v>0</v>
      </c>
      <c r="I849" s="100" t="s">
        <v>2337</v>
      </c>
    </row>
    <row r="850" spans="1:9">
      <c r="A850" s="95" t="s">
        <v>2407</v>
      </c>
      <c r="B850" s="96" t="s">
        <v>2333</v>
      </c>
      <c r="C850" s="96" t="s">
        <v>1241</v>
      </c>
      <c r="D850" s="96" t="s">
        <v>2629</v>
      </c>
      <c r="E850" s="96" t="s">
        <v>2630</v>
      </c>
      <c r="F850" s="96" t="s">
        <v>2631</v>
      </c>
      <c r="G850" s="88">
        <v>0</v>
      </c>
      <c r="H850" s="91">
        <v>0</v>
      </c>
      <c r="I850" s="100" t="s">
        <v>2337</v>
      </c>
    </row>
    <row r="851" spans="1:9">
      <c r="A851" s="95" t="s">
        <v>2407</v>
      </c>
      <c r="B851" s="96" t="s">
        <v>2333</v>
      </c>
      <c r="C851" s="96" t="s">
        <v>1241</v>
      </c>
      <c r="D851" s="96" t="s">
        <v>2676</v>
      </c>
      <c r="E851" s="96" t="s">
        <v>2677</v>
      </c>
      <c r="F851" s="96" t="s">
        <v>2678</v>
      </c>
      <c r="G851" s="88">
        <v>2213201690000</v>
      </c>
      <c r="H851" s="91">
        <v>2213.2016899999999</v>
      </c>
      <c r="I851" s="100" t="s">
        <v>2337</v>
      </c>
    </row>
    <row r="852" spans="1:9">
      <c r="A852" s="95" t="s">
        <v>2407</v>
      </c>
      <c r="B852" s="96" t="s">
        <v>2333</v>
      </c>
      <c r="C852" s="96" t="s">
        <v>1241</v>
      </c>
      <c r="D852" s="96" t="s">
        <v>2679</v>
      </c>
      <c r="E852" s="96" t="s">
        <v>2680</v>
      </c>
      <c r="F852" s="96" t="s">
        <v>2681</v>
      </c>
      <c r="G852" s="88">
        <v>0</v>
      </c>
      <c r="H852" s="91">
        <v>0</v>
      </c>
      <c r="I852" s="100" t="s">
        <v>2337</v>
      </c>
    </row>
    <row r="853" spans="1:9">
      <c r="A853" s="95" t="s">
        <v>2407</v>
      </c>
      <c r="B853" s="96" t="s">
        <v>2333</v>
      </c>
      <c r="C853" s="96" t="s">
        <v>1241</v>
      </c>
      <c r="D853" s="96" t="s">
        <v>2682</v>
      </c>
      <c r="E853" s="96" t="s">
        <v>2683</v>
      </c>
      <c r="F853" s="96" t="s">
        <v>2684</v>
      </c>
      <c r="G853" s="88">
        <v>616090589658</v>
      </c>
      <c r="H853" s="91">
        <v>616.090589658</v>
      </c>
      <c r="I853" s="100" t="s">
        <v>2337</v>
      </c>
    </row>
    <row r="854" spans="1:9">
      <c r="A854" s="95" t="s">
        <v>2407</v>
      </c>
      <c r="B854" s="96" t="s">
        <v>2333</v>
      </c>
      <c r="C854" s="96" t="s">
        <v>1241</v>
      </c>
      <c r="D854" s="96" t="s">
        <v>2685</v>
      </c>
      <c r="E854" s="96" t="s">
        <v>2686</v>
      </c>
      <c r="F854" s="96" t="s">
        <v>2687</v>
      </c>
      <c r="G854" s="88">
        <v>547331236542</v>
      </c>
      <c r="H854" s="91">
        <v>547.33123654200006</v>
      </c>
      <c r="I854" s="100" t="s">
        <v>2337</v>
      </c>
    </row>
    <row r="855" spans="1:9">
      <c r="A855" s="95" t="s">
        <v>2407</v>
      </c>
      <c r="B855" s="96" t="s">
        <v>2333</v>
      </c>
      <c r="C855" s="96" t="s">
        <v>1241</v>
      </c>
      <c r="D855" s="96" t="s">
        <v>1810</v>
      </c>
      <c r="E855" s="96" t="s">
        <v>2688</v>
      </c>
      <c r="F855" s="96" t="s">
        <v>2689</v>
      </c>
      <c r="G855" s="88">
        <v>0</v>
      </c>
      <c r="H855" s="91">
        <v>0</v>
      </c>
      <c r="I855" s="100" t="s">
        <v>2337</v>
      </c>
    </row>
    <row r="856" spans="1:9">
      <c r="A856" s="95" t="s">
        <v>2407</v>
      </c>
      <c r="B856" s="96" t="s">
        <v>2333</v>
      </c>
      <c r="C856" s="96" t="s">
        <v>1241</v>
      </c>
      <c r="D856" s="96" t="s">
        <v>1834</v>
      </c>
      <c r="E856" s="96" t="s">
        <v>2690</v>
      </c>
      <c r="F856" s="96" t="s">
        <v>2691</v>
      </c>
      <c r="G856" s="88">
        <v>218258594801</v>
      </c>
      <c r="H856" s="91">
        <v>218.25859480099999</v>
      </c>
      <c r="I856" s="100" t="s">
        <v>2337</v>
      </c>
    </row>
    <row r="857" spans="1:9">
      <c r="A857" s="95" t="s">
        <v>2407</v>
      </c>
      <c r="B857" s="96" t="s">
        <v>2333</v>
      </c>
      <c r="C857" s="96" t="s">
        <v>1241</v>
      </c>
      <c r="D857" s="96" t="s">
        <v>2390</v>
      </c>
      <c r="E857" s="96" t="s">
        <v>2391</v>
      </c>
      <c r="F857" s="96" t="s">
        <v>2692</v>
      </c>
      <c r="G857" s="88">
        <v>40382019095</v>
      </c>
      <c r="H857" s="91">
        <v>40.382019094999997</v>
      </c>
      <c r="I857" s="100" t="s">
        <v>2337</v>
      </c>
    </row>
    <row r="858" spans="1:9">
      <c r="A858" s="95" t="s">
        <v>2407</v>
      </c>
      <c r="B858" s="96" t="s">
        <v>2333</v>
      </c>
      <c r="C858" s="96" t="s">
        <v>1241</v>
      </c>
      <c r="D858" s="96" t="s">
        <v>2693</v>
      </c>
      <c r="E858" s="96" t="s">
        <v>2694</v>
      </c>
      <c r="F858" s="96" t="s">
        <v>2695</v>
      </c>
      <c r="G858" s="88">
        <v>0</v>
      </c>
      <c r="H858" s="91">
        <v>0</v>
      </c>
      <c r="I858" s="100" t="s">
        <v>2337</v>
      </c>
    </row>
    <row r="859" spans="1:9">
      <c r="A859" s="95" t="s">
        <v>2407</v>
      </c>
      <c r="B859" s="96" t="s">
        <v>2404</v>
      </c>
      <c r="C859" s="96" t="s">
        <v>1241</v>
      </c>
      <c r="D859" s="96" t="s">
        <v>68</v>
      </c>
      <c r="E859" s="96" t="s">
        <v>2411</v>
      </c>
      <c r="F859" s="96" t="s">
        <v>2412</v>
      </c>
      <c r="G859" s="88">
        <v>7276342302134</v>
      </c>
      <c r="H859" s="91">
        <v>7276.3423021340004</v>
      </c>
      <c r="I859" s="100" t="s">
        <v>2405</v>
      </c>
    </row>
    <row r="860" spans="1:9">
      <c r="A860" s="95" t="s">
        <v>2407</v>
      </c>
      <c r="B860" s="96" t="s">
        <v>2404</v>
      </c>
      <c r="C860" s="96" t="s">
        <v>1241</v>
      </c>
      <c r="D860" s="96" t="s">
        <v>58</v>
      </c>
      <c r="E860" s="96" t="s">
        <v>2413</v>
      </c>
      <c r="F860" s="96" t="s">
        <v>2414</v>
      </c>
      <c r="G860" s="88">
        <v>1294636305106</v>
      </c>
      <c r="H860" s="91">
        <v>1294.636305106</v>
      </c>
      <c r="I860" s="100" t="s">
        <v>2405</v>
      </c>
    </row>
    <row r="861" spans="1:9">
      <c r="A861" s="95" t="s">
        <v>2407</v>
      </c>
      <c r="B861" s="96" t="s">
        <v>2404</v>
      </c>
      <c r="C861" s="96" t="s">
        <v>1241</v>
      </c>
      <c r="D861" s="96" t="s">
        <v>1699</v>
      </c>
      <c r="E861" s="96" t="s">
        <v>2415</v>
      </c>
      <c r="F861" s="96" t="s">
        <v>2416</v>
      </c>
      <c r="G861" s="88">
        <v>338819665462</v>
      </c>
      <c r="H861" s="91">
        <v>338.81966546199999</v>
      </c>
      <c r="I861" s="100" t="s">
        <v>2405</v>
      </c>
    </row>
    <row r="862" spans="1:9">
      <c r="A862" s="95" t="s">
        <v>2407</v>
      </c>
      <c r="B862" s="96" t="s">
        <v>2404</v>
      </c>
      <c r="C862" s="96" t="s">
        <v>1241</v>
      </c>
      <c r="D862" s="96" t="s">
        <v>1701</v>
      </c>
      <c r="E862" s="96" t="s">
        <v>2417</v>
      </c>
      <c r="F862" s="96" t="s">
        <v>2418</v>
      </c>
      <c r="G862" s="88">
        <v>955816639644</v>
      </c>
      <c r="H862" s="91">
        <v>955.81663964400002</v>
      </c>
      <c r="I862" s="100" t="s">
        <v>2405</v>
      </c>
    </row>
    <row r="863" spans="1:9">
      <c r="A863" s="95" t="s">
        <v>2407</v>
      </c>
      <c r="B863" s="96" t="s">
        <v>2404</v>
      </c>
      <c r="C863" s="96" t="s">
        <v>1241</v>
      </c>
      <c r="D863" s="96" t="s">
        <v>2053</v>
      </c>
      <c r="E863" s="96" t="s">
        <v>2419</v>
      </c>
      <c r="F863" s="96" t="s">
        <v>2420</v>
      </c>
      <c r="G863" s="88">
        <v>0</v>
      </c>
      <c r="H863" s="91">
        <v>0</v>
      </c>
      <c r="I863" s="100" t="s">
        <v>2405</v>
      </c>
    </row>
    <row r="864" spans="1:9">
      <c r="A864" s="95" t="s">
        <v>2407</v>
      </c>
      <c r="B864" s="96" t="s">
        <v>2404</v>
      </c>
      <c r="C864" s="96" t="s">
        <v>1241</v>
      </c>
      <c r="D864" s="96" t="s">
        <v>2053</v>
      </c>
      <c r="E864" s="96" t="s">
        <v>2419</v>
      </c>
      <c r="F864" s="96" t="s">
        <v>2420</v>
      </c>
      <c r="G864" s="88">
        <v>0</v>
      </c>
      <c r="H864" s="91">
        <v>0</v>
      </c>
      <c r="I864" s="100" t="s">
        <v>2405</v>
      </c>
    </row>
    <row r="865" spans="1:9">
      <c r="A865" s="95" t="s">
        <v>2407</v>
      </c>
      <c r="B865" s="96" t="s">
        <v>2404</v>
      </c>
      <c r="C865" s="96" t="s">
        <v>1241</v>
      </c>
      <c r="D865" s="96" t="s">
        <v>2421</v>
      </c>
      <c r="E865" s="96" t="s">
        <v>2422</v>
      </c>
      <c r="F865" s="96" t="s">
        <v>2423</v>
      </c>
      <c r="G865" s="88">
        <v>0</v>
      </c>
      <c r="H865" s="91">
        <v>0</v>
      </c>
      <c r="I865" s="100" t="s">
        <v>2405</v>
      </c>
    </row>
    <row r="866" spans="1:9">
      <c r="A866" s="95" t="s">
        <v>2407</v>
      </c>
      <c r="B866" s="96" t="s">
        <v>2404</v>
      </c>
      <c r="C866" s="96" t="s">
        <v>1241</v>
      </c>
      <c r="D866" s="96" t="s">
        <v>2424</v>
      </c>
      <c r="E866" s="96" t="s">
        <v>2425</v>
      </c>
      <c r="F866" s="96" t="s">
        <v>2426</v>
      </c>
      <c r="G866" s="88">
        <v>2526680781021</v>
      </c>
      <c r="H866" s="91">
        <v>2526.6807810209998</v>
      </c>
      <c r="I866" s="100" t="s">
        <v>2405</v>
      </c>
    </row>
    <row r="867" spans="1:9">
      <c r="A867" s="95" t="s">
        <v>2407</v>
      </c>
      <c r="B867" s="96" t="s">
        <v>2404</v>
      </c>
      <c r="C867" s="96" t="s">
        <v>1241</v>
      </c>
      <c r="D867" s="96" t="s">
        <v>2427</v>
      </c>
      <c r="E867" s="96" t="s">
        <v>2428</v>
      </c>
      <c r="F867" s="96" t="s">
        <v>2429</v>
      </c>
      <c r="G867" s="88">
        <v>2260984325013</v>
      </c>
      <c r="H867" s="91">
        <v>2260.9843250130002</v>
      </c>
      <c r="I867" s="100" t="s">
        <v>2405</v>
      </c>
    </row>
    <row r="868" spans="1:9">
      <c r="A868" s="95" t="s">
        <v>2407</v>
      </c>
      <c r="B868" s="96" t="s">
        <v>2404</v>
      </c>
      <c r="C868" s="96" t="s">
        <v>1241</v>
      </c>
      <c r="D868" s="96" t="s">
        <v>2430</v>
      </c>
      <c r="E868" s="96" t="s">
        <v>2431</v>
      </c>
      <c r="F868" s="96" t="s">
        <v>2432</v>
      </c>
      <c r="G868" s="88">
        <v>110871987306</v>
      </c>
      <c r="H868" s="91">
        <v>110.87198730599999</v>
      </c>
      <c r="I868" s="100" t="s">
        <v>2405</v>
      </c>
    </row>
    <row r="869" spans="1:9">
      <c r="A869" s="95" t="s">
        <v>2407</v>
      </c>
      <c r="B869" s="96" t="s">
        <v>2404</v>
      </c>
      <c r="C869" s="96" t="s">
        <v>1241</v>
      </c>
      <c r="D869" s="96" t="s">
        <v>2433</v>
      </c>
      <c r="E869" s="96" t="s">
        <v>2434</v>
      </c>
      <c r="F869" s="96" t="s">
        <v>2435</v>
      </c>
      <c r="G869" s="88">
        <v>0</v>
      </c>
      <c r="H869" s="91">
        <v>0</v>
      </c>
      <c r="I869" s="100" t="s">
        <v>2405</v>
      </c>
    </row>
    <row r="870" spans="1:9">
      <c r="A870" s="95" t="s">
        <v>2407</v>
      </c>
      <c r="B870" s="96" t="s">
        <v>2404</v>
      </c>
      <c r="C870" s="96" t="s">
        <v>1241</v>
      </c>
      <c r="D870" s="96" t="s">
        <v>2436</v>
      </c>
      <c r="E870" s="96" t="s">
        <v>2437</v>
      </c>
      <c r="F870" s="96" t="s">
        <v>2438</v>
      </c>
      <c r="G870" s="88">
        <v>0</v>
      </c>
      <c r="H870" s="91">
        <v>0</v>
      </c>
      <c r="I870" s="100" t="s">
        <v>2405</v>
      </c>
    </row>
    <row r="871" spans="1:9">
      <c r="A871" s="95" t="s">
        <v>2407</v>
      </c>
      <c r="B871" s="96" t="s">
        <v>2404</v>
      </c>
      <c r="C871" s="96" t="s">
        <v>1241</v>
      </c>
      <c r="D871" s="96" t="s">
        <v>2439</v>
      </c>
      <c r="E871" s="96" t="s">
        <v>2440</v>
      </c>
      <c r="F871" s="96" t="s">
        <v>2441</v>
      </c>
      <c r="G871" s="88">
        <v>88479474271</v>
      </c>
      <c r="H871" s="91">
        <v>88.479474271000001</v>
      </c>
      <c r="I871" s="100" t="s">
        <v>2405</v>
      </c>
    </row>
    <row r="872" spans="1:9">
      <c r="A872" s="95" t="s">
        <v>2407</v>
      </c>
      <c r="B872" s="96" t="s">
        <v>2404</v>
      </c>
      <c r="C872" s="96" t="s">
        <v>1241</v>
      </c>
      <c r="D872" s="96" t="s">
        <v>2442</v>
      </c>
      <c r="E872" s="96" t="s">
        <v>2443</v>
      </c>
      <c r="F872" s="96" t="s">
        <v>2444</v>
      </c>
      <c r="G872" s="88">
        <v>-2541572236</v>
      </c>
      <c r="H872" s="91">
        <v>-2.5415722359999999</v>
      </c>
      <c r="I872" s="100" t="s">
        <v>2405</v>
      </c>
    </row>
    <row r="873" spans="1:9">
      <c r="A873" s="95" t="s">
        <v>2407</v>
      </c>
      <c r="B873" s="96" t="s">
        <v>2404</v>
      </c>
      <c r="C873" s="96" t="s">
        <v>1241</v>
      </c>
      <c r="D873" s="96" t="s">
        <v>2445</v>
      </c>
      <c r="E873" s="96" t="s">
        <v>2446</v>
      </c>
      <c r="F873" s="96" t="s">
        <v>2447</v>
      </c>
      <c r="G873" s="88">
        <v>3189338530987</v>
      </c>
      <c r="H873" s="91">
        <v>3189.338530987</v>
      </c>
      <c r="I873" s="100" t="s">
        <v>2405</v>
      </c>
    </row>
    <row r="874" spans="1:9">
      <c r="A874" s="95" t="s">
        <v>2407</v>
      </c>
      <c r="B874" s="96" t="s">
        <v>2404</v>
      </c>
      <c r="C874" s="96" t="s">
        <v>1241</v>
      </c>
      <c r="D874" s="96" t="s">
        <v>64</v>
      </c>
      <c r="E874" s="96" t="s">
        <v>2448</v>
      </c>
      <c r="F874" s="96" t="s">
        <v>2449</v>
      </c>
      <c r="G874" s="88">
        <v>3316980429170</v>
      </c>
      <c r="H874" s="91">
        <v>3316.9804291700002</v>
      </c>
      <c r="I874" s="100" t="s">
        <v>2405</v>
      </c>
    </row>
    <row r="875" spans="1:9">
      <c r="A875" s="95" t="s">
        <v>2407</v>
      </c>
      <c r="B875" s="96" t="s">
        <v>2404</v>
      </c>
      <c r="C875" s="96" t="s">
        <v>1241</v>
      </c>
      <c r="D875" s="96" t="s">
        <v>2450</v>
      </c>
      <c r="E875" s="96" t="s">
        <v>2451</v>
      </c>
      <c r="F875" s="96" t="s">
        <v>2452</v>
      </c>
      <c r="G875" s="88">
        <v>-127641898183</v>
      </c>
      <c r="H875" s="91">
        <v>-127.641898183</v>
      </c>
      <c r="I875" s="100" t="s">
        <v>2405</v>
      </c>
    </row>
    <row r="876" spans="1:9">
      <c r="A876" s="95" t="s">
        <v>2407</v>
      </c>
      <c r="B876" s="96" t="s">
        <v>2404</v>
      </c>
      <c r="C876" s="96" t="s">
        <v>1241</v>
      </c>
      <c r="D876" s="96" t="s">
        <v>2059</v>
      </c>
      <c r="E876" s="96" t="s">
        <v>2453</v>
      </c>
      <c r="F876" s="96" t="s">
        <v>2454</v>
      </c>
      <c r="G876" s="88">
        <v>265686685020</v>
      </c>
      <c r="H876" s="91">
        <v>265.68668502000003</v>
      </c>
      <c r="I876" s="100" t="s">
        <v>2405</v>
      </c>
    </row>
    <row r="877" spans="1:9">
      <c r="A877" s="95" t="s">
        <v>2407</v>
      </c>
      <c r="B877" s="96" t="s">
        <v>2404</v>
      </c>
      <c r="C877" s="96" t="s">
        <v>1241</v>
      </c>
      <c r="D877" s="96" t="s">
        <v>2455</v>
      </c>
      <c r="E877" s="96" t="s">
        <v>2456</v>
      </c>
      <c r="F877" s="96" t="s">
        <v>2457</v>
      </c>
      <c r="G877" s="88">
        <v>10944834261</v>
      </c>
      <c r="H877" s="91">
        <v>10.944834261</v>
      </c>
      <c r="I877" s="100" t="s">
        <v>2405</v>
      </c>
    </row>
    <row r="878" spans="1:9">
      <c r="A878" s="95" t="s">
        <v>2407</v>
      </c>
      <c r="B878" s="96" t="s">
        <v>2404</v>
      </c>
      <c r="C878" s="96" t="s">
        <v>1241</v>
      </c>
      <c r="D878" s="96" t="s">
        <v>2458</v>
      </c>
      <c r="E878" s="96" t="s">
        <v>2459</v>
      </c>
      <c r="F878" s="96" t="s">
        <v>2460</v>
      </c>
      <c r="G878" s="88">
        <v>245668326873</v>
      </c>
      <c r="H878" s="91">
        <v>245.66832687300001</v>
      </c>
      <c r="I878" s="100" t="s">
        <v>2405</v>
      </c>
    </row>
    <row r="879" spans="1:9">
      <c r="A879" s="95" t="s">
        <v>2407</v>
      </c>
      <c r="B879" s="96" t="s">
        <v>2404</v>
      </c>
      <c r="C879" s="96" t="s">
        <v>1241</v>
      </c>
      <c r="D879" s="96" t="s">
        <v>2461</v>
      </c>
      <c r="E879" s="96" t="s">
        <v>2462</v>
      </c>
      <c r="F879" s="96" t="s">
        <v>2463</v>
      </c>
      <c r="G879" s="88">
        <v>0</v>
      </c>
      <c r="H879" s="91">
        <v>0</v>
      </c>
      <c r="I879" s="100" t="s">
        <v>2405</v>
      </c>
    </row>
    <row r="880" spans="1:9">
      <c r="A880" s="95" t="s">
        <v>2407</v>
      </c>
      <c r="B880" s="96" t="s">
        <v>2404</v>
      </c>
      <c r="C880" s="96" t="s">
        <v>1241</v>
      </c>
      <c r="D880" s="96" t="s">
        <v>2059</v>
      </c>
      <c r="E880" s="96" t="s">
        <v>2453</v>
      </c>
      <c r="F880" s="96" t="s">
        <v>2454</v>
      </c>
      <c r="G880" s="88">
        <v>0</v>
      </c>
      <c r="H880" s="91">
        <v>0</v>
      </c>
      <c r="I880" s="100" t="s">
        <v>2405</v>
      </c>
    </row>
    <row r="881" spans="1:9">
      <c r="A881" s="95" t="s">
        <v>2407</v>
      </c>
      <c r="B881" s="96" t="s">
        <v>2404</v>
      </c>
      <c r="C881" s="96" t="s">
        <v>1241</v>
      </c>
      <c r="D881" s="96" t="s">
        <v>1753</v>
      </c>
      <c r="E881" s="96" t="s">
        <v>2464</v>
      </c>
      <c r="F881" s="96" t="s">
        <v>2465</v>
      </c>
      <c r="G881" s="88">
        <v>563859668023</v>
      </c>
      <c r="H881" s="91">
        <v>563.85966802300004</v>
      </c>
      <c r="I881" s="100" t="s">
        <v>2405</v>
      </c>
    </row>
    <row r="882" spans="1:9">
      <c r="A882" s="95" t="s">
        <v>2407</v>
      </c>
      <c r="B882" s="96" t="s">
        <v>2404</v>
      </c>
      <c r="C882" s="96" t="s">
        <v>1241</v>
      </c>
      <c r="D882" s="96" t="s">
        <v>1757</v>
      </c>
      <c r="E882" s="96" t="s">
        <v>2466</v>
      </c>
      <c r="F882" s="96" t="s">
        <v>2467</v>
      </c>
      <c r="G882" s="88">
        <v>32212164335</v>
      </c>
      <c r="H882" s="91">
        <v>32.212164334999997</v>
      </c>
      <c r="I882" s="100" t="s">
        <v>2405</v>
      </c>
    </row>
    <row r="883" spans="1:9">
      <c r="A883" s="95" t="s">
        <v>2407</v>
      </c>
      <c r="B883" s="96" t="s">
        <v>2404</v>
      </c>
      <c r="C883" s="96" t="s">
        <v>1241</v>
      </c>
      <c r="D883" s="96" t="s">
        <v>2468</v>
      </c>
      <c r="E883" s="96" t="s">
        <v>2469</v>
      </c>
      <c r="F883" s="96" t="s">
        <v>2470</v>
      </c>
      <c r="G883" s="88">
        <v>0</v>
      </c>
      <c r="H883" s="91">
        <v>0</v>
      </c>
      <c r="I883" s="100" t="s">
        <v>2405</v>
      </c>
    </row>
    <row r="884" spans="1:9">
      <c r="A884" s="95" t="s">
        <v>2407</v>
      </c>
      <c r="B884" s="96" t="s">
        <v>2404</v>
      </c>
      <c r="C884" s="96" t="s">
        <v>1241</v>
      </c>
      <c r="D884" s="96" t="s">
        <v>2471</v>
      </c>
      <c r="E884" s="96" t="s">
        <v>2472</v>
      </c>
      <c r="F884" s="96" t="s">
        <v>2473</v>
      </c>
      <c r="G884" s="88">
        <v>0</v>
      </c>
      <c r="H884" s="91">
        <v>0</v>
      </c>
      <c r="I884" s="100" t="s">
        <v>2405</v>
      </c>
    </row>
    <row r="885" spans="1:9">
      <c r="A885" s="95" t="s">
        <v>2407</v>
      </c>
      <c r="B885" s="96" t="s">
        <v>2404</v>
      </c>
      <c r="C885" s="96" t="s">
        <v>1241</v>
      </c>
      <c r="D885" s="96" t="s">
        <v>1767</v>
      </c>
      <c r="E885" s="96" t="s">
        <v>2474</v>
      </c>
      <c r="F885" s="96" t="s">
        <v>2475</v>
      </c>
      <c r="G885" s="88">
        <v>32280626335</v>
      </c>
      <c r="H885" s="91">
        <v>32.280626335000001</v>
      </c>
      <c r="I885" s="100" t="s">
        <v>2405</v>
      </c>
    </row>
    <row r="886" spans="1:9">
      <c r="A886" s="95" t="s">
        <v>2407</v>
      </c>
      <c r="B886" s="96" t="s">
        <v>2404</v>
      </c>
      <c r="C886" s="96" t="s">
        <v>1241</v>
      </c>
      <c r="D886" s="96" t="s">
        <v>2476</v>
      </c>
      <c r="E886" s="96" t="s">
        <v>2477</v>
      </c>
      <c r="F886" s="96" t="s">
        <v>2478</v>
      </c>
      <c r="G886" s="88">
        <v>-68462000</v>
      </c>
      <c r="H886" s="91">
        <v>-6.8461999999999995E-2</v>
      </c>
      <c r="I886" s="100" t="s">
        <v>2405</v>
      </c>
    </row>
    <row r="887" spans="1:9">
      <c r="A887" s="95" t="s">
        <v>2407</v>
      </c>
      <c r="B887" s="96" t="s">
        <v>2404</v>
      </c>
      <c r="C887" s="96" t="s">
        <v>1241</v>
      </c>
      <c r="D887" s="96" t="s">
        <v>70</v>
      </c>
      <c r="E887" s="96" t="s">
        <v>2061</v>
      </c>
      <c r="F887" s="96" t="s">
        <v>2479</v>
      </c>
      <c r="G887" s="88">
        <v>140435351011</v>
      </c>
      <c r="H887" s="91">
        <v>140.43535101099999</v>
      </c>
      <c r="I887" s="100" t="s">
        <v>2405</v>
      </c>
    </row>
    <row r="888" spans="1:9">
      <c r="A888" s="95" t="s">
        <v>2407</v>
      </c>
      <c r="B888" s="96" t="s">
        <v>2404</v>
      </c>
      <c r="C888" s="96" t="s">
        <v>1241</v>
      </c>
      <c r="D888" s="96" t="s">
        <v>1771</v>
      </c>
      <c r="E888" s="96" t="s">
        <v>2480</v>
      </c>
      <c r="F888" s="96" t="s">
        <v>2481</v>
      </c>
      <c r="G888" s="88">
        <v>64070331171</v>
      </c>
      <c r="H888" s="91">
        <v>64.070331171000007</v>
      </c>
      <c r="I888" s="100" t="s">
        <v>2405</v>
      </c>
    </row>
    <row r="889" spans="1:9">
      <c r="A889" s="95" t="s">
        <v>2407</v>
      </c>
      <c r="B889" s="96" t="s">
        <v>2404</v>
      </c>
      <c r="C889" s="96" t="s">
        <v>1241</v>
      </c>
      <c r="D889" s="96" t="s">
        <v>1773</v>
      </c>
      <c r="E889" s="96" t="s">
        <v>2482</v>
      </c>
      <c r="F889" s="96" t="s">
        <v>2483</v>
      </c>
      <c r="G889" s="88">
        <v>118488472072</v>
      </c>
      <c r="H889" s="91">
        <v>118.48847207199999</v>
      </c>
      <c r="I889" s="100" t="s">
        <v>2405</v>
      </c>
    </row>
    <row r="890" spans="1:9">
      <c r="A890" s="95" t="s">
        <v>2407</v>
      </c>
      <c r="B890" s="96" t="s">
        <v>2404</v>
      </c>
      <c r="C890" s="96" t="s">
        <v>1241</v>
      </c>
      <c r="D890" s="96" t="s">
        <v>1775</v>
      </c>
      <c r="E890" s="96" t="s">
        <v>2484</v>
      </c>
      <c r="F890" s="96" t="s">
        <v>2485</v>
      </c>
      <c r="G890" s="88">
        <v>-54418140901</v>
      </c>
      <c r="H890" s="91">
        <v>-54.418140901000001</v>
      </c>
      <c r="I890" s="100" t="s">
        <v>2405</v>
      </c>
    </row>
    <row r="891" spans="1:9">
      <c r="A891" s="95" t="s">
        <v>2407</v>
      </c>
      <c r="B891" s="96" t="s">
        <v>2404</v>
      </c>
      <c r="C891" s="96" t="s">
        <v>1241</v>
      </c>
      <c r="D891" s="96" t="s">
        <v>2486</v>
      </c>
      <c r="E891" s="96" t="s">
        <v>2487</v>
      </c>
      <c r="F891" s="96" t="s">
        <v>2488</v>
      </c>
      <c r="G891" s="88">
        <v>0</v>
      </c>
      <c r="H891" s="91">
        <v>0</v>
      </c>
      <c r="I891" s="100" t="s">
        <v>2405</v>
      </c>
    </row>
    <row r="892" spans="1:9">
      <c r="A892" s="95" t="s">
        <v>2407</v>
      </c>
      <c r="B892" s="96" t="s">
        <v>2404</v>
      </c>
      <c r="C892" s="96" t="s">
        <v>1241</v>
      </c>
      <c r="D892" s="96" t="s">
        <v>1773</v>
      </c>
      <c r="E892" s="96" t="s">
        <v>2482</v>
      </c>
      <c r="F892" s="96" t="s">
        <v>2489</v>
      </c>
      <c r="G892" s="88">
        <v>0</v>
      </c>
      <c r="H892" s="91">
        <v>0</v>
      </c>
      <c r="I892" s="100" t="s">
        <v>2405</v>
      </c>
    </row>
    <row r="893" spans="1:9">
      <c r="A893" s="95" t="s">
        <v>2407</v>
      </c>
      <c r="B893" s="96" t="s">
        <v>2404</v>
      </c>
      <c r="C893" s="96" t="s">
        <v>1241</v>
      </c>
      <c r="D893" s="96" t="s">
        <v>1775</v>
      </c>
      <c r="E893" s="96" t="s">
        <v>2484</v>
      </c>
      <c r="F893" s="96" t="s">
        <v>2490</v>
      </c>
      <c r="G893" s="88">
        <v>0</v>
      </c>
      <c r="H893" s="91">
        <v>0</v>
      </c>
      <c r="I893" s="100" t="s">
        <v>2405</v>
      </c>
    </row>
    <row r="894" spans="1:9">
      <c r="A894" s="95" t="s">
        <v>2407</v>
      </c>
      <c r="B894" s="96" t="s">
        <v>2404</v>
      </c>
      <c r="C894" s="96" t="s">
        <v>1241</v>
      </c>
      <c r="D894" s="96" t="s">
        <v>1781</v>
      </c>
      <c r="E894" s="96" t="s">
        <v>2491</v>
      </c>
      <c r="F894" s="96" t="s">
        <v>2492</v>
      </c>
      <c r="G894" s="88">
        <v>76365019840</v>
      </c>
      <c r="H894" s="91">
        <v>76.365019840000002</v>
      </c>
      <c r="I894" s="100" t="s">
        <v>2405</v>
      </c>
    </row>
    <row r="895" spans="1:9">
      <c r="A895" s="95" t="s">
        <v>2407</v>
      </c>
      <c r="B895" s="96" t="s">
        <v>2404</v>
      </c>
      <c r="C895" s="96" t="s">
        <v>1241</v>
      </c>
      <c r="D895" s="96" t="s">
        <v>1773</v>
      </c>
      <c r="E895" s="96" t="s">
        <v>2482</v>
      </c>
      <c r="F895" s="96" t="s">
        <v>2493</v>
      </c>
      <c r="G895" s="88">
        <v>90660109270</v>
      </c>
      <c r="H895" s="91">
        <v>90.660109270000007</v>
      </c>
      <c r="I895" s="100" t="s">
        <v>2405</v>
      </c>
    </row>
    <row r="896" spans="1:9">
      <c r="A896" s="95" t="s">
        <v>2407</v>
      </c>
      <c r="B896" s="96" t="s">
        <v>2404</v>
      </c>
      <c r="C896" s="96" t="s">
        <v>1241</v>
      </c>
      <c r="D896" s="96" t="s">
        <v>1775</v>
      </c>
      <c r="E896" s="96" t="s">
        <v>2484</v>
      </c>
      <c r="F896" s="96" t="s">
        <v>2494</v>
      </c>
      <c r="G896" s="88">
        <v>-14295089430</v>
      </c>
      <c r="H896" s="91">
        <v>-14.295089430000001</v>
      </c>
      <c r="I896" s="100" t="s">
        <v>2405</v>
      </c>
    </row>
    <row r="897" spans="1:9">
      <c r="A897" s="95" t="s">
        <v>2407</v>
      </c>
      <c r="B897" s="96" t="s">
        <v>2404</v>
      </c>
      <c r="C897" s="96" t="s">
        <v>1241</v>
      </c>
      <c r="D897" s="96" t="s">
        <v>2495</v>
      </c>
      <c r="E897" s="96" t="s">
        <v>2496</v>
      </c>
      <c r="F897" s="96" t="s">
        <v>2497</v>
      </c>
      <c r="G897" s="88">
        <v>0</v>
      </c>
      <c r="H897" s="91">
        <v>0</v>
      </c>
      <c r="I897" s="100" t="s">
        <v>2405</v>
      </c>
    </row>
    <row r="898" spans="1:9">
      <c r="A898" s="95" t="s">
        <v>2407</v>
      </c>
      <c r="B898" s="96" t="s">
        <v>2404</v>
      </c>
      <c r="C898" s="96" t="s">
        <v>1241</v>
      </c>
      <c r="D898" s="96" t="s">
        <v>1802</v>
      </c>
      <c r="E898" s="96" t="s">
        <v>2498</v>
      </c>
      <c r="F898" s="96" t="s">
        <v>2499</v>
      </c>
      <c r="G898" s="88">
        <v>0</v>
      </c>
      <c r="H898" s="91">
        <v>0</v>
      </c>
      <c r="I898" s="100" t="s">
        <v>2405</v>
      </c>
    </row>
    <row r="899" spans="1:9">
      <c r="A899" s="95" t="s">
        <v>2407</v>
      </c>
      <c r="B899" s="96" t="s">
        <v>2404</v>
      </c>
      <c r="C899" s="96" t="s">
        <v>1241</v>
      </c>
      <c r="D899" s="96" t="s">
        <v>1773</v>
      </c>
      <c r="E899" s="96" t="s">
        <v>2482</v>
      </c>
      <c r="F899" s="96" t="s">
        <v>2500</v>
      </c>
      <c r="G899" s="88">
        <v>0</v>
      </c>
      <c r="H899" s="91">
        <v>0</v>
      </c>
      <c r="I899" s="100" t="s">
        <v>2405</v>
      </c>
    </row>
    <row r="900" spans="1:9">
      <c r="A900" s="95" t="s">
        <v>2407</v>
      </c>
      <c r="B900" s="96" t="s">
        <v>2404</v>
      </c>
      <c r="C900" s="96" t="s">
        <v>1241</v>
      </c>
      <c r="D900" s="96" t="s">
        <v>1775</v>
      </c>
      <c r="E900" s="96" t="s">
        <v>2484</v>
      </c>
      <c r="F900" s="96" t="s">
        <v>2501</v>
      </c>
      <c r="G900" s="88">
        <v>0</v>
      </c>
      <c r="H900" s="91">
        <v>0</v>
      </c>
      <c r="I900" s="100" t="s">
        <v>2405</v>
      </c>
    </row>
    <row r="901" spans="1:9">
      <c r="A901" s="95" t="s">
        <v>2407</v>
      </c>
      <c r="B901" s="96" t="s">
        <v>2404</v>
      </c>
      <c r="C901" s="96" t="s">
        <v>1241</v>
      </c>
      <c r="D901" s="96" t="s">
        <v>2063</v>
      </c>
      <c r="E901" s="96" t="s">
        <v>2502</v>
      </c>
      <c r="F901" s="96" t="s">
        <v>2503</v>
      </c>
      <c r="G901" s="88">
        <v>51830226435</v>
      </c>
      <c r="H901" s="91">
        <v>51.830226435</v>
      </c>
      <c r="I901" s="100" t="s">
        <v>2405</v>
      </c>
    </row>
    <row r="902" spans="1:9">
      <c r="A902" s="95" t="s">
        <v>2407</v>
      </c>
      <c r="B902" s="96" t="s">
        <v>2404</v>
      </c>
      <c r="C902" s="96" t="s">
        <v>1241</v>
      </c>
      <c r="D902" s="96" t="s">
        <v>1812</v>
      </c>
      <c r="E902" s="96" t="s">
        <v>2504</v>
      </c>
      <c r="F902" s="96" t="s">
        <v>2505</v>
      </c>
      <c r="G902" s="88">
        <v>0</v>
      </c>
      <c r="H902" s="91">
        <v>0</v>
      </c>
      <c r="I902" s="100" t="s">
        <v>2405</v>
      </c>
    </row>
    <row r="903" spans="1:9">
      <c r="A903" s="95" t="s">
        <v>2407</v>
      </c>
      <c r="B903" s="96" t="s">
        <v>2404</v>
      </c>
      <c r="C903" s="96" t="s">
        <v>1241</v>
      </c>
      <c r="D903" s="96" t="s">
        <v>2506</v>
      </c>
      <c r="E903" s="96" t="s">
        <v>2507</v>
      </c>
      <c r="F903" s="96" t="s">
        <v>2508</v>
      </c>
      <c r="G903" s="88">
        <v>51830226435</v>
      </c>
      <c r="H903" s="91">
        <v>51.830226435</v>
      </c>
      <c r="I903" s="100" t="s">
        <v>2405</v>
      </c>
    </row>
    <row r="904" spans="1:9">
      <c r="A904" s="95" t="s">
        <v>2407</v>
      </c>
      <c r="B904" s="96" t="s">
        <v>2404</v>
      </c>
      <c r="C904" s="96" t="s">
        <v>1241</v>
      </c>
      <c r="D904" s="96" t="s">
        <v>1824</v>
      </c>
      <c r="E904" s="96" t="s">
        <v>2509</v>
      </c>
      <c r="F904" s="96" t="s">
        <v>2510</v>
      </c>
      <c r="G904" s="88">
        <v>0</v>
      </c>
      <c r="H904" s="91">
        <v>0</v>
      </c>
      <c r="I904" s="100" t="s">
        <v>2405</v>
      </c>
    </row>
    <row r="905" spans="1:9">
      <c r="A905" s="95" t="s">
        <v>2407</v>
      </c>
      <c r="B905" s="96" t="s">
        <v>2404</v>
      </c>
      <c r="C905" s="96" t="s">
        <v>1241</v>
      </c>
      <c r="D905" s="96" t="s">
        <v>2511</v>
      </c>
      <c r="E905" s="96" t="s">
        <v>2512</v>
      </c>
      <c r="F905" s="96" t="s">
        <v>2513</v>
      </c>
      <c r="G905" s="88">
        <v>0</v>
      </c>
      <c r="H905" s="91">
        <v>0</v>
      </c>
      <c r="I905" s="100" t="s">
        <v>2405</v>
      </c>
    </row>
    <row r="906" spans="1:9">
      <c r="A906" s="95" t="s">
        <v>2407</v>
      </c>
      <c r="B906" s="96" t="s">
        <v>2404</v>
      </c>
      <c r="C906" s="96" t="s">
        <v>1241</v>
      </c>
      <c r="D906" s="96" t="s">
        <v>1836</v>
      </c>
      <c r="E906" s="96" t="s">
        <v>2514</v>
      </c>
      <c r="F906" s="96" t="s">
        <v>2515</v>
      </c>
      <c r="G906" s="88">
        <v>0</v>
      </c>
      <c r="H906" s="91">
        <v>0</v>
      </c>
      <c r="I906" s="100" t="s">
        <v>2405</v>
      </c>
    </row>
    <row r="907" spans="1:9">
      <c r="A907" s="95" t="s">
        <v>2407</v>
      </c>
      <c r="B907" s="96" t="s">
        <v>2404</v>
      </c>
      <c r="C907" s="96" t="s">
        <v>1241</v>
      </c>
      <c r="D907" s="96" t="s">
        <v>74</v>
      </c>
      <c r="E907" s="96" t="s">
        <v>2064</v>
      </c>
      <c r="F907" s="96" t="s">
        <v>2516</v>
      </c>
      <c r="G907" s="88">
        <v>339341017151</v>
      </c>
      <c r="H907" s="91">
        <v>339.34101715100002</v>
      </c>
      <c r="I907" s="100" t="s">
        <v>2405</v>
      </c>
    </row>
    <row r="908" spans="1:9">
      <c r="A908" s="95" t="s">
        <v>2407</v>
      </c>
      <c r="B908" s="96" t="s">
        <v>2404</v>
      </c>
      <c r="C908" s="96" t="s">
        <v>1241</v>
      </c>
      <c r="D908" s="96" t="s">
        <v>2517</v>
      </c>
      <c r="E908" s="96" t="s">
        <v>2518</v>
      </c>
      <c r="F908" s="96" t="s">
        <v>2519</v>
      </c>
      <c r="G908" s="88">
        <v>29493950775</v>
      </c>
      <c r="H908" s="91">
        <v>29.493950774999998</v>
      </c>
      <c r="I908" s="100" t="s">
        <v>2405</v>
      </c>
    </row>
    <row r="909" spans="1:9">
      <c r="A909" s="95" t="s">
        <v>2407</v>
      </c>
      <c r="B909" s="96" t="s">
        <v>2404</v>
      </c>
      <c r="C909" s="96" t="s">
        <v>1241</v>
      </c>
      <c r="D909" s="96" t="s">
        <v>1828</v>
      </c>
      <c r="E909" s="96" t="s">
        <v>2520</v>
      </c>
      <c r="F909" s="96" t="s">
        <v>2521</v>
      </c>
      <c r="G909" s="88">
        <v>59072312742</v>
      </c>
      <c r="H909" s="91">
        <v>59.072312742000001</v>
      </c>
      <c r="I909" s="100" t="s">
        <v>2405</v>
      </c>
    </row>
    <row r="910" spans="1:9">
      <c r="A910" s="95" t="s">
        <v>2407</v>
      </c>
      <c r="B910" s="96" t="s">
        <v>2404</v>
      </c>
      <c r="C910" s="96" t="s">
        <v>1241</v>
      </c>
      <c r="D910" s="96" t="s">
        <v>74</v>
      </c>
      <c r="E910" s="96" t="s">
        <v>2064</v>
      </c>
      <c r="F910" s="96" t="s">
        <v>2522</v>
      </c>
      <c r="G910" s="88">
        <v>9248006055</v>
      </c>
      <c r="H910" s="91">
        <v>9.2480060549999994</v>
      </c>
      <c r="I910" s="100" t="s">
        <v>2405</v>
      </c>
    </row>
    <row r="911" spans="1:9">
      <c r="A911" s="95" t="s">
        <v>2407</v>
      </c>
      <c r="B911" s="96" t="s">
        <v>2404</v>
      </c>
      <c r="C911" s="96" t="s">
        <v>1241</v>
      </c>
      <c r="D911" s="96" t="s">
        <v>76</v>
      </c>
      <c r="E911" s="96" t="s">
        <v>75</v>
      </c>
      <c r="F911" s="96" t="s">
        <v>1643</v>
      </c>
      <c r="G911" s="88">
        <v>7840201970157</v>
      </c>
      <c r="H911" s="91">
        <v>7840.2019701569998</v>
      </c>
      <c r="I911" s="100" t="s">
        <v>2405</v>
      </c>
    </row>
    <row r="912" spans="1:9">
      <c r="A912" s="95" t="s">
        <v>2407</v>
      </c>
      <c r="B912" s="96" t="s">
        <v>2404</v>
      </c>
      <c r="C912" s="96" t="s">
        <v>1241</v>
      </c>
      <c r="D912" s="96" t="s">
        <v>2523</v>
      </c>
      <c r="E912" s="96" t="s">
        <v>487</v>
      </c>
      <c r="F912" s="96" t="s">
        <v>2524</v>
      </c>
      <c r="G912" s="88">
        <v>4724040649380</v>
      </c>
      <c r="H912" s="91">
        <v>4724.0406493800001</v>
      </c>
      <c r="I912" s="100" t="s">
        <v>2405</v>
      </c>
    </row>
    <row r="913" spans="1:9">
      <c r="A913" s="95" t="s">
        <v>2407</v>
      </c>
      <c r="B913" s="96" t="s">
        <v>2404</v>
      </c>
      <c r="C913" s="96" t="s">
        <v>1241</v>
      </c>
      <c r="D913" s="96" t="s">
        <v>82</v>
      </c>
      <c r="E913" s="96" t="s">
        <v>2070</v>
      </c>
      <c r="F913" s="96" t="s">
        <v>2525</v>
      </c>
      <c r="G913" s="88">
        <v>4721507019953</v>
      </c>
      <c r="H913" s="91">
        <v>4721.5070199530001</v>
      </c>
      <c r="I913" s="100" t="s">
        <v>2405</v>
      </c>
    </row>
    <row r="914" spans="1:9">
      <c r="A914" s="95" t="s">
        <v>2407</v>
      </c>
      <c r="B914" s="96" t="s">
        <v>2404</v>
      </c>
      <c r="C914" s="96" t="s">
        <v>1241</v>
      </c>
      <c r="D914" s="96" t="s">
        <v>2526</v>
      </c>
      <c r="E914" s="96" t="s">
        <v>2527</v>
      </c>
      <c r="F914" s="96" t="s">
        <v>2528</v>
      </c>
      <c r="G914" s="88">
        <v>2698851765562</v>
      </c>
      <c r="H914" s="91">
        <v>2698.8517655619999</v>
      </c>
      <c r="I914" s="100" t="s">
        <v>2405</v>
      </c>
    </row>
    <row r="915" spans="1:9">
      <c r="A915" s="95" t="s">
        <v>2407</v>
      </c>
      <c r="B915" s="96" t="s">
        <v>2404</v>
      </c>
      <c r="C915" s="96" t="s">
        <v>1241</v>
      </c>
      <c r="D915" s="96" t="s">
        <v>2529</v>
      </c>
      <c r="E915" s="96" t="s">
        <v>2530</v>
      </c>
      <c r="F915" s="96" t="s">
        <v>2531</v>
      </c>
      <c r="G915" s="88">
        <v>1561763198513</v>
      </c>
      <c r="H915" s="91">
        <v>1561.7631985129999</v>
      </c>
      <c r="I915" s="100" t="s">
        <v>2405</v>
      </c>
    </row>
    <row r="916" spans="1:9">
      <c r="A916" s="95" t="s">
        <v>2407</v>
      </c>
      <c r="B916" s="96" t="s">
        <v>2404</v>
      </c>
      <c r="C916" s="96" t="s">
        <v>1241</v>
      </c>
      <c r="D916" s="96" t="s">
        <v>2532</v>
      </c>
      <c r="E916" s="96" t="s">
        <v>2533</v>
      </c>
      <c r="F916" s="96" t="s">
        <v>2534</v>
      </c>
      <c r="G916" s="88">
        <v>146733413029</v>
      </c>
      <c r="H916" s="91">
        <v>146.73341302899999</v>
      </c>
      <c r="I916" s="100" t="s">
        <v>2405</v>
      </c>
    </row>
    <row r="917" spans="1:9">
      <c r="A917" s="95" t="s">
        <v>2407</v>
      </c>
      <c r="B917" s="96" t="s">
        <v>2404</v>
      </c>
      <c r="C917" s="96" t="s">
        <v>1241</v>
      </c>
      <c r="D917" s="96" t="s">
        <v>2535</v>
      </c>
      <c r="E917" s="96" t="s">
        <v>2536</v>
      </c>
      <c r="F917" s="96" t="s">
        <v>2537</v>
      </c>
      <c r="G917" s="88">
        <v>4615048744</v>
      </c>
      <c r="H917" s="91">
        <v>4.6150487440000001</v>
      </c>
      <c r="I917" s="100" t="s">
        <v>2405</v>
      </c>
    </row>
    <row r="918" spans="1:9">
      <c r="A918" s="95" t="s">
        <v>2407</v>
      </c>
      <c r="B918" s="96" t="s">
        <v>2404</v>
      </c>
      <c r="C918" s="96" t="s">
        <v>1241</v>
      </c>
      <c r="D918" s="96" t="s">
        <v>1846</v>
      </c>
      <c r="E918" s="96" t="s">
        <v>2538</v>
      </c>
      <c r="F918" s="96" t="s">
        <v>2539</v>
      </c>
      <c r="G918" s="88">
        <v>18665038242</v>
      </c>
      <c r="H918" s="91">
        <v>18.665038242000001</v>
      </c>
      <c r="I918" s="100" t="s">
        <v>2405</v>
      </c>
    </row>
    <row r="919" spans="1:9">
      <c r="A919" s="95" t="s">
        <v>2407</v>
      </c>
      <c r="B919" s="96" t="s">
        <v>2404</v>
      </c>
      <c r="C919" s="96" t="s">
        <v>1241</v>
      </c>
      <c r="D919" s="96" t="s">
        <v>2540</v>
      </c>
      <c r="E919" s="96" t="s">
        <v>2541</v>
      </c>
      <c r="F919" s="96" t="s">
        <v>2542</v>
      </c>
      <c r="G919" s="88">
        <v>256192581810</v>
      </c>
      <c r="H919" s="91">
        <v>256.19258180999998</v>
      </c>
      <c r="I919" s="100" t="s">
        <v>2405</v>
      </c>
    </row>
    <row r="920" spans="1:9">
      <c r="A920" s="95" t="s">
        <v>2407</v>
      </c>
      <c r="B920" s="96" t="s">
        <v>2404</v>
      </c>
      <c r="C920" s="96" t="s">
        <v>1241</v>
      </c>
      <c r="D920" s="96" t="s">
        <v>2543</v>
      </c>
      <c r="E920" s="96" t="s">
        <v>2544</v>
      </c>
      <c r="F920" s="96" t="s">
        <v>2545</v>
      </c>
      <c r="G920" s="88">
        <v>0</v>
      </c>
      <c r="H920" s="91">
        <v>0</v>
      </c>
      <c r="I920" s="100" t="s">
        <v>2405</v>
      </c>
    </row>
    <row r="921" spans="1:9">
      <c r="A921" s="95" t="s">
        <v>2407</v>
      </c>
      <c r="B921" s="96" t="s">
        <v>2404</v>
      </c>
      <c r="C921" s="96" t="s">
        <v>1241</v>
      </c>
      <c r="D921" s="96" t="s">
        <v>2546</v>
      </c>
      <c r="E921" s="96" t="s">
        <v>2547</v>
      </c>
      <c r="F921" s="96" t="s">
        <v>2548</v>
      </c>
      <c r="G921" s="88">
        <v>0</v>
      </c>
      <c r="H921" s="91">
        <v>0</v>
      </c>
      <c r="I921" s="100" t="s">
        <v>2405</v>
      </c>
    </row>
    <row r="922" spans="1:9">
      <c r="A922" s="95" t="s">
        <v>2407</v>
      </c>
      <c r="B922" s="96" t="s">
        <v>2404</v>
      </c>
      <c r="C922" s="96" t="s">
        <v>1241</v>
      </c>
      <c r="D922" s="96" t="s">
        <v>2549</v>
      </c>
      <c r="E922" s="96" t="s">
        <v>2550</v>
      </c>
      <c r="F922" s="96" t="s">
        <v>2551</v>
      </c>
      <c r="G922" s="88">
        <v>34685974053</v>
      </c>
      <c r="H922" s="91">
        <v>34.685974053000002</v>
      </c>
      <c r="I922" s="100" t="s">
        <v>2405</v>
      </c>
    </row>
    <row r="923" spans="1:9">
      <c r="A923" s="95" t="s">
        <v>2407</v>
      </c>
      <c r="B923" s="96" t="s">
        <v>2404</v>
      </c>
      <c r="C923" s="96" t="s">
        <v>1241</v>
      </c>
      <c r="D923" s="96" t="s">
        <v>2552</v>
      </c>
      <c r="E923" s="96" t="s">
        <v>2553</v>
      </c>
      <c r="F923" s="96" t="s">
        <v>2554</v>
      </c>
      <c r="G923" s="88">
        <v>0</v>
      </c>
      <c r="H923" s="91">
        <v>0</v>
      </c>
      <c r="I923" s="100" t="s">
        <v>2405</v>
      </c>
    </row>
    <row r="924" spans="1:9">
      <c r="A924" s="95" t="s">
        <v>2407</v>
      </c>
      <c r="B924" s="96" t="s">
        <v>2404</v>
      </c>
      <c r="C924" s="96" t="s">
        <v>1241</v>
      </c>
      <c r="D924" s="96" t="s">
        <v>2555</v>
      </c>
      <c r="E924" s="96" t="s">
        <v>2556</v>
      </c>
      <c r="F924" s="96" t="s">
        <v>2557</v>
      </c>
      <c r="G924" s="88">
        <v>0</v>
      </c>
      <c r="H924" s="91">
        <v>0</v>
      </c>
      <c r="I924" s="100" t="s">
        <v>2405</v>
      </c>
    </row>
    <row r="925" spans="1:9">
      <c r="A925" s="95" t="s">
        <v>2407</v>
      </c>
      <c r="B925" s="96" t="s">
        <v>2404</v>
      </c>
      <c r="C925" s="96" t="s">
        <v>1241</v>
      </c>
      <c r="D925" s="96" t="s">
        <v>86</v>
      </c>
      <c r="E925" s="96" t="s">
        <v>2073</v>
      </c>
      <c r="F925" s="96" t="s">
        <v>2558</v>
      </c>
      <c r="G925" s="88">
        <v>2533629427</v>
      </c>
      <c r="H925" s="91">
        <v>2.5336294270000002</v>
      </c>
      <c r="I925" s="100" t="s">
        <v>2405</v>
      </c>
    </row>
    <row r="926" spans="1:9">
      <c r="A926" s="95" t="s">
        <v>2407</v>
      </c>
      <c r="B926" s="96" t="s">
        <v>2404</v>
      </c>
      <c r="C926" s="96" t="s">
        <v>1241</v>
      </c>
      <c r="D926" s="96" t="s">
        <v>1866</v>
      </c>
      <c r="E926" s="96" t="s">
        <v>2559</v>
      </c>
      <c r="F926" s="96" t="s">
        <v>2560</v>
      </c>
      <c r="G926" s="88">
        <v>0</v>
      </c>
      <c r="H926" s="91">
        <v>0</v>
      </c>
      <c r="I926" s="100" t="s">
        <v>2405</v>
      </c>
    </row>
    <row r="927" spans="1:9">
      <c r="A927" s="95" t="s">
        <v>2407</v>
      </c>
      <c r="B927" s="96" t="s">
        <v>2404</v>
      </c>
      <c r="C927" s="96" t="s">
        <v>1241</v>
      </c>
      <c r="D927" s="96" t="s">
        <v>2561</v>
      </c>
      <c r="E927" s="96" t="s">
        <v>2562</v>
      </c>
      <c r="F927" s="96" t="s">
        <v>2563</v>
      </c>
      <c r="G927" s="88">
        <v>0</v>
      </c>
      <c r="H927" s="91">
        <v>0</v>
      </c>
      <c r="I927" s="100" t="s">
        <v>2405</v>
      </c>
    </row>
    <row r="928" spans="1:9">
      <c r="A928" s="95" t="s">
        <v>2407</v>
      </c>
      <c r="B928" s="96" t="s">
        <v>2404</v>
      </c>
      <c r="C928" s="96" t="s">
        <v>1241</v>
      </c>
      <c r="D928" s="96" t="s">
        <v>2564</v>
      </c>
      <c r="E928" s="96" t="s">
        <v>2565</v>
      </c>
      <c r="F928" s="96" t="s">
        <v>2566</v>
      </c>
      <c r="G928" s="88">
        <v>2533629427</v>
      </c>
      <c r="H928" s="91">
        <v>2.5336294270000002</v>
      </c>
      <c r="I928" s="100" t="s">
        <v>2405</v>
      </c>
    </row>
    <row r="929" spans="1:9">
      <c r="A929" s="95" t="s">
        <v>2407</v>
      </c>
      <c r="B929" s="96" t="s">
        <v>2404</v>
      </c>
      <c r="C929" s="96" t="s">
        <v>1241</v>
      </c>
      <c r="D929" s="96" t="s">
        <v>2567</v>
      </c>
      <c r="E929" s="96" t="s">
        <v>2568</v>
      </c>
      <c r="F929" s="96" t="s">
        <v>2569</v>
      </c>
      <c r="G929" s="88">
        <v>0</v>
      </c>
      <c r="H929" s="91">
        <v>0</v>
      </c>
      <c r="I929" s="100" t="s">
        <v>2405</v>
      </c>
    </row>
    <row r="930" spans="1:9">
      <c r="A930" s="95" t="s">
        <v>2407</v>
      </c>
      <c r="B930" s="96" t="s">
        <v>2404</v>
      </c>
      <c r="C930" s="96" t="s">
        <v>1241</v>
      </c>
      <c r="D930" s="96" t="s">
        <v>1886</v>
      </c>
      <c r="E930" s="96" t="s">
        <v>2570</v>
      </c>
      <c r="F930" s="96" t="s">
        <v>2521</v>
      </c>
      <c r="G930" s="88">
        <v>0</v>
      </c>
      <c r="H930" s="91">
        <v>0</v>
      </c>
      <c r="I930" s="100" t="s">
        <v>2405</v>
      </c>
    </row>
    <row r="931" spans="1:9">
      <c r="A931" s="95" t="s">
        <v>2407</v>
      </c>
      <c r="B931" s="96" t="s">
        <v>2404</v>
      </c>
      <c r="C931" s="96" t="s">
        <v>1241</v>
      </c>
      <c r="D931" s="96" t="s">
        <v>1892</v>
      </c>
      <c r="E931" s="96" t="s">
        <v>2571</v>
      </c>
      <c r="F931" s="96" t="s">
        <v>2572</v>
      </c>
      <c r="G931" s="88">
        <v>0</v>
      </c>
      <c r="H931" s="91">
        <v>0</v>
      </c>
      <c r="I931" s="100" t="s">
        <v>2405</v>
      </c>
    </row>
    <row r="932" spans="1:9">
      <c r="A932" s="95" t="s">
        <v>2407</v>
      </c>
      <c r="B932" s="96" t="s">
        <v>2404</v>
      </c>
      <c r="C932" s="96" t="s">
        <v>1241</v>
      </c>
      <c r="D932" s="96" t="s">
        <v>1888</v>
      </c>
      <c r="E932" s="96" t="s">
        <v>2573</v>
      </c>
      <c r="F932" s="96" t="s">
        <v>2574</v>
      </c>
      <c r="G932" s="88">
        <v>0</v>
      </c>
      <c r="H932" s="91">
        <v>0</v>
      </c>
      <c r="I932" s="100" t="s">
        <v>2405</v>
      </c>
    </row>
    <row r="933" spans="1:9">
      <c r="A933" s="95" t="s">
        <v>2407</v>
      </c>
      <c r="B933" s="96" t="s">
        <v>2404</v>
      </c>
      <c r="C933" s="96" t="s">
        <v>1241</v>
      </c>
      <c r="D933" s="96" t="s">
        <v>2575</v>
      </c>
      <c r="E933" s="96" t="s">
        <v>2576</v>
      </c>
      <c r="F933" s="96" t="s">
        <v>2577</v>
      </c>
      <c r="G933" s="88">
        <v>0</v>
      </c>
      <c r="H933" s="91">
        <v>0</v>
      </c>
      <c r="I933" s="100" t="s">
        <v>2405</v>
      </c>
    </row>
    <row r="934" spans="1:9">
      <c r="A934" s="95" t="s">
        <v>2407</v>
      </c>
      <c r="B934" s="96" t="s">
        <v>2404</v>
      </c>
      <c r="C934" s="96" t="s">
        <v>1241</v>
      </c>
      <c r="D934" s="96" t="s">
        <v>2578</v>
      </c>
      <c r="E934" s="96" t="s">
        <v>2579</v>
      </c>
      <c r="F934" s="96" t="s">
        <v>2580</v>
      </c>
      <c r="G934" s="88">
        <v>0</v>
      </c>
      <c r="H934" s="91">
        <v>0</v>
      </c>
      <c r="I934" s="100" t="s">
        <v>2405</v>
      </c>
    </row>
    <row r="935" spans="1:9">
      <c r="A935" s="95" t="s">
        <v>2407</v>
      </c>
      <c r="B935" s="96" t="s">
        <v>2404</v>
      </c>
      <c r="C935" s="96" t="s">
        <v>1241</v>
      </c>
      <c r="D935" s="96" t="s">
        <v>2581</v>
      </c>
      <c r="E935" s="96" t="s">
        <v>2582</v>
      </c>
      <c r="F935" s="96" t="s">
        <v>2583</v>
      </c>
      <c r="G935" s="88">
        <v>3116161320777</v>
      </c>
      <c r="H935" s="91">
        <v>3116.1613207770001</v>
      </c>
      <c r="I935" s="100" t="s">
        <v>2405</v>
      </c>
    </row>
    <row r="936" spans="1:9">
      <c r="A936" s="95" t="s">
        <v>2407</v>
      </c>
      <c r="B936" s="96" t="s">
        <v>2404</v>
      </c>
      <c r="C936" s="96" t="s">
        <v>1241</v>
      </c>
      <c r="D936" s="96" t="s">
        <v>2584</v>
      </c>
      <c r="E936" s="96" t="s">
        <v>2585</v>
      </c>
      <c r="F936" s="96" t="s">
        <v>2586</v>
      </c>
      <c r="G936" s="88">
        <v>3116161320777</v>
      </c>
      <c r="H936" s="91">
        <v>3116.1613207770001</v>
      </c>
      <c r="I936" s="100" t="s">
        <v>2405</v>
      </c>
    </row>
    <row r="937" spans="1:9">
      <c r="A937" s="95" t="s">
        <v>2407</v>
      </c>
      <c r="B937" s="96" t="s">
        <v>2404</v>
      </c>
      <c r="C937" s="96" t="s">
        <v>1241</v>
      </c>
      <c r="D937" s="96" t="s">
        <v>2587</v>
      </c>
      <c r="E937" s="96" t="s">
        <v>2588</v>
      </c>
      <c r="F937" s="96" t="s">
        <v>2589</v>
      </c>
      <c r="G937" s="88">
        <v>2193201690000</v>
      </c>
      <c r="H937" s="91">
        <v>2193.2016899999999</v>
      </c>
      <c r="I937" s="100" t="s">
        <v>2405</v>
      </c>
    </row>
    <row r="938" spans="1:9">
      <c r="A938" s="95" t="s">
        <v>2407</v>
      </c>
      <c r="B938" s="96" t="s">
        <v>2404</v>
      </c>
      <c r="C938" s="96" t="s">
        <v>1241</v>
      </c>
      <c r="D938" s="96" t="s">
        <v>1900</v>
      </c>
      <c r="E938" s="96" t="s">
        <v>2590</v>
      </c>
      <c r="F938" s="96" t="s">
        <v>2591</v>
      </c>
      <c r="G938" s="88">
        <v>61233761416</v>
      </c>
      <c r="H938" s="91">
        <v>61.233761416</v>
      </c>
      <c r="I938" s="100" t="s">
        <v>2405</v>
      </c>
    </row>
    <row r="939" spans="1:9">
      <c r="A939" s="95" t="s">
        <v>2407</v>
      </c>
      <c r="B939" s="96" t="s">
        <v>2404</v>
      </c>
      <c r="C939" s="96" t="s">
        <v>1241</v>
      </c>
      <c r="D939" s="96" t="s">
        <v>2592</v>
      </c>
      <c r="E939" s="96" t="s">
        <v>2593</v>
      </c>
      <c r="F939" s="96" t="s">
        <v>2594</v>
      </c>
      <c r="G939" s="88">
        <v>0</v>
      </c>
      <c r="H939" s="91">
        <v>0</v>
      </c>
      <c r="I939" s="100" t="s">
        <v>2405</v>
      </c>
    </row>
    <row r="940" spans="1:9">
      <c r="A940" s="95" t="s">
        <v>2407</v>
      </c>
      <c r="B940" s="96" t="s">
        <v>2404</v>
      </c>
      <c r="C940" s="96" t="s">
        <v>1241</v>
      </c>
      <c r="D940" s="96" t="s">
        <v>1906</v>
      </c>
      <c r="E940" s="96" t="s">
        <v>2595</v>
      </c>
      <c r="F940" s="96" t="s">
        <v>2596</v>
      </c>
      <c r="G940" s="88">
        <v>-6272937166</v>
      </c>
      <c r="H940" s="91">
        <v>-6.2729371660000002</v>
      </c>
      <c r="I940" s="100" t="s">
        <v>2405</v>
      </c>
    </row>
    <row r="941" spans="1:9">
      <c r="A941" s="95" t="s">
        <v>2407</v>
      </c>
      <c r="B941" s="96" t="s">
        <v>2404</v>
      </c>
      <c r="C941" s="96" t="s">
        <v>1241</v>
      </c>
      <c r="D941" s="96" t="s">
        <v>2597</v>
      </c>
      <c r="E941" s="96" t="s">
        <v>2598</v>
      </c>
      <c r="F941" s="96" t="s">
        <v>2599</v>
      </c>
      <c r="G941" s="88">
        <v>0</v>
      </c>
      <c r="H941" s="91">
        <v>0</v>
      </c>
      <c r="I941" s="100" t="s">
        <v>2405</v>
      </c>
    </row>
    <row r="942" spans="1:9">
      <c r="A942" s="95" t="s">
        <v>2407</v>
      </c>
      <c r="B942" s="96" t="s">
        <v>2404</v>
      </c>
      <c r="C942" s="96" t="s">
        <v>1241</v>
      </c>
      <c r="D942" s="96" t="s">
        <v>1910</v>
      </c>
      <c r="E942" s="96" t="s">
        <v>2600</v>
      </c>
      <c r="F942" s="96" t="s">
        <v>2601</v>
      </c>
      <c r="G942" s="88">
        <v>0</v>
      </c>
      <c r="H942" s="91">
        <v>0</v>
      </c>
      <c r="I942" s="100" t="s">
        <v>2405</v>
      </c>
    </row>
    <row r="943" spans="1:9">
      <c r="A943" s="95" t="s">
        <v>2407</v>
      </c>
      <c r="B943" s="96" t="s">
        <v>2404</v>
      </c>
      <c r="C943" s="96" t="s">
        <v>1241</v>
      </c>
      <c r="D943" s="96" t="s">
        <v>2602</v>
      </c>
      <c r="E943" s="96" t="s">
        <v>2603</v>
      </c>
      <c r="F943" s="96" t="s">
        <v>2604</v>
      </c>
      <c r="G943" s="88">
        <v>400000000</v>
      </c>
      <c r="H943" s="91">
        <v>0.4</v>
      </c>
      <c r="I943" s="100" t="s">
        <v>2405</v>
      </c>
    </row>
    <row r="944" spans="1:9">
      <c r="A944" s="95" t="s">
        <v>2407</v>
      </c>
      <c r="B944" s="96" t="s">
        <v>2404</v>
      </c>
      <c r="C944" s="96" t="s">
        <v>1241</v>
      </c>
      <c r="D944" s="96" t="s">
        <v>2605</v>
      </c>
      <c r="E944" s="96" t="s">
        <v>2606</v>
      </c>
      <c r="F944" s="96" t="s">
        <v>2607</v>
      </c>
      <c r="G944" s="88">
        <v>0</v>
      </c>
      <c r="H944" s="91">
        <v>0</v>
      </c>
      <c r="I944" s="100" t="s">
        <v>2405</v>
      </c>
    </row>
    <row r="945" spans="1:9">
      <c r="A945" s="95" t="s">
        <v>2407</v>
      </c>
      <c r="B945" s="96" t="s">
        <v>2404</v>
      </c>
      <c r="C945" s="96" t="s">
        <v>1241</v>
      </c>
      <c r="D945" s="96" t="s">
        <v>2608</v>
      </c>
      <c r="E945" s="96" t="s">
        <v>2609</v>
      </c>
      <c r="F945" s="96" t="s">
        <v>2610</v>
      </c>
      <c r="G945" s="88">
        <v>0</v>
      </c>
      <c r="H945" s="91">
        <v>0</v>
      </c>
      <c r="I945" s="100" t="s">
        <v>2405</v>
      </c>
    </row>
    <row r="946" spans="1:9">
      <c r="A946" s="95" t="s">
        <v>2407</v>
      </c>
      <c r="B946" s="96" t="s">
        <v>2404</v>
      </c>
      <c r="C946" s="96" t="s">
        <v>1241</v>
      </c>
      <c r="D946" s="96" t="s">
        <v>2611</v>
      </c>
      <c r="E946" s="96" t="s">
        <v>2612</v>
      </c>
      <c r="F946" s="96" t="s">
        <v>2613</v>
      </c>
      <c r="G946" s="88">
        <v>831387693395</v>
      </c>
      <c r="H946" s="91">
        <v>831.38769339500004</v>
      </c>
      <c r="I946" s="100" t="s">
        <v>2405</v>
      </c>
    </row>
    <row r="947" spans="1:9">
      <c r="A947" s="95" t="s">
        <v>2407</v>
      </c>
      <c r="B947" s="96" t="s">
        <v>2404</v>
      </c>
      <c r="C947" s="96" t="s">
        <v>1241</v>
      </c>
      <c r="D947" s="96" t="s">
        <v>2614</v>
      </c>
      <c r="E947" s="96" t="s">
        <v>2615</v>
      </c>
      <c r="F947" s="96" t="s">
        <v>2616</v>
      </c>
      <c r="G947" s="88">
        <v>0</v>
      </c>
      <c r="H947" s="91">
        <v>0</v>
      </c>
      <c r="I947" s="100" t="s">
        <v>2405</v>
      </c>
    </row>
    <row r="948" spans="1:9">
      <c r="A948" s="95" t="s">
        <v>2407</v>
      </c>
      <c r="B948" s="96" t="s">
        <v>2404</v>
      </c>
      <c r="C948" s="96" t="s">
        <v>1241</v>
      </c>
      <c r="D948" s="96" t="s">
        <v>2617</v>
      </c>
      <c r="E948" s="96" t="s">
        <v>2618</v>
      </c>
      <c r="F948" s="96" t="s">
        <v>2619</v>
      </c>
      <c r="G948" s="88">
        <v>0</v>
      </c>
      <c r="H948" s="91">
        <v>0</v>
      </c>
      <c r="I948" s="100" t="s">
        <v>2405</v>
      </c>
    </row>
    <row r="949" spans="1:9">
      <c r="A949" s="95" t="s">
        <v>2407</v>
      </c>
      <c r="B949" s="96" t="s">
        <v>2404</v>
      </c>
      <c r="C949" s="96" t="s">
        <v>1241</v>
      </c>
      <c r="D949" s="96" t="s">
        <v>2620</v>
      </c>
      <c r="E949" s="96" t="s">
        <v>2621</v>
      </c>
      <c r="F949" s="96" t="s">
        <v>2622</v>
      </c>
      <c r="G949" s="88">
        <v>0</v>
      </c>
      <c r="H949" s="91">
        <v>0</v>
      </c>
      <c r="I949" s="100" t="s">
        <v>2405</v>
      </c>
    </row>
    <row r="950" spans="1:9">
      <c r="A950" s="95" t="s">
        <v>2407</v>
      </c>
      <c r="B950" s="96" t="s">
        <v>2404</v>
      </c>
      <c r="C950" s="96" t="s">
        <v>1241</v>
      </c>
      <c r="D950" s="96" t="s">
        <v>2617</v>
      </c>
      <c r="E950" s="96" t="s">
        <v>2618</v>
      </c>
      <c r="F950" s="96" t="s">
        <v>2623</v>
      </c>
      <c r="G950" s="88">
        <v>0</v>
      </c>
      <c r="H950" s="91">
        <v>0</v>
      </c>
      <c r="I950" s="100" t="s">
        <v>2405</v>
      </c>
    </row>
    <row r="951" spans="1:9">
      <c r="A951" s="95" t="s">
        <v>2407</v>
      </c>
      <c r="B951" s="96" t="s">
        <v>2404</v>
      </c>
      <c r="C951" s="96" t="s">
        <v>1241</v>
      </c>
      <c r="D951" s="96" t="s">
        <v>2624</v>
      </c>
      <c r="E951" s="96" t="s">
        <v>2625</v>
      </c>
      <c r="F951" s="96" t="s">
        <v>1631</v>
      </c>
      <c r="G951" s="88">
        <v>0</v>
      </c>
      <c r="H951" s="91">
        <v>0</v>
      </c>
      <c r="I951" s="100" t="s">
        <v>2405</v>
      </c>
    </row>
    <row r="952" spans="1:9">
      <c r="A952" s="95" t="s">
        <v>2407</v>
      </c>
      <c r="B952" s="96" t="s">
        <v>2404</v>
      </c>
      <c r="C952" s="96" t="s">
        <v>1241</v>
      </c>
      <c r="D952" s="96" t="s">
        <v>2626</v>
      </c>
      <c r="E952" s="96" t="s">
        <v>2627</v>
      </c>
      <c r="F952" s="96" t="s">
        <v>2628</v>
      </c>
      <c r="G952" s="88">
        <v>7840201970157</v>
      </c>
      <c r="H952" s="91">
        <v>7840.2019701569998</v>
      </c>
      <c r="I952" s="100" t="s">
        <v>2405</v>
      </c>
    </row>
    <row r="953" spans="1:9">
      <c r="A953" s="95" t="s">
        <v>2407</v>
      </c>
      <c r="B953" s="96" t="s">
        <v>2404</v>
      </c>
      <c r="C953" s="96" t="s">
        <v>1241</v>
      </c>
      <c r="D953" s="96" t="s">
        <v>2629</v>
      </c>
      <c r="E953" s="96" t="s">
        <v>2630</v>
      </c>
      <c r="F953" s="96" t="s">
        <v>2631</v>
      </c>
      <c r="G953" s="88">
        <v>0</v>
      </c>
      <c r="H953" s="91">
        <v>0</v>
      </c>
      <c r="I953" s="100" t="s">
        <v>2405</v>
      </c>
    </row>
    <row r="954" spans="1:9">
      <c r="A954" s="95" t="s">
        <v>2407</v>
      </c>
      <c r="B954" s="96" t="s">
        <v>2404</v>
      </c>
      <c r="C954" s="96" t="s">
        <v>1241</v>
      </c>
      <c r="D954" s="96" t="s">
        <v>2632</v>
      </c>
      <c r="E954" s="96" t="s">
        <v>2633</v>
      </c>
      <c r="F954" s="96" t="s">
        <v>2634</v>
      </c>
      <c r="G954" s="88">
        <v>0</v>
      </c>
      <c r="H954" s="91">
        <v>0</v>
      </c>
      <c r="I954" s="100" t="s">
        <v>2405</v>
      </c>
    </row>
    <row r="955" spans="1:9">
      <c r="A955" s="95" t="s">
        <v>2407</v>
      </c>
      <c r="B955" s="96" t="s">
        <v>2404</v>
      </c>
      <c r="C955" s="96" t="s">
        <v>1241</v>
      </c>
      <c r="D955" s="96" t="s">
        <v>2635</v>
      </c>
      <c r="E955" s="96" t="s">
        <v>2636</v>
      </c>
      <c r="F955" s="96" t="s">
        <v>2637</v>
      </c>
      <c r="G955" s="88">
        <v>0</v>
      </c>
      <c r="H955" s="91">
        <v>0</v>
      </c>
      <c r="I955" s="100" t="s">
        <v>2405</v>
      </c>
    </row>
    <row r="956" spans="1:9">
      <c r="A956" s="95" t="s">
        <v>2407</v>
      </c>
      <c r="B956" s="96" t="s">
        <v>2404</v>
      </c>
      <c r="C956" s="96" t="s">
        <v>1241</v>
      </c>
      <c r="D956" s="96" t="s">
        <v>2638</v>
      </c>
      <c r="E956" s="96" t="s">
        <v>2639</v>
      </c>
      <c r="F956" s="96" t="s">
        <v>2640</v>
      </c>
      <c r="G956" s="88">
        <v>0</v>
      </c>
      <c r="H956" s="91">
        <v>0</v>
      </c>
      <c r="I956" s="100" t="s">
        <v>2405</v>
      </c>
    </row>
    <row r="957" spans="1:9">
      <c r="A957" s="95" t="s">
        <v>2407</v>
      </c>
      <c r="B957" s="96" t="s">
        <v>2404</v>
      </c>
      <c r="C957" s="96" t="s">
        <v>1241</v>
      </c>
      <c r="D957" s="96" t="s">
        <v>2641</v>
      </c>
      <c r="E957" s="96" t="s">
        <v>2642</v>
      </c>
      <c r="F957" s="96" t="s">
        <v>2643</v>
      </c>
      <c r="G957" s="88">
        <v>68886566667</v>
      </c>
      <c r="H957" s="91">
        <v>68.886566666999997</v>
      </c>
      <c r="I957" s="100" t="s">
        <v>2405</v>
      </c>
    </row>
    <row r="958" spans="1:9">
      <c r="A958" s="95" t="s">
        <v>2407</v>
      </c>
      <c r="B958" s="96" t="s">
        <v>2404</v>
      </c>
      <c r="C958" s="96" t="s">
        <v>1241</v>
      </c>
      <c r="D958" s="96" t="s">
        <v>2644</v>
      </c>
      <c r="E958" s="96" t="s">
        <v>2645</v>
      </c>
      <c r="F958" s="96" t="s">
        <v>2646</v>
      </c>
      <c r="G958" s="88">
        <v>9073523886</v>
      </c>
      <c r="H958" s="91">
        <v>9.0735238860000003</v>
      </c>
      <c r="I958" s="100" t="s">
        <v>2405</v>
      </c>
    </row>
    <row r="959" spans="1:9">
      <c r="A959" s="95" t="s">
        <v>2407</v>
      </c>
      <c r="B959" s="96" t="s">
        <v>2404</v>
      </c>
      <c r="C959" s="96" t="s">
        <v>1241</v>
      </c>
      <c r="D959" s="96" t="s">
        <v>1759</v>
      </c>
      <c r="E959" s="96" t="s">
        <v>2647</v>
      </c>
      <c r="F959" s="96" t="s">
        <v>2648</v>
      </c>
      <c r="G959" s="88">
        <v>0</v>
      </c>
      <c r="H959" s="91">
        <v>0</v>
      </c>
      <c r="I959" s="100" t="s">
        <v>2405</v>
      </c>
    </row>
    <row r="960" spans="1:9">
      <c r="A960" s="95" t="s">
        <v>2407</v>
      </c>
      <c r="B960" s="96" t="s">
        <v>2404</v>
      </c>
      <c r="C960" s="96" t="s">
        <v>1241</v>
      </c>
      <c r="D960" s="96" t="s">
        <v>2649</v>
      </c>
      <c r="E960" s="96" t="s">
        <v>2650</v>
      </c>
      <c r="F960" s="96" t="s">
        <v>2651</v>
      </c>
      <c r="G960" s="88">
        <v>0</v>
      </c>
      <c r="H960" s="91">
        <v>0</v>
      </c>
      <c r="I960" s="100" t="s">
        <v>2405</v>
      </c>
    </row>
    <row r="961" spans="1:9">
      <c r="A961" s="95" t="s">
        <v>2407</v>
      </c>
      <c r="B961" s="96" t="s">
        <v>2404</v>
      </c>
      <c r="C961" s="96" t="s">
        <v>1241</v>
      </c>
      <c r="D961" s="96" t="s">
        <v>2652</v>
      </c>
      <c r="E961" s="96" t="s">
        <v>2653</v>
      </c>
      <c r="F961" s="96" t="s">
        <v>2654</v>
      </c>
      <c r="G961" s="88">
        <v>40909091</v>
      </c>
      <c r="H961" s="91">
        <v>4.0909091000000002E-2</v>
      </c>
      <c r="I961" s="100" t="s">
        <v>2405</v>
      </c>
    </row>
    <row r="962" spans="1:9">
      <c r="A962" s="95" t="s">
        <v>2407</v>
      </c>
      <c r="B962" s="96" t="s">
        <v>2404</v>
      </c>
      <c r="C962" s="96" t="s">
        <v>1241</v>
      </c>
      <c r="D962" s="96" t="s">
        <v>2655</v>
      </c>
      <c r="E962" s="96" t="s">
        <v>2656</v>
      </c>
      <c r="F962" s="96" t="s">
        <v>2657</v>
      </c>
      <c r="G962" s="88">
        <v>0</v>
      </c>
      <c r="H962" s="91">
        <v>0</v>
      </c>
      <c r="I962" s="100" t="s">
        <v>2405</v>
      </c>
    </row>
    <row r="963" spans="1:9">
      <c r="A963" s="95" t="s">
        <v>2407</v>
      </c>
      <c r="B963" s="96" t="s">
        <v>2404</v>
      </c>
      <c r="C963" s="96" t="s">
        <v>1241</v>
      </c>
      <c r="D963" s="96" t="s">
        <v>2632</v>
      </c>
      <c r="E963" s="96" t="s">
        <v>2633</v>
      </c>
      <c r="F963" s="96" t="s">
        <v>2634</v>
      </c>
      <c r="G963" s="88">
        <v>0</v>
      </c>
      <c r="H963" s="91">
        <v>0</v>
      </c>
      <c r="I963" s="100" t="s">
        <v>2405</v>
      </c>
    </row>
    <row r="964" spans="1:9">
      <c r="A964" s="95" t="s">
        <v>2407</v>
      </c>
      <c r="B964" s="96" t="s">
        <v>2404</v>
      </c>
      <c r="C964" s="96" t="s">
        <v>1241</v>
      </c>
      <c r="D964" s="96" t="s">
        <v>2658</v>
      </c>
      <c r="E964" s="96" t="s">
        <v>2659</v>
      </c>
      <c r="F964" s="96" t="s">
        <v>2660</v>
      </c>
      <c r="G964" s="88">
        <v>0</v>
      </c>
      <c r="H964" s="91">
        <v>0</v>
      </c>
      <c r="I964" s="100" t="s">
        <v>2405</v>
      </c>
    </row>
    <row r="965" spans="1:9">
      <c r="A965" s="95" t="s">
        <v>2407</v>
      </c>
      <c r="B965" s="96" t="s">
        <v>2404</v>
      </c>
      <c r="C965" s="96" t="s">
        <v>1241</v>
      </c>
      <c r="D965" s="96" t="s">
        <v>2661</v>
      </c>
      <c r="E965" s="96" t="s">
        <v>2662</v>
      </c>
      <c r="F965" s="96" t="s">
        <v>2663</v>
      </c>
      <c r="G965" s="88">
        <v>0</v>
      </c>
      <c r="H965" s="91">
        <v>0</v>
      </c>
      <c r="I965" s="100" t="s">
        <v>2405</v>
      </c>
    </row>
    <row r="966" spans="1:9">
      <c r="A966" s="95" t="s">
        <v>2407</v>
      </c>
      <c r="B966" s="96" t="s">
        <v>2404</v>
      </c>
      <c r="C966" s="96" t="s">
        <v>1241</v>
      </c>
      <c r="D966" s="96" t="s">
        <v>1862</v>
      </c>
      <c r="E966" s="96" t="s">
        <v>2664</v>
      </c>
      <c r="F966" s="96" t="s">
        <v>2665</v>
      </c>
      <c r="G966" s="88">
        <v>0</v>
      </c>
      <c r="H966" s="91">
        <v>0</v>
      </c>
      <c r="I966" s="100" t="s">
        <v>2405</v>
      </c>
    </row>
    <row r="967" spans="1:9">
      <c r="A967" s="95" t="s">
        <v>2407</v>
      </c>
      <c r="B967" s="96" t="s">
        <v>2404</v>
      </c>
      <c r="C967" s="96" t="s">
        <v>1241</v>
      </c>
      <c r="D967" s="96" t="s">
        <v>2644</v>
      </c>
      <c r="E967" s="96" t="s">
        <v>2645</v>
      </c>
      <c r="F967" s="96" t="s">
        <v>2666</v>
      </c>
      <c r="G967" s="88">
        <v>0</v>
      </c>
      <c r="H967" s="91">
        <v>0</v>
      </c>
      <c r="I967" s="100" t="s">
        <v>2405</v>
      </c>
    </row>
    <row r="968" spans="1:9">
      <c r="A968" s="95" t="s">
        <v>2407</v>
      </c>
      <c r="B968" s="96" t="s">
        <v>2404</v>
      </c>
      <c r="C968" s="96" t="s">
        <v>1241</v>
      </c>
      <c r="D968" s="96" t="s">
        <v>1868</v>
      </c>
      <c r="E968" s="96" t="s">
        <v>2667</v>
      </c>
      <c r="F968" s="96" t="s">
        <v>2668</v>
      </c>
      <c r="G968" s="88">
        <v>0</v>
      </c>
      <c r="H968" s="91">
        <v>0</v>
      </c>
      <c r="I968" s="100" t="s">
        <v>2405</v>
      </c>
    </row>
    <row r="969" spans="1:9">
      <c r="A969" s="95" t="s">
        <v>2407</v>
      </c>
      <c r="B969" s="96" t="s">
        <v>2404</v>
      </c>
      <c r="C969" s="96" t="s">
        <v>1241</v>
      </c>
      <c r="D969" s="96" t="s">
        <v>1872</v>
      </c>
      <c r="E969" s="96" t="s">
        <v>2669</v>
      </c>
      <c r="F969" s="96" t="s">
        <v>2670</v>
      </c>
      <c r="G969" s="88">
        <v>0</v>
      </c>
      <c r="H969" s="91">
        <v>0</v>
      </c>
      <c r="I969" s="100" t="s">
        <v>2405</v>
      </c>
    </row>
    <row r="970" spans="1:9">
      <c r="A970" s="95" t="s">
        <v>2407</v>
      </c>
      <c r="B970" s="96" t="s">
        <v>2404</v>
      </c>
      <c r="C970" s="96" t="s">
        <v>1241</v>
      </c>
      <c r="D970" s="96" t="s">
        <v>2671</v>
      </c>
      <c r="E970" s="96" t="s">
        <v>2672</v>
      </c>
      <c r="F970" s="96" t="s">
        <v>2673</v>
      </c>
      <c r="G970" s="88">
        <v>0</v>
      </c>
      <c r="H970" s="91">
        <v>0</v>
      </c>
      <c r="I970" s="100" t="s">
        <v>2405</v>
      </c>
    </row>
    <row r="971" spans="1:9">
      <c r="A971" s="95" t="s">
        <v>2407</v>
      </c>
      <c r="B971" s="96" t="s">
        <v>2404</v>
      </c>
      <c r="C971" s="96" t="s">
        <v>1241</v>
      </c>
      <c r="D971" s="96" t="s">
        <v>1882</v>
      </c>
      <c r="E971" s="96" t="s">
        <v>2674</v>
      </c>
      <c r="F971" s="96" t="s">
        <v>2675</v>
      </c>
      <c r="G971" s="88">
        <v>0</v>
      </c>
      <c r="H971" s="91">
        <v>0</v>
      </c>
      <c r="I971" s="100" t="s">
        <v>2405</v>
      </c>
    </row>
    <row r="972" spans="1:9">
      <c r="A972" s="95" t="s">
        <v>2407</v>
      </c>
      <c r="B972" s="96" t="s">
        <v>2404</v>
      </c>
      <c r="C972" s="96" t="s">
        <v>1241</v>
      </c>
      <c r="D972" s="96" t="s">
        <v>2629</v>
      </c>
      <c r="E972" s="96" t="s">
        <v>2630</v>
      </c>
      <c r="F972" s="96" t="s">
        <v>2631</v>
      </c>
      <c r="G972" s="88">
        <v>0</v>
      </c>
      <c r="H972" s="91">
        <v>0</v>
      </c>
      <c r="I972" s="100" t="s">
        <v>2405</v>
      </c>
    </row>
    <row r="973" spans="1:9">
      <c r="A973" s="95" t="s">
        <v>2407</v>
      </c>
      <c r="B973" s="96" t="s">
        <v>2404</v>
      </c>
      <c r="C973" s="96" t="s">
        <v>1241</v>
      </c>
      <c r="D973" s="96" t="s">
        <v>2676</v>
      </c>
      <c r="E973" s="96" t="s">
        <v>2677</v>
      </c>
      <c r="F973" s="96" t="s">
        <v>2678</v>
      </c>
      <c r="G973" s="88">
        <v>2193201690000</v>
      </c>
      <c r="H973" s="91">
        <v>2193.2016899999999</v>
      </c>
      <c r="I973" s="100" t="s">
        <v>2405</v>
      </c>
    </row>
    <row r="974" spans="1:9">
      <c r="A974" s="95" t="s">
        <v>2407</v>
      </c>
      <c r="B974" s="96" t="s">
        <v>2404</v>
      </c>
      <c r="C974" s="96" t="s">
        <v>1241</v>
      </c>
      <c r="D974" s="96" t="s">
        <v>2679</v>
      </c>
      <c r="E974" s="96" t="s">
        <v>2680</v>
      </c>
      <c r="F974" s="96" t="s">
        <v>2681</v>
      </c>
      <c r="G974" s="88">
        <v>0</v>
      </c>
      <c r="H974" s="91">
        <v>0</v>
      </c>
      <c r="I974" s="100" t="s">
        <v>2405</v>
      </c>
    </row>
    <row r="975" spans="1:9">
      <c r="A975" s="95" t="s">
        <v>2407</v>
      </c>
      <c r="B975" s="96" t="s">
        <v>2404</v>
      </c>
      <c r="C975" s="96" t="s">
        <v>1241</v>
      </c>
      <c r="D975" s="96" t="s">
        <v>2682</v>
      </c>
      <c r="E975" s="96" t="s">
        <v>2683</v>
      </c>
      <c r="F975" s="96" t="s">
        <v>2684</v>
      </c>
      <c r="G975" s="88">
        <v>725464422141</v>
      </c>
      <c r="H975" s="91">
        <v>725.464422141</v>
      </c>
      <c r="I975" s="100" t="s">
        <v>2405</v>
      </c>
    </row>
    <row r="976" spans="1:9">
      <c r="A976" s="95" t="s">
        <v>2407</v>
      </c>
      <c r="B976" s="96" t="s">
        <v>2404</v>
      </c>
      <c r="C976" s="96" t="s">
        <v>1241</v>
      </c>
      <c r="D976" s="96" t="s">
        <v>2685</v>
      </c>
      <c r="E976" s="96" t="s">
        <v>2686</v>
      </c>
      <c r="F976" s="96" t="s">
        <v>2687</v>
      </c>
      <c r="G976" s="88">
        <v>105923271254</v>
      </c>
      <c r="H976" s="91">
        <v>105.923271254</v>
      </c>
      <c r="I976" s="100" t="s">
        <v>2405</v>
      </c>
    </row>
    <row r="977" spans="1:9">
      <c r="A977" s="95" t="s">
        <v>2407</v>
      </c>
      <c r="B977" s="96" t="s">
        <v>2404</v>
      </c>
      <c r="C977" s="96" t="s">
        <v>1241</v>
      </c>
      <c r="D977" s="96" t="s">
        <v>1810</v>
      </c>
      <c r="E977" s="96" t="s">
        <v>2688</v>
      </c>
      <c r="F977" s="96" t="s">
        <v>2689</v>
      </c>
      <c r="G977" s="88">
        <v>40909091</v>
      </c>
      <c r="H977" s="91">
        <v>4.0909091000000002E-2</v>
      </c>
      <c r="I977" s="100" t="s">
        <v>2405</v>
      </c>
    </row>
    <row r="978" spans="1:9">
      <c r="A978" s="95" t="s">
        <v>2407</v>
      </c>
      <c r="B978" s="96" t="s">
        <v>2404</v>
      </c>
      <c r="C978" s="96" t="s">
        <v>1241</v>
      </c>
      <c r="D978" s="96" t="s">
        <v>1834</v>
      </c>
      <c r="E978" s="96" t="s">
        <v>2690</v>
      </c>
      <c r="F978" s="96" t="s">
        <v>2691</v>
      </c>
      <c r="G978" s="88">
        <v>241526747579</v>
      </c>
      <c r="H978" s="91">
        <v>241.52674757899999</v>
      </c>
      <c r="I978" s="100" t="s">
        <v>2405</v>
      </c>
    </row>
    <row r="979" spans="1:9">
      <c r="A979" s="95" t="s">
        <v>2407</v>
      </c>
      <c r="B979" s="96" t="s">
        <v>2404</v>
      </c>
      <c r="C979" s="96" t="s">
        <v>1241</v>
      </c>
      <c r="D979" s="96" t="s">
        <v>2390</v>
      </c>
      <c r="E979" s="96" t="s">
        <v>2391</v>
      </c>
      <c r="F979" s="96" t="s">
        <v>2692</v>
      </c>
      <c r="G979" s="88">
        <v>36211113132</v>
      </c>
      <c r="H979" s="91">
        <v>36.211113132000001</v>
      </c>
      <c r="I979" s="100" t="s">
        <v>2405</v>
      </c>
    </row>
    <row r="980" spans="1:9">
      <c r="A980" s="95" t="s">
        <v>2407</v>
      </c>
      <c r="B980" s="96" t="s">
        <v>2404</v>
      </c>
      <c r="C980" s="96" t="s">
        <v>1241</v>
      </c>
      <c r="D980" s="96" t="s">
        <v>2693</v>
      </c>
      <c r="E980" s="96" t="s">
        <v>2694</v>
      </c>
      <c r="F980" s="96" t="s">
        <v>2695</v>
      </c>
      <c r="G980" s="88">
        <v>0</v>
      </c>
      <c r="H980" s="91">
        <v>0</v>
      </c>
      <c r="I980" s="100" t="s">
        <v>2405</v>
      </c>
    </row>
    <row r="981" spans="1:9">
      <c r="A981" s="95" t="s">
        <v>2407</v>
      </c>
      <c r="B981" s="96" t="s">
        <v>1034</v>
      </c>
      <c r="C981" s="96" t="s">
        <v>1241</v>
      </c>
      <c r="D981" s="96" t="s">
        <v>68</v>
      </c>
      <c r="E981" s="96" t="s">
        <v>2411</v>
      </c>
      <c r="F981" s="96" t="s">
        <v>2412</v>
      </c>
      <c r="G981" s="88">
        <v>9479790103881</v>
      </c>
      <c r="H981" s="91">
        <v>9479.7901038809996</v>
      </c>
      <c r="I981" s="100" t="s">
        <v>2405</v>
      </c>
    </row>
    <row r="982" spans="1:9">
      <c r="A982" s="95" t="s">
        <v>2407</v>
      </c>
      <c r="B982" s="96" t="s">
        <v>1034</v>
      </c>
      <c r="C982" s="96" t="s">
        <v>1241</v>
      </c>
      <c r="D982" s="96" t="s">
        <v>58</v>
      </c>
      <c r="E982" s="96" t="s">
        <v>2413</v>
      </c>
      <c r="F982" s="96" t="s">
        <v>2414</v>
      </c>
      <c r="G982" s="88">
        <v>989670465110</v>
      </c>
      <c r="H982" s="91">
        <v>989.67046511000001</v>
      </c>
      <c r="I982" s="100" t="s">
        <v>2405</v>
      </c>
    </row>
    <row r="983" spans="1:9">
      <c r="A983" s="95" t="s">
        <v>2407</v>
      </c>
      <c r="B983" s="96" t="s">
        <v>1034</v>
      </c>
      <c r="C983" s="96" t="s">
        <v>1241</v>
      </c>
      <c r="D983" s="96" t="s">
        <v>1699</v>
      </c>
      <c r="E983" s="96" t="s">
        <v>2415</v>
      </c>
      <c r="F983" s="96" t="s">
        <v>2416</v>
      </c>
      <c r="G983" s="88">
        <v>178444606445</v>
      </c>
      <c r="H983" s="91">
        <v>178.44460644500001</v>
      </c>
      <c r="I983" s="100" t="s">
        <v>2405</v>
      </c>
    </row>
    <row r="984" spans="1:9">
      <c r="A984" s="95" t="s">
        <v>2407</v>
      </c>
      <c r="B984" s="96" t="s">
        <v>1034</v>
      </c>
      <c r="C984" s="96" t="s">
        <v>1241</v>
      </c>
      <c r="D984" s="96" t="s">
        <v>1701</v>
      </c>
      <c r="E984" s="96" t="s">
        <v>2417</v>
      </c>
      <c r="F984" s="96" t="s">
        <v>2418</v>
      </c>
      <c r="G984" s="88">
        <v>811225858665</v>
      </c>
      <c r="H984" s="91">
        <v>811.22585866500003</v>
      </c>
      <c r="I984" s="100" t="s">
        <v>2405</v>
      </c>
    </row>
    <row r="985" spans="1:9">
      <c r="A985" s="95" t="s">
        <v>2407</v>
      </c>
      <c r="B985" s="96" t="s">
        <v>1034</v>
      </c>
      <c r="C985" s="96" t="s">
        <v>1241</v>
      </c>
      <c r="D985" s="96" t="s">
        <v>2053</v>
      </c>
      <c r="E985" s="96" t="s">
        <v>2419</v>
      </c>
      <c r="F985" s="96" t="s">
        <v>2420</v>
      </c>
      <c r="G985" s="88">
        <v>825091488500</v>
      </c>
      <c r="H985" s="91">
        <v>825.09148849999997</v>
      </c>
      <c r="I985" s="100" t="s">
        <v>2405</v>
      </c>
    </row>
    <row r="986" spans="1:9">
      <c r="A986" s="95" t="s">
        <v>2407</v>
      </c>
      <c r="B986" s="96" t="s">
        <v>1034</v>
      </c>
      <c r="C986" s="96" t="s">
        <v>1241</v>
      </c>
      <c r="D986" s="96" t="s">
        <v>2053</v>
      </c>
      <c r="E986" s="96" t="s">
        <v>2419</v>
      </c>
      <c r="F986" s="96" t="s">
        <v>2420</v>
      </c>
      <c r="G986" s="88">
        <v>789486533503</v>
      </c>
      <c r="H986" s="91">
        <v>789.48653350300003</v>
      </c>
      <c r="I986" s="100" t="s">
        <v>2405</v>
      </c>
    </row>
    <row r="987" spans="1:9">
      <c r="A987" s="95" t="s">
        <v>2407</v>
      </c>
      <c r="B987" s="96" t="s">
        <v>1034</v>
      </c>
      <c r="C987" s="96" t="s">
        <v>1241</v>
      </c>
      <c r="D987" s="96" t="s">
        <v>2421</v>
      </c>
      <c r="E987" s="96" t="s">
        <v>2422</v>
      </c>
      <c r="F987" s="96" t="s">
        <v>2423</v>
      </c>
      <c r="G987" s="88">
        <v>-86282645003</v>
      </c>
      <c r="H987" s="91">
        <v>-86.282645002999999</v>
      </c>
      <c r="I987" s="100" t="s">
        <v>2405</v>
      </c>
    </row>
    <row r="988" spans="1:9">
      <c r="A988" s="95" t="s">
        <v>2407</v>
      </c>
      <c r="B988" s="96" t="s">
        <v>1034</v>
      </c>
      <c r="C988" s="96" t="s">
        <v>1241</v>
      </c>
      <c r="D988" s="96" t="s">
        <v>2424</v>
      </c>
      <c r="E988" s="96" t="s">
        <v>2425</v>
      </c>
      <c r="F988" s="96" t="s">
        <v>2426</v>
      </c>
      <c r="G988" s="88">
        <v>4776486366075</v>
      </c>
      <c r="H988" s="91">
        <v>4776.4863660749998</v>
      </c>
      <c r="I988" s="100" t="s">
        <v>2405</v>
      </c>
    </row>
    <row r="989" spans="1:9">
      <c r="A989" s="95" t="s">
        <v>2407</v>
      </c>
      <c r="B989" s="96" t="s">
        <v>1034</v>
      </c>
      <c r="C989" s="96" t="s">
        <v>1241</v>
      </c>
      <c r="D989" s="96" t="s">
        <v>2427</v>
      </c>
      <c r="E989" s="96" t="s">
        <v>2428</v>
      </c>
      <c r="F989" s="96" t="s">
        <v>2429</v>
      </c>
      <c r="G989" s="88">
        <v>4370202526389</v>
      </c>
      <c r="H989" s="91">
        <v>4370.202526389</v>
      </c>
      <c r="I989" s="100" t="s">
        <v>2405</v>
      </c>
    </row>
    <row r="990" spans="1:9">
      <c r="A990" s="95" t="s">
        <v>2407</v>
      </c>
      <c r="B990" s="96" t="s">
        <v>1034</v>
      </c>
      <c r="C990" s="96" t="s">
        <v>1241</v>
      </c>
      <c r="D990" s="96" t="s">
        <v>2430</v>
      </c>
      <c r="E990" s="96" t="s">
        <v>2431</v>
      </c>
      <c r="F990" s="96" t="s">
        <v>2432</v>
      </c>
      <c r="G990" s="88">
        <v>243621800113</v>
      </c>
      <c r="H990" s="91">
        <v>243.62180011300001</v>
      </c>
      <c r="I990" s="100" t="s">
        <v>2405</v>
      </c>
    </row>
    <row r="991" spans="1:9">
      <c r="A991" s="95" t="s">
        <v>2407</v>
      </c>
      <c r="B991" s="96" t="s">
        <v>1034</v>
      </c>
      <c r="C991" s="96" t="s">
        <v>1241</v>
      </c>
      <c r="D991" s="96" t="s">
        <v>2433</v>
      </c>
      <c r="E991" s="96" t="s">
        <v>2434</v>
      </c>
      <c r="F991" s="96" t="s">
        <v>2435</v>
      </c>
      <c r="G991" s="88">
        <v>0</v>
      </c>
      <c r="H991" s="91">
        <v>0</v>
      </c>
      <c r="I991" s="100" t="s">
        <v>2405</v>
      </c>
    </row>
    <row r="992" spans="1:9">
      <c r="A992" s="95" t="s">
        <v>2407</v>
      </c>
      <c r="B992" s="96" t="s">
        <v>1034</v>
      </c>
      <c r="C992" s="96" t="s">
        <v>1241</v>
      </c>
      <c r="D992" s="96" t="s">
        <v>2436</v>
      </c>
      <c r="E992" s="96" t="s">
        <v>2437</v>
      </c>
      <c r="F992" s="96" t="s">
        <v>2438</v>
      </c>
      <c r="G992" s="88">
        <v>0</v>
      </c>
      <c r="H992" s="91">
        <v>0</v>
      </c>
      <c r="I992" s="100" t="s">
        <v>2405</v>
      </c>
    </row>
    <row r="993" spans="1:9">
      <c r="A993" s="95" t="s">
        <v>2407</v>
      </c>
      <c r="B993" s="96" t="s">
        <v>1034</v>
      </c>
      <c r="C993" s="96" t="s">
        <v>1241</v>
      </c>
      <c r="D993" s="96" t="s">
        <v>2439</v>
      </c>
      <c r="E993" s="96" t="s">
        <v>2440</v>
      </c>
      <c r="F993" s="96" t="s">
        <v>2441</v>
      </c>
      <c r="G993" s="88">
        <v>166640966699</v>
      </c>
      <c r="H993" s="91">
        <v>166.64096669899999</v>
      </c>
      <c r="I993" s="100" t="s">
        <v>2405</v>
      </c>
    </row>
    <row r="994" spans="1:9">
      <c r="A994" s="95" t="s">
        <v>2407</v>
      </c>
      <c r="B994" s="96" t="s">
        <v>1034</v>
      </c>
      <c r="C994" s="96" t="s">
        <v>1241</v>
      </c>
      <c r="D994" s="96" t="s">
        <v>2442</v>
      </c>
      <c r="E994" s="96" t="s">
        <v>2443</v>
      </c>
      <c r="F994" s="96" t="s">
        <v>2444</v>
      </c>
      <c r="G994" s="88">
        <v>-3978927126</v>
      </c>
      <c r="H994" s="91">
        <v>-3.9789271259999999</v>
      </c>
      <c r="I994" s="100" t="s">
        <v>2405</v>
      </c>
    </row>
    <row r="995" spans="1:9">
      <c r="A995" s="95" t="s">
        <v>2407</v>
      </c>
      <c r="B995" s="96" t="s">
        <v>1034</v>
      </c>
      <c r="C995" s="96" t="s">
        <v>1241</v>
      </c>
      <c r="D995" s="96" t="s">
        <v>2445</v>
      </c>
      <c r="E995" s="96" t="s">
        <v>2446</v>
      </c>
      <c r="F995" s="96" t="s">
        <v>2447</v>
      </c>
      <c r="G995" s="88">
        <v>2681179498904</v>
      </c>
      <c r="H995" s="91">
        <v>2681.179498904</v>
      </c>
      <c r="I995" s="100" t="s">
        <v>2405</v>
      </c>
    </row>
    <row r="996" spans="1:9">
      <c r="A996" s="95" t="s">
        <v>2407</v>
      </c>
      <c r="B996" s="96" t="s">
        <v>1034</v>
      </c>
      <c r="C996" s="96" t="s">
        <v>1241</v>
      </c>
      <c r="D996" s="96" t="s">
        <v>64</v>
      </c>
      <c r="E996" s="96" t="s">
        <v>2448</v>
      </c>
      <c r="F996" s="96" t="s">
        <v>2449</v>
      </c>
      <c r="G996" s="88">
        <v>2816581759032</v>
      </c>
      <c r="H996" s="91">
        <v>2816.5817590319998</v>
      </c>
      <c r="I996" s="100" t="s">
        <v>2405</v>
      </c>
    </row>
    <row r="997" spans="1:9">
      <c r="A997" s="95" t="s">
        <v>2407</v>
      </c>
      <c r="B997" s="96" t="s">
        <v>1034</v>
      </c>
      <c r="C997" s="96" t="s">
        <v>1241</v>
      </c>
      <c r="D997" s="96" t="s">
        <v>2450</v>
      </c>
      <c r="E997" s="96" t="s">
        <v>2451</v>
      </c>
      <c r="F997" s="96" t="s">
        <v>2452</v>
      </c>
      <c r="G997" s="88">
        <v>-135402260128</v>
      </c>
      <c r="H997" s="91">
        <v>-135.40226012799999</v>
      </c>
      <c r="I997" s="100" t="s">
        <v>2405</v>
      </c>
    </row>
    <row r="998" spans="1:9">
      <c r="A998" s="95" t="s">
        <v>2407</v>
      </c>
      <c r="B998" s="96" t="s">
        <v>1034</v>
      </c>
      <c r="C998" s="96" t="s">
        <v>1241</v>
      </c>
      <c r="D998" s="96" t="s">
        <v>2059</v>
      </c>
      <c r="E998" s="96" t="s">
        <v>2453</v>
      </c>
      <c r="F998" s="96" t="s">
        <v>2454</v>
      </c>
      <c r="G998" s="88">
        <v>207362285292</v>
      </c>
      <c r="H998" s="91">
        <v>207.362285292</v>
      </c>
      <c r="I998" s="100" t="s">
        <v>2405</v>
      </c>
    </row>
    <row r="999" spans="1:9">
      <c r="A999" s="95" t="s">
        <v>2407</v>
      </c>
      <c r="B999" s="96" t="s">
        <v>1034</v>
      </c>
      <c r="C999" s="96" t="s">
        <v>1241</v>
      </c>
      <c r="D999" s="96" t="s">
        <v>2455</v>
      </c>
      <c r="E999" s="96" t="s">
        <v>2456</v>
      </c>
      <c r="F999" s="96" t="s">
        <v>2457</v>
      </c>
      <c r="G999" s="88">
        <v>13226558185</v>
      </c>
      <c r="H999" s="91">
        <v>13.226558185</v>
      </c>
      <c r="I999" s="100" t="s">
        <v>2405</v>
      </c>
    </row>
    <row r="1000" spans="1:9">
      <c r="A1000" s="95" t="s">
        <v>2407</v>
      </c>
      <c r="B1000" s="96" t="s">
        <v>1034</v>
      </c>
      <c r="C1000" s="96" t="s">
        <v>1241</v>
      </c>
      <c r="D1000" s="96" t="s">
        <v>2458</v>
      </c>
      <c r="E1000" s="96" t="s">
        <v>2459</v>
      </c>
      <c r="F1000" s="96" t="s">
        <v>2460</v>
      </c>
      <c r="G1000" s="88">
        <v>192619309837</v>
      </c>
      <c r="H1000" s="91">
        <v>192.619309837</v>
      </c>
      <c r="I1000" s="100" t="s">
        <v>2405</v>
      </c>
    </row>
    <row r="1001" spans="1:9">
      <c r="A1001" s="95" t="s">
        <v>2407</v>
      </c>
      <c r="B1001" s="96" t="s">
        <v>1034</v>
      </c>
      <c r="C1001" s="96" t="s">
        <v>1241</v>
      </c>
      <c r="D1001" s="96" t="s">
        <v>2461</v>
      </c>
      <c r="E1001" s="96" t="s">
        <v>2462</v>
      </c>
      <c r="F1001" s="96" t="s">
        <v>2463</v>
      </c>
      <c r="G1001" s="88">
        <v>1516417270</v>
      </c>
      <c r="H1001" s="91">
        <v>1.51641727</v>
      </c>
      <c r="I1001" s="100" t="s">
        <v>2405</v>
      </c>
    </row>
    <row r="1002" spans="1:9">
      <c r="A1002" s="95" t="s">
        <v>2407</v>
      </c>
      <c r="B1002" s="96" t="s">
        <v>1034</v>
      </c>
      <c r="C1002" s="96" t="s">
        <v>1241</v>
      </c>
      <c r="D1002" s="96" t="s">
        <v>2059</v>
      </c>
      <c r="E1002" s="96" t="s">
        <v>2453</v>
      </c>
      <c r="F1002" s="96" t="s">
        <v>2454</v>
      </c>
      <c r="G1002" s="88">
        <v>0</v>
      </c>
      <c r="H1002" s="91">
        <v>0</v>
      </c>
      <c r="I1002" s="100" t="s">
        <v>2405</v>
      </c>
    </row>
    <row r="1003" spans="1:9">
      <c r="A1003" s="95" t="s">
        <v>2407</v>
      </c>
      <c r="B1003" s="96" t="s">
        <v>1034</v>
      </c>
      <c r="C1003" s="96" t="s">
        <v>1241</v>
      </c>
      <c r="D1003" s="96" t="s">
        <v>1753</v>
      </c>
      <c r="E1003" s="96" t="s">
        <v>2464</v>
      </c>
      <c r="F1003" s="96" t="s">
        <v>2465</v>
      </c>
      <c r="G1003" s="88">
        <v>551189813246</v>
      </c>
      <c r="H1003" s="91">
        <v>551.18981324599997</v>
      </c>
      <c r="I1003" s="100" t="s">
        <v>2405</v>
      </c>
    </row>
    <row r="1004" spans="1:9">
      <c r="A1004" s="95" t="s">
        <v>2407</v>
      </c>
      <c r="B1004" s="96" t="s">
        <v>1034</v>
      </c>
      <c r="C1004" s="96" t="s">
        <v>1241</v>
      </c>
      <c r="D1004" s="96" t="s">
        <v>1757</v>
      </c>
      <c r="E1004" s="96" t="s">
        <v>2466</v>
      </c>
      <c r="F1004" s="96" t="s">
        <v>2467</v>
      </c>
      <c r="G1004" s="88">
        <v>10089546101</v>
      </c>
      <c r="H1004" s="91">
        <v>10.089546101</v>
      </c>
      <c r="I1004" s="100" t="s">
        <v>2405</v>
      </c>
    </row>
    <row r="1005" spans="1:9">
      <c r="A1005" s="95" t="s">
        <v>2407</v>
      </c>
      <c r="B1005" s="96" t="s">
        <v>1034</v>
      </c>
      <c r="C1005" s="96" t="s">
        <v>1241</v>
      </c>
      <c r="D1005" s="96" t="s">
        <v>2468</v>
      </c>
      <c r="E1005" s="96" t="s">
        <v>2469</v>
      </c>
      <c r="F1005" s="96" t="s">
        <v>2470</v>
      </c>
      <c r="G1005" s="88">
        <v>0</v>
      </c>
      <c r="H1005" s="91">
        <v>0</v>
      </c>
      <c r="I1005" s="100" t="s">
        <v>2405</v>
      </c>
    </row>
    <row r="1006" spans="1:9">
      <c r="A1006" s="95" t="s">
        <v>2407</v>
      </c>
      <c r="B1006" s="96" t="s">
        <v>1034</v>
      </c>
      <c r="C1006" s="96" t="s">
        <v>1241</v>
      </c>
      <c r="D1006" s="96" t="s">
        <v>2471</v>
      </c>
      <c r="E1006" s="96" t="s">
        <v>2472</v>
      </c>
      <c r="F1006" s="96" t="s">
        <v>2473</v>
      </c>
      <c r="G1006" s="88">
        <v>0</v>
      </c>
      <c r="H1006" s="91">
        <v>0</v>
      </c>
      <c r="I1006" s="100" t="s">
        <v>2405</v>
      </c>
    </row>
    <row r="1007" spans="1:9">
      <c r="A1007" s="95" t="s">
        <v>2407</v>
      </c>
      <c r="B1007" s="96" t="s">
        <v>1034</v>
      </c>
      <c r="C1007" s="96" t="s">
        <v>1241</v>
      </c>
      <c r="D1007" s="96" t="s">
        <v>1767</v>
      </c>
      <c r="E1007" s="96" t="s">
        <v>2474</v>
      </c>
      <c r="F1007" s="96" t="s">
        <v>2475</v>
      </c>
      <c r="G1007" s="88">
        <v>10089546101</v>
      </c>
      <c r="H1007" s="91">
        <v>10.089546101</v>
      </c>
      <c r="I1007" s="100" t="s">
        <v>2405</v>
      </c>
    </row>
    <row r="1008" spans="1:9">
      <c r="A1008" s="95" t="s">
        <v>2407</v>
      </c>
      <c r="B1008" s="96" t="s">
        <v>1034</v>
      </c>
      <c r="C1008" s="96" t="s">
        <v>1241</v>
      </c>
      <c r="D1008" s="96" t="s">
        <v>2476</v>
      </c>
      <c r="E1008" s="96" t="s">
        <v>2477</v>
      </c>
      <c r="F1008" s="96" t="s">
        <v>2478</v>
      </c>
      <c r="G1008" s="88">
        <v>0</v>
      </c>
      <c r="H1008" s="91">
        <v>0</v>
      </c>
      <c r="I1008" s="100" t="s">
        <v>2405</v>
      </c>
    </row>
    <row r="1009" spans="1:9">
      <c r="A1009" s="95" t="s">
        <v>2407</v>
      </c>
      <c r="B1009" s="96" t="s">
        <v>1034</v>
      </c>
      <c r="C1009" s="96" t="s">
        <v>1241</v>
      </c>
      <c r="D1009" s="96" t="s">
        <v>70</v>
      </c>
      <c r="E1009" s="96" t="s">
        <v>2061</v>
      </c>
      <c r="F1009" s="96" t="s">
        <v>2479</v>
      </c>
      <c r="G1009" s="88">
        <v>105115851317</v>
      </c>
      <c r="H1009" s="91">
        <v>105.11585131699999</v>
      </c>
      <c r="I1009" s="100" t="s">
        <v>2405</v>
      </c>
    </row>
    <row r="1010" spans="1:9">
      <c r="A1010" s="95" t="s">
        <v>2407</v>
      </c>
      <c r="B1010" s="96" t="s">
        <v>1034</v>
      </c>
      <c r="C1010" s="96" t="s">
        <v>1241</v>
      </c>
      <c r="D1010" s="96" t="s">
        <v>1771</v>
      </c>
      <c r="E1010" s="96" t="s">
        <v>2480</v>
      </c>
      <c r="F1010" s="96" t="s">
        <v>2481</v>
      </c>
      <c r="G1010" s="88">
        <v>34901891048</v>
      </c>
      <c r="H1010" s="91">
        <v>34.901891048000003</v>
      </c>
      <c r="I1010" s="100" t="s">
        <v>2405</v>
      </c>
    </row>
    <row r="1011" spans="1:9">
      <c r="A1011" s="95" t="s">
        <v>2407</v>
      </c>
      <c r="B1011" s="96" t="s">
        <v>1034</v>
      </c>
      <c r="C1011" s="96" t="s">
        <v>1241</v>
      </c>
      <c r="D1011" s="96" t="s">
        <v>1773</v>
      </c>
      <c r="E1011" s="96" t="s">
        <v>2482</v>
      </c>
      <c r="F1011" s="96" t="s">
        <v>2483</v>
      </c>
      <c r="G1011" s="88">
        <v>98168458899</v>
      </c>
      <c r="H1011" s="91">
        <v>98.168458899000001</v>
      </c>
      <c r="I1011" s="100" t="s">
        <v>2405</v>
      </c>
    </row>
    <row r="1012" spans="1:9">
      <c r="A1012" s="95" t="s">
        <v>2407</v>
      </c>
      <c r="B1012" s="96" t="s">
        <v>1034</v>
      </c>
      <c r="C1012" s="96" t="s">
        <v>1241</v>
      </c>
      <c r="D1012" s="96" t="s">
        <v>1775</v>
      </c>
      <c r="E1012" s="96" t="s">
        <v>2484</v>
      </c>
      <c r="F1012" s="96" t="s">
        <v>2485</v>
      </c>
      <c r="G1012" s="88">
        <v>-63266567851</v>
      </c>
      <c r="H1012" s="91">
        <v>-63.266567850999998</v>
      </c>
      <c r="I1012" s="100" t="s">
        <v>2405</v>
      </c>
    </row>
    <row r="1013" spans="1:9">
      <c r="A1013" s="95" t="s">
        <v>2407</v>
      </c>
      <c r="B1013" s="96" t="s">
        <v>1034</v>
      </c>
      <c r="C1013" s="96" t="s">
        <v>1241</v>
      </c>
      <c r="D1013" s="96" t="s">
        <v>2486</v>
      </c>
      <c r="E1013" s="96" t="s">
        <v>2487</v>
      </c>
      <c r="F1013" s="96" t="s">
        <v>2488</v>
      </c>
      <c r="G1013" s="88">
        <v>0</v>
      </c>
      <c r="H1013" s="91">
        <v>0</v>
      </c>
      <c r="I1013" s="100" t="s">
        <v>2405</v>
      </c>
    </row>
    <row r="1014" spans="1:9">
      <c r="A1014" s="95" t="s">
        <v>2407</v>
      </c>
      <c r="B1014" s="96" t="s">
        <v>1034</v>
      </c>
      <c r="C1014" s="96" t="s">
        <v>1241</v>
      </c>
      <c r="D1014" s="96" t="s">
        <v>1773</v>
      </c>
      <c r="E1014" s="96" t="s">
        <v>2482</v>
      </c>
      <c r="F1014" s="96" t="s">
        <v>2489</v>
      </c>
      <c r="G1014" s="88">
        <v>0</v>
      </c>
      <c r="H1014" s="91">
        <v>0</v>
      </c>
      <c r="I1014" s="100" t="s">
        <v>2405</v>
      </c>
    </row>
    <row r="1015" spans="1:9">
      <c r="A1015" s="95" t="s">
        <v>2407</v>
      </c>
      <c r="B1015" s="96" t="s">
        <v>1034</v>
      </c>
      <c r="C1015" s="96" t="s">
        <v>1241</v>
      </c>
      <c r="D1015" s="96" t="s">
        <v>1775</v>
      </c>
      <c r="E1015" s="96" t="s">
        <v>2484</v>
      </c>
      <c r="F1015" s="96" t="s">
        <v>2490</v>
      </c>
      <c r="G1015" s="88">
        <v>0</v>
      </c>
      <c r="H1015" s="91">
        <v>0</v>
      </c>
      <c r="I1015" s="100" t="s">
        <v>2405</v>
      </c>
    </row>
    <row r="1016" spans="1:9">
      <c r="A1016" s="95" t="s">
        <v>2407</v>
      </c>
      <c r="B1016" s="96" t="s">
        <v>1034</v>
      </c>
      <c r="C1016" s="96" t="s">
        <v>1241</v>
      </c>
      <c r="D1016" s="96" t="s">
        <v>1781</v>
      </c>
      <c r="E1016" s="96" t="s">
        <v>2491</v>
      </c>
      <c r="F1016" s="96" t="s">
        <v>2492</v>
      </c>
      <c r="G1016" s="88">
        <v>70213960269</v>
      </c>
      <c r="H1016" s="91">
        <v>70.213960268999998</v>
      </c>
      <c r="I1016" s="100" t="s">
        <v>2405</v>
      </c>
    </row>
    <row r="1017" spans="1:9">
      <c r="A1017" s="95" t="s">
        <v>2407</v>
      </c>
      <c r="B1017" s="96" t="s">
        <v>1034</v>
      </c>
      <c r="C1017" s="96" t="s">
        <v>1241</v>
      </c>
      <c r="D1017" s="96" t="s">
        <v>1773</v>
      </c>
      <c r="E1017" s="96" t="s">
        <v>2482</v>
      </c>
      <c r="F1017" s="96" t="s">
        <v>2493</v>
      </c>
      <c r="G1017" s="88">
        <v>89545038873</v>
      </c>
      <c r="H1017" s="91">
        <v>89.545038872999996</v>
      </c>
      <c r="I1017" s="100" t="s">
        <v>2405</v>
      </c>
    </row>
    <row r="1018" spans="1:9">
      <c r="A1018" s="95" t="s">
        <v>2407</v>
      </c>
      <c r="B1018" s="96" t="s">
        <v>1034</v>
      </c>
      <c r="C1018" s="96" t="s">
        <v>1241</v>
      </c>
      <c r="D1018" s="96" t="s">
        <v>1775</v>
      </c>
      <c r="E1018" s="96" t="s">
        <v>2484</v>
      </c>
      <c r="F1018" s="96" t="s">
        <v>2494</v>
      </c>
      <c r="G1018" s="88">
        <v>-19331078604</v>
      </c>
      <c r="H1018" s="91">
        <v>-19.331078604000002</v>
      </c>
      <c r="I1018" s="100" t="s">
        <v>2405</v>
      </c>
    </row>
    <row r="1019" spans="1:9">
      <c r="A1019" s="95" t="s">
        <v>2407</v>
      </c>
      <c r="B1019" s="96" t="s">
        <v>1034</v>
      </c>
      <c r="C1019" s="96" t="s">
        <v>1241</v>
      </c>
      <c r="D1019" s="96" t="s">
        <v>2495</v>
      </c>
      <c r="E1019" s="96" t="s">
        <v>2496</v>
      </c>
      <c r="F1019" s="96" t="s">
        <v>2497</v>
      </c>
      <c r="G1019" s="88">
        <v>0</v>
      </c>
      <c r="H1019" s="91">
        <v>0</v>
      </c>
      <c r="I1019" s="100" t="s">
        <v>2405</v>
      </c>
    </row>
    <row r="1020" spans="1:9">
      <c r="A1020" s="95" t="s">
        <v>2407</v>
      </c>
      <c r="B1020" s="96" t="s">
        <v>1034</v>
      </c>
      <c r="C1020" s="96" t="s">
        <v>1241</v>
      </c>
      <c r="D1020" s="96" t="s">
        <v>1802</v>
      </c>
      <c r="E1020" s="96" t="s">
        <v>2498</v>
      </c>
      <c r="F1020" s="96" t="s">
        <v>2499</v>
      </c>
      <c r="G1020" s="88">
        <v>19676514000</v>
      </c>
      <c r="H1020" s="91">
        <v>19.676514000000001</v>
      </c>
      <c r="I1020" s="100" t="s">
        <v>2405</v>
      </c>
    </row>
    <row r="1021" spans="1:9">
      <c r="A1021" s="95" t="s">
        <v>2407</v>
      </c>
      <c r="B1021" s="96" t="s">
        <v>1034</v>
      </c>
      <c r="C1021" s="96" t="s">
        <v>1241</v>
      </c>
      <c r="D1021" s="96" t="s">
        <v>1773</v>
      </c>
      <c r="E1021" s="96" t="s">
        <v>2482</v>
      </c>
      <c r="F1021" s="96" t="s">
        <v>2500</v>
      </c>
      <c r="G1021" s="88">
        <v>20785050000</v>
      </c>
      <c r="H1021" s="91">
        <v>20.785049999999998</v>
      </c>
      <c r="I1021" s="100" t="s">
        <v>2405</v>
      </c>
    </row>
    <row r="1022" spans="1:9">
      <c r="A1022" s="95" t="s">
        <v>2407</v>
      </c>
      <c r="B1022" s="96" t="s">
        <v>1034</v>
      </c>
      <c r="C1022" s="96" t="s">
        <v>1241</v>
      </c>
      <c r="D1022" s="96" t="s">
        <v>1775</v>
      </c>
      <c r="E1022" s="96" t="s">
        <v>2484</v>
      </c>
      <c r="F1022" s="96" t="s">
        <v>2501</v>
      </c>
      <c r="G1022" s="88">
        <v>-1108536000</v>
      </c>
      <c r="H1022" s="91">
        <v>-1.108536</v>
      </c>
      <c r="I1022" s="100" t="s">
        <v>2405</v>
      </c>
    </row>
    <row r="1023" spans="1:9">
      <c r="A1023" s="95" t="s">
        <v>2407</v>
      </c>
      <c r="B1023" s="96" t="s">
        <v>1034</v>
      </c>
      <c r="C1023" s="96" t="s">
        <v>1241</v>
      </c>
      <c r="D1023" s="96" t="s">
        <v>2063</v>
      </c>
      <c r="E1023" s="96" t="s">
        <v>2502</v>
      </c>
      <c r="F1023" s="96" t="s">
        <v>2503</v>
      </c>
      <c r="G1023" s="88">
        <v>36027173683</v>
      </c>
      <c r="H1023" s="91">
        <v>36.027173683000001</v>
      </c>
      <c r="I1023" s="100" t="s">
        <v>2405</v>
      </c>
    </row>
    <row r="1024" spans="1:9">
      <c r="A1024" s="95" t="s">
        <v>2407</v>
      </c>
      <c r="B1024" s="96" t="s">
        <v>1034</v>
      </c>
      <c r="C1024" s="96" t="s">
        <v>1241</v>
      </c>
      <c r="D1024" s="96" t="s">
        <v>1812</v>
      </c>
      <c r="E1024" s="96" t="s">
        <v>2504</v>
      </c>
      <c r="F1024" s="96" t="s">
        <v>2505</v>
      </c>
      <c r="G1024" s="88">
        <v>0</v>
      </c>
      <c r="H1024" s="91">
        <v>0</v>
      </c>
      <c r="I1024" s="100" t="s">
        <v>2405</v>
      </c>
    </row>
    <row r="1025" spans="1:9">
      <c r="A1025" s="95" t="s">
        <v>2407</v>
      </c>
      <c r="B1025" s="96" t="s">
        <v>1034</v>
      </c>
      <c r="C1025" s="96" t="s">
        <v>1241</v>
      </c>
      <c r="D1025" s="96" t="s">
        <v>2506</v>
      </c>
      <c r="E1025" s="96" t="s">
        <v>2507</v>
      </c>
      <c r="F1025" s="96" t="s">
        <v>2508</v>
      </c>
      <c r="G1025" s="88">
        <v>13213412600</v>
      </c>
      <c r="H1025" s="91">
        <v>13.2134126</v>
      </c>
      <c r="I1025" s="100" t="s">
        <v>2405</v>
      </c>
    </row>
    <row r="1026" spans="1:9">
      <c r="A1026" s="95" t="s">
        <v>2407</v>
      </c>
      <c r="B1026" s="96" t="s">
        <v>1034</v>
      </c>
      <c r="C1026" s="96" t="s">
        <v>1241</v>
      </c>
      <c r="D1026" s="96" t="s">
        <v>1824</v>
      </c>
      <c r="E1026" s="96" t="s">
        <v>2509</v>
      </c>
      <c r="F1026" s="96" t="s">
        <v>2510</v>
      </c>
      <c r="G1026" s="88">
        <v>40233974607</v>
      </c>
      <c r="H1026" s="91">
        <v>40.233974607</v>
      </c>
      <c r="I1026" s="100" t="s">
        <v>2405</v>
      </c>
    </row>
    <row r="1027" spans="1:9">
      <c r="A1027" s="95" t="s">
        <v>2407</v>
      </c>
      <c r="B1027" s="96" t="s">
        <v>1034</v>
      </c>
      <c r="C1027" s="96" t="s">
        <v>1241</v>
      </c>
      <c r="D1027" s="96" t="s">
        <v>2511</v>
      </c>
      <c r="E1027" s="96" t="s">
        <v>2512</v>
      </c>
      <c r="F1027" s="96" t="s">
        <v>2513</v>
      </c>
      <c r="G1027" s="88">
        <v>-17420213524</v>
      </c>
      <c r="H1027" s="91">
        <v>-17.420213524000001</v>
      </c>
      <c r="I1027" s="100" t="s">
        <v>2405</v>
      </c>
    </row>
    <row r="1028" spans="1:9">
      <c r="A1028" s="95" t="s">
        <v>2407</v>
      </c>
      <c r="B1028" s="96" t="s">
        <v>1034</v>
      </c>
      <c r="C1028" s="96" t="s">
        <v>1241</v>
      </c>
      <c r="D1028" s="96" t="s">
        <v>1836</v>
      </c>
      <c r="E1028" s="96" t="s">
        <v>2514</v>
      </c>
      <c r="F1028" s="96" t="s">
        <v>2515</v>
      </c>
      <c r="G1028" s="88">
        <v>0</v>
      </c>
      <c r="H1028" s="91">
        <v>0</v>
      </c>
      <c r="I1028" s="100" t="s">
        <v>2405</v>
      </c>
    </row>
    <row r="1029" spans="1:9">
      <c r="A1029" s="95" t="s">
        <v>2407</v>
      </c>
      <c r="B1029" s="96" t="s">
        <v>1034</v>
      </c>
      <c r="C1029" s="96" t="s">
        <v>1241</v>
      </c>
      <c r="D1029" s="96" t="s">
        <v>74</v>
      </c>
      <c r="E1029" s="96" t="s">
        <v>2064</v>
      </c>
      <c r="F1029" s="96" t="s">
        <v>2516</v>
      </c>
      <c r="G1029" s="88">
        <v>380176975992</v>
      </c>
      <c r="H1029" s="91">
        <v>380.176975992</v>
      </c>
      <c r="I1029" s="100" t="s">
        <v>2405</v>
      </c>
    </row>
    <row r="1030" spans="1:9">
      <c r="A1030" s="95" t="s">
        <v>2407</v>
      </c>
      <c r="B1030" s="96" t="s">
        <v>1034</v>
      </c>
      <c r="C1030" s="96" t="s">
        <v>1241</v>
      </c>
      <c r="D1030" s="96" t="s">
        <v>2517</v>
      </c>
      <c r="E1030" s="96" t="s">
        <v>2518</v>
      </c>
      <c r="F1030" s="96" t="s">
        <v>2519</v>
      </c>
      <c r="G1030" s="88">
        <v>16567180938</v>
      </c>
      <c r="H1030" s="91">
        <v>16.567180938</v>
      </c>
      <c r="I1030" s="100" t="s">
        <v>2405</v>
      </c>
    </row>
    <row r="1031" spans="1:9">
      <c r="A1031" s="95" t="s">
        <v>2407</v>
      </c>
      <c r="B1031" s="96" t="s">
        <v>1034</v>
      </c>
      <c r="C1031" s="96" t="s">
        <v>1241</v>
      </c>
      <c r="D1031" s="96" t="s">
        <v>1828</v>
      </c>
      <c r="E1031" s="96" t="s">
        <v>2520</v>
      </c>
      <c r="F1031" s="96" t="s">
        <v>2521</v>
      </c>
      <c r="G1031" s="88">
        <v>143859245121</v>
      </c>
      <c r="H1031" s="91">
        <v>143.85924512099999</v>
      </c>
      <c r="I1031" s="100" t="s">
        <v>2405</v>
      </c>
    </row>
    <row r="1032" spans="1:9">
      <c r="A1032" s="95" t="s">
        <v>2407</v>
      </c>
      <c r="B1032" s="96" t="s">
        <v>1034</v>
      </c>
      <c r="C1032" s="96" t="s">
        <v>1241</v>
      </c>
      <c r="D1032" s="96" t="s">
        <v>74</v>
      </c>
      <c r="E1032" s="96" t="s">
        <v>2064</v>
      </c>
      <c r="F1032" s="96" t="s">
        <v>2522</v>
      </c>
      <c r="G1032" s="88">
        <v>219750549933</v>
      </c>
      <c r="H1032" s="91">
        <v>219.750549933</v>
      </c>
      <c r="I1032" s="100" t="s">
        <v>2405</v>
      </c>
    </row>
    <row r="1033" spans="1:9">
      <c r="A1033" s="95" t="s">
        <v>2407</v>
      </c>
      <c r="B1033" s="96" t="s">
        <v>1034</v>
      </c>
      <c r="C1033" s="96" t="s">
        <v>1241</v>
      </c>
      <c r="D1033" s="96" t="s">
        <v>76</v>
      </c>
      <c r="E1033" s="96" t="s">
        <v>75</v>
      </c>
      <c r="F1033" s="96" t="s">
        <v>1643</v>
      </c>
      <c r="G1033" s="88">
        <v>10030979917127</v>
      </c>
      <c r="H1033" s="91">
        <v>10030.979917127001</v>
      </c>
      <c r="I1033" s="100" t="s">
        <v>2405</v>
      </c>
    </row>
    <row r="1034" spans="1:9">
      <c r="A1034" s="95" t="s">
        <v>2407</v>
      </c>
      <c r="B1034" s="96" t="s">
        <v>1034</v>
      </c>
      <c r="C1034" s="96" t="s">
        <v>1241</v>
      </c>
      <c r="D1034" s="96" t="s">
        <v>2523</v>
      </c>
      <c r="E1034" s="96" t="s">
        <v>487</v>
      </c>
      <c r="F1034" s="96" t="s">
        <v>2524</v>
      </c>
      <c r="G1034" s="88">
        <v>6356626666145</v>
      </c>
      <c r="H1034" s="91">
        <v>6356.6266661449999</v>
      </c>
      <c r="I1034" s="100" t="s">
        <v>2405</v>
      </c>
    </row>
    <row r="1035" spans="1:9">
      <c r="A1035" s="95" t="s">
        <v>2407</v>
      </c>
      <c r="B1035" s="96" t="s">
        <v>1034</v>
      </c>
      <c r="C1035" s="96" t="s">
        <v>1241</v>
      </c>
      <c r="D1035" s="96" t="s">
        <v>82</v>
      </c>
      <c r="E1035" s="96" t="s">
        <v>2070</v>
      </c>
      <c r="F1035" s="96" t="s">
        <v>2525</v>
      </c>
      <c r="G1035" s="88">
        <v>6353536666145</v>
      </c>
      <c r="H1035" s="91">
        <v>6353.5366661449998</v>
      </c>
      <c r="I1035" s="100" t="s">
        <v>2405</v>
      </c>
    </row>
    <row r="1036" spans="1:9">
      <c r="A1036" s="95" t="s">
        <v>2407</v>
      </c>
      <c r="B1036" s="96" t="s">
        <v>1034</v>
      </c>
      <c r="C1036" s="96" t="s">
        <v>1241</v>
      </c>
      <c r="D1036" s="96" t="s">
        <v>2526</v>
      </c>
      <c r="E1036" s="96" t="s">
        <v>2527</v>
      </c>
      <c r="F1036" s="96" t="s">
        <v>2528</v>
      </c>
      <c r="G1036" s="88">
        <v>2789961530660</v>
      </c>
      <c r="H1036" s="91">
        <v>2789.9615306599999</v>
      </c>
      <c r="I1036" s="100" t="s">
        <v>2405</v>
      </c>
    </row>
    <row r="1037" spans="1:9">
      <c r="A1037" s="95" t="s">
        <v>2407</v>
      </c>
      <c r="B1037" s="96" t="s">
        <v>1034</v>
      </c>
      <c r="C1037" s="96" t="s">
        <v>1241</v>
      </c>
      <c r="D1037" s="96" t="s">
        <v>2529</v>
      </c>
      <c r="E1037" s="96" t="s">
        <v>2530</v>
      </c>
      <c r="F1037" s="96" t="s">
        <v>2531</v>
      </c>
      <c r="G1037" s="88">
        <v>2549607493677</v>
      </c>
      <c r="H1037" s="91">
        <v>2549.6074936770001</v>
      </c>
      <c r="I1037" s="100" t="s">
        <v>2405</v>
      </c>
    </row>
    <row r="1038" spans="1:9">
      <c r="A1038" s="95" t="s">
        <v>2407</v>
      </c>
      <c r="B1038" s="96" t="s">
        <v>1034</v>
      </c>
      <c r="C1038" s="96" t="s">
        <v>1241</v>
      </c>
      <c r="D1038" s="96" t="s">
        <v>2532</v>
      </c>
      <c r="E1038" s="96" t="s">
        <v>2533</v>
      </c>
      <c r="F1038" s="96" t="s">
        <v>2534</v>
      </c>
      <c r="G1038" s="88">
        <v>419629553478</v>
      </c>
      <c r="H1038" s="91">
        <v>419.62955347799999</v>
      </c>
      <c r="I1038" s="100" t="s">
        <v>2405</v>
      </c>
    </row>
    <row r="1039" spans="1:9">
      <c r="A1039" s="95" t="s">
        <v>2407</v>
      </c>
      <c r="B1039" s="96" t="s">
        <v>1034</v>
      </c>
      <c r="C1039" s="96" t="s">
        <v>1241</v>
      </c>
      <c r="D1039" s="96" t="s">
        <v>2535</v>
      </c>
      <c r="E1039" s="96" t="s">
        <v>2536</v>
      </c>
      <c r="F1039" s="96" t="s">
        <v>2537</v>
      </c>
      <c r="G1039" s="88">
        <v>65965148410</v>
      </c>
      <c r="H1039" s="91">
        <v>65.965148409999998</v>
      </c>
      <c r="I1039" s="100" t="s">
        <v>2405</v>
      </c>
    </row>
    <row r="1040" spans="1:9">
      <c r="A1040" s="95" t="s">
        <v>2407</v>
      </c>
      <c r="B1040" s="96" t="s">
        <v>1034</v>
      </c>
      <c r="C1040" s="96" t="s">
        <v>1241</v>
      </c>
      <c r="D1040" s="96" t="s">
        <v>1846</v>
      </c>
      <c r="E1040" s="96" t="s">
        <v>2538</v>
      </c>
      <c r="F1040" s="96" t="s">
        <v>2539</v>
      </c>
      <c r="G1040" s="88">
        <v>19525182838</v>
      </c>
      <c r="H1040" s="91">
        <v>19.525182837999999</v>
      </c>
      <c r="I1040" s="100" t="s">
        <v>2405</v>
      </c>
    </row>
    <row r="1041" spans="1:9">
      <c r="A1041" s="95" t="s">
        <v>2407</v>
      </c>
      <c r="B1041" s="96" t="s">
        <v>1034</v>
      </c>
      <c r="C1041" s="96" t="s">
        <v>1241</v>
      </c>
      <c r="D1041" s="96" t="s">
        <v>2540</v>
      </c>
      <c r="E1041" s="96" t="s">
        <v>2541</v>
      </c>
      <c r="F1041" s="96" t="s">
        <v>2542</v>
      </c>
      <c r="G1041" s="88">
        <v>497909677621</v>
      </c>
      <c r="H1041" s="91">
        <v>497.90967762100001</v>
      </c>
      <c r="I1041" s="100" t="s">
        <v>2405</v>
      </c>
    </row>
    <row r="1042" spans="1:9">
      <c r="A1042" s="95" t="s">
        <v>2407</v>
      </c>
      <c r="B1042" s="96" t="s">
        <v>1034</v>
      </c>
      <c r="C1042" s="96" t="s">
        <v>1241</v>
      </c>
      <c r="D1042" s="96" t="s">
        <v>2543</v>
      </c>
      <c r="E1042" s="96" t="s">
        <v>2544</v>
      </c>
      <c r="F1042" s="96" t="s">
        <v>2545</v>
      </c>
      <c r="G1042" s="88">
        <v>0</v>
      </c>
      <c r="H1042" s="91">
        <v>0</v>
      </c>
      <c r="I1042" s="100" t="s">
        <v>2405</v>
      </c>
    </row>
    <row r="1043" spans="1:9">
      <c r="A1043" s="95" t="s">
        <v>2407</v>
      </c>
      <c r="B1043" s="96" t="s">
        <v>1034</v>
      </c>
      <c r="C1043" s="96" t="s">
        <v>1241</v>
      </c>
      <c r="D1043" s="96" t="s">
        <v>2546</v>
      </c>
      <c r="E1043" s="96" t="s">
        <v>2547</v>
      </c>
      <c r="F1043" s="96" t="s">
        <v>2548</v>
      </c>
      <c r="G1043" s="88">
        <v>0</v>
      </c>
      <c r="H1043" s="91">
        <v>0</v>
      </c>
      <c r="I1043" s="100" t="s">
        <v>2405</v>
      </c>
    </row>
    <row r="1044" spans="1:9">
      <c r="A1044" s="95" t="s">
        <v>2407</v>
      </c>
      <c r="B1044" s="96" t="s">
        <v>1034</v>
      </c>
      <c r="C1044" s="96" t="s">
        <v>1241</v>
      </c>
      <c r="D1044" s="96" t="s">
        <v>2549</v>
      </c>
      <c r="E1044" s="96" t="s">
        <v>2550</v>
      </c>
      <c r="F1044" s="96" t="s">
        <v>2551</v>
      </c>
      <c r="G1044" s="88">
        <v>10938079461</v>
      </c>
      <c r="H1044" s="91">
        <v>10.938079460999999</v>
      </c>
      <c r="I1044" s="100" t="s">
        <v>2405</v>
      </c>
    </row>
    <row r="1045" spans="1:9">
      <c r="A1045" s="95" t="s">
        <v>2407</v>
      </c>
      <c r="B1045" s="96" t="s">
        <v>1034</v>
      </c>
      <c r="C1045" s="96" t="s">
        <v>1241</v>
      </c>
      <c r="D1045" s="96" t="s">
        <v>2552</v>
      </c>
      <c r="E1045" s="96" t="s">
        <v>2553</v>
      </c>
      <c r="F1045" s="96" t="s">
        <v>2554</v>
      </c>
      <c r="G1045" s="88">
        <v>0</v>
      </c>
      <c r="H1045" s="91">
        <v>0</v>
      </c>
      <c r="I1045" s="100" t="s">
        <v>2405</v>
      </c>
    </row>
    <row r="1046" spans="1:9">
      <c r="A1046" s="95" t="s">
        <v>2407</v>
      </c>
      <c r="B1046" s="96" t="s">
        <v>1034</v>
      </c>
      <c r="C1046" s="96" t="s">
        <v>1241</v>
      </c>
      <c r="D1046" s="96" t="s">
        <v>2555</v>
      </c>
      <c r="E1046" s="96" t="s">
        <v>2556</v>
      </c>
      <c r="F1046" s="96" t="s">
        <v>2557</v>
      </c>
      <c r="G1046" s="88">
        <v>0</v>
      </c>
      <c r="H1046" s="91">
        <v>0</v>
      </c>
      <c r="I1046" s="100" t="s">
        <v>2405</v>
      </c>
    </row>
    <row r="1047" spans="1:9">
      <c r="A1047" s="95" t="s">
        <v>2407</v>
      </c>
      <c r="B1047" s="96" t="s">
        <v>1034</v>
      </c>
      <c r="C1047" s="96" t="s">
        <v>1241</v>
      </c>
      <c r="D1047" s="96" t="s">
        <v>86</v>
      </c>
      <c r="E1047" s="96" t="s">
        <v>2073</v>
      </c>
      <c r="F1047" s="96" t="s">
        <v>2558</v>
      </c>
      <c r="G1047" s="88">
        <v>3090000000</v>
      </c>
      <c r="H1047" s="91">
        <v>3.09</v>
      </c>
      <c r="I1047" s="100" t="s">
        <v>2405</v>
      </c>
    </row>
    <row r="1048" spans="1:9">
      <c r="A1048" s="95" t="s">
        <v>2407</v>
      </c>
      <c r="B1048" s="96" t="s">
        <v>1034</v>
      </c>
      <c r="C1048" s="96" t="s">
        <v>1241</v>
      </c>
      <c r="D1048" s="96" t="s">
        <v>1866</v>
      </c>
      <c r="E1048" s="96" t="s">
        <v>2559</v>
      </c>
      <c r="F1048" s="96" t="s">
        <v>2560</v>
      </c>
      <c r="G1048" s="88">
        <v>0</v>
      </c>
      <c r="H1048" s="91">
        <v>0</v>
      </c>
      <c r="I1048" s="100" t="s">
        <v>2405</v>
      </c>
    </row>
    <row r="1049" spans="1:9">
      <c r="A1049" s="95" t="s">
        <v>2407</v>
      </c>
      <c r="B1049" s="96" t="s">
        <v>1034</v>
      </c>
      <c r="C1049" s="96" t="s">
        <v>1241</v>
      </c>
      <c r="D1049" s="96" t="s">
        <v>2561</v>
      </c>
      <c r="E1049" s="96" t="s">
        <v>2562</v>
      </c>
      <c r="F1049" s="96" t="s">
        <v>2563</v>
      </c>
      <c r="G1049" s="88">
        <v>0</v>
      </c>
      <c r="H1049" s="91">
        <v>0</v>
      </c>
      <c r="I1049" s="100" t="s">
        <v>2405</v>
      </c>
    </row>
    <row r="1050" spans="1:9">
      <c r="A1050" s="95" t="s">
        <v>2407</v>
      </c>
      <c r="B1050" s="96" t="s">
        <v>1034</v>
      </c>
      <c r="C1050" s="96" t="s">
        <v>1241</v>
      </c>
      <c r="D1050" s="96" t="s">
        <v>2564</v>
      </c>
      <c r="E1050" s="96" t="s">
        <v>2565</v>
      </c>
      <c r="F1050" s="96" t="s">
        <v>2566</v>
      </c>
      <c r="G1050" s="88">
        <v>3090000000</v>
      </c>
      <c r="H1050" s="91">
        <v>3.09</v>
      </c>
      <c r="I1050" s="100" t="s">
        <v>2405</v>
      </c>
    </row>
    <row r="1051" spans="1:9">
      <c r="A1051" s="95" t="s">
        <v>2407</v>
      </c>
      <c r="B1051" s="96" t="s">
        <v>1034</v>
      </c>
      <c r="C1051" s="96" t="s">
        <v>1241</v>
      </c>
      <c r="D1051" s="96" t="s">
        <v>2567</v>
      </c>
      <c r="E1051" s="96" t="s">
        <v>2568</v>
      </c>
      <c r="F1051" s="96" t="s">
        <v>2569</v>
      </c>
      <c r="G1051" s="88">
        <v>0</v>
      </c>
      <c r="H1051" s="91">
        <v>0</v>
      </c>
      <c r="I1051" s="100" t="s">
        <v>2405</v>
      </c>
    </row>
    <row r="1052" spans="1:9">
      <c r="A1052" s="95" t="s">
        <v>2407</v>
      </c>
      <c r="B1052" s="96" t="s">
        <v>1034</v>
      </c>
      <c r="C1052" s="96" t="s">
        <v>1241</v>
      </c>
      <c r="D1052" s="96" t="s">
        <v>1886</v>
      </c>
      <c r="E1052" s="96" t="s">
        <v>2570</v>
      </c>
      <c r="F1052" s="96" t="s">
        <v>2521</v>
      </c>
      <c r="G1052" s="88">
        <v>0</v>
      </c>
      <c r="H1052" s="91">
        <v>0</v>
      </c>
      <c r="I1052" s="100" t="s">
        <v>2405</v>
      </c>
    </row>
    <row r="1053" spans="1:9">
      <c r="A1053" s="95" t="s">
        <v>2407</v>
      </c>
      <c r="B1053" s="96" t="s">
        <v>1034</v>
      </c>
      <c r="C1053" s="96" t="s">
        <v>1241</v>
      </c>
      <c r="D1053" s="96" t="s">
        <v>1892</v>
      </c>
      <c r="E1053" s="96" t="s">
        <v>2571</v>
      </c>
      <c r="F1053" s="96" t="s">
        <v>2572</v>
      </c>
      <c r="G1053" s="88">
        <v>0</v>
      </c>
      <c r="H1053" s="91">
        <v>0</v>
      </c>
      <c r="I1053" s="100" t="s">
        <v>2405</v>
      </c>
    </row>
    <row r="1054" spans="1:9">
      <c r="A1054" s="95" t="s">
        <v>2407</v>
      </c>
      <c r="B1054" s="96" t="s">
        <v>1034</v>
      </c>
      <c r="C1054" s="96" t="s">
        <v>1241</v>
      </c>
      <c r="D1054" s="96" t="s">
        <v>1888</v>
      </c>
      <c r="E1054" s="96" t="s">
        <v>2573</v>
      </c>
      <c r="F1054" s="96" t="s">
        <v>2574</v>
      </c>
      <c r="G1054" s="88">
        <v>0</v>
      </c>
      <c r="H1054" s="91">
        <v>0</v>
      </c>
      <c r="I1054" s="100" t="s">
        <v>2405</v>
      </c>
    </row>
    <row r="1055" spans="1:9">
      <c r="A1055" s="95" t="s">
        <v>2407</v>
      </c>
      <c r="B1055" s="96" t="s">
        <v>1034</v>
      </c>
      <c r="C1055" s="96" t="s">
        <v>1241</v>
      </c>
      <c r="D1055" s="96" t="s">
        <v>2575</v>
      </c>
      <c r="E1055" s="96" t="s">
        <v>2576</v>
      </c>
      <c r="F1055" s="96" t="s">
        <v>2577</v>
      </c>
      <c r="G1055" s="88">
        <v>0</v>
      </c>
      <c r="H1055" s="91">
        <v>0</v>
      </c>
      <c r="I1055" s="100" t="s">
        <v>2405</v>
      </c>
    </row>
    <row r="1056" spans="1:9">
      <c r="A1056" s="95" t="s">
        <v>2407</v>
      </c>
      <c r="B1056" s="96" t="s">
        <v>1034</v>
      </c>
      <c r="C1056" s="96" t="s">
        <v>1241</v>
      </c>
      <c r="D1056" s="96" t="s">
        <v>2578</v>
      </c>
      <c r="E1056" s="96" t="s">
        <v>2579</v>
      </c>
      <c r="F1056" s="96" t="s">
        <v>2580</v>
      </c>
      <c r="G1056" s="88">
        <v>0</v>
      </c>
      <c r="H1056" s="91">
        <v>0</v>
      </c>
      <c r="I1056" s="100" t="s">
        <v>2405</v>
      </c>
    </row>
    <row r="1057" spans="1:9">
      <c r="A1057" s="95" t="s">
        <v>2407</v>
      </c>
      <c r="B1057" s="96" t="s">
        <v>1034</v>
      </c>
      <c r="C1057" s="96" t="s">
        <v>1241</v>
      </c>
      <c r="D1057" s="96" t="s">
        <v>2581</v>
      </c>
      <c r="E1057" s="96" t="s">
        <v>2582</v>
      </c>
      <c r="F1057" s="96" t="s">
        <v>2583</v>
      </c>
      <c r="G1057" s="88">
        <v>3674353250982</v>
      </c>
      <c r="H1057" s="91">
        <v>3674.3532509820002</v>
      </c>
      <c r="I1057" s="100" t="s">
        <v>2405</v>
      </c>
    </row>
    <row r="1058" spans="1:9">
      <c r="A1058" s="95" t="s">
        <v>2407</v>
      </c>
      <c r="B1058" s="96" t="s">
        <v>1034</v>
      </c>
      <c r="C1058" s="96" t="s">
        <v>1241</v>
      </c>
      <c r="D1058" s="96" t="s">
        <v>2584</v>
      </c>
      <c r="E1058" s="96" t="s">
        <v>2585</v>
      </c>
      <c r="F1058" s="96" t="s">
        <v>2586</v>
      </c>
      <c r="G1058" s="88">
        <v>3674353250982</v>
      </c>
      <c r="H1058" s="91">
        <v>3674.3532509820002</v>
      </c>
      <c r="I1058" s="100" t="s">
        <v>2405</v>
      </c>
    </row>
    <row r="1059" spans="1:9">
      <c r="A1059" s="95" t="s">
        <v>2407</v>
      </c>
      <c r="B1059" s="96" t="s">
        <v>1034</v>
      </c>
      <c r="C1059" s="96" t="s">
        <v>1241</v>
      </c>
      <c r="D1059" s="96" t="s">
        <v>2587</v>
      </c>
      <c r="E1059" s="96" t="s">
        <v>2588</v>
      </c>
      <c r="F1059" s="96" t="s">
        <v>2589</v>
      </c>
      <c r="G1059" s="88">
        <v>2213201690000</v>
      </c>
      <c r="H1059" s="91">
        <v>2213.2016899999999</v>
      </c>
      <c r="I1059" s="100" t="s">
        <v>2405</v>
      </c>
    </row>
    <row r="1060" spans="1:9">
      <c r="A1060" s="95" t="s">
        <v>2407</v>
      </c>
      <c r="B1060" s="96" t="s">
        <v>1034</v>
      </c>
      <c r="C1060" s="96" t="s">
        <v>1241</v>
      </c>
      <c r="D1060" s="96" t="s">
        <v>1900</v>
      </c>
      <c r="E1060" s="96" t="s">
        <v>2590</v>
      </c>
      <c r="F1060" s="96" t="s">
        <v>2591</v>
      </c>
      <c r="G1060" s="88">
        <v>61233761416</v>
      </c>
      <c r="H1060" s="91">
        <v>61.233761416</v>
      </c>
      <c r="I1060" s="100" t="s">
        <v>2405</v>
      </c>
    </row>
    <row r="1061" spans="1:9">
      <c r="A1061" s="95" t="s">
        <v>2407</v>
      </c>
      <c r="B1061" s="96" t="s">
        <v>1034</v>
      </c>
      <c r="C1061" s="96" t="s">
        <v>1241</v>
      </c>
      <c r="D1061" s="96" t="s">
        <v>2592</v>
      </c>
      <c r="E1061" s="96" t="s">
        <v>2593</v>
      </c>
      <c r="F1061" s="96" t="s">
        <v>2594</v>
      </c>
      <c r="G1061" s="88">
        <v>0</v>
      </c>
      <c r="H1061" s="91">
        <v>0</v>
      </c>
      <c r="I1061" s="100" t="s">
        <v>2405</v>
      </c>
    </row>
    <row r="1062" spans="1:9">
      <c r="A1062" s="95" t="s">
        <v>2407</v>
      </c>
      <c r="B1062" s="96" t="s">
        <v>1034</v>
      </c>
      <c r="C1062" s="96" t="s">
        <v>1241</v>
      </c>
      <c r="D1062" s="96" t="s">
        <v>1906</v>
      </c>
      <c r="E1062" s="96" t="s">
        <v>2595</v>
      </c>
      <c r="F1062" s="96" t="s">
        <v>2596</v>
      </c>
      <c r="G1062" s="88">
        <v>-6272937166</v>
      </c>
      <c r="H1062" s="91">
        <v>-6.2729371660000002</v>
      </c>
      <c r="I1062" s="100" t="s">
        <v>2405</v>
      </c>
    </row>
    <row r="1063" spans="1:9">
      <c r="A1063" s="95" t="s">
        <v>2407</v>
      </c>
      <c r="B1063" s="96" t="s">
        <v>1034</v>
      </c>
      <c r="C1063" s="96" t="s">
        <v>1241</v>
      </c>
      <c r="D1063" s="96" t="s">
        <v>2597</v>
      </c>
      <c r="E1063" s="96" t="s">
        <v>2598</v>
      </c>
      <c r="F1063" s="96" t="s">
        <v>2599</v>
      </c>
      <c r="G1063" s="88">
        <v>0</v>
      </c>
      <c r="H1063" s="91">
        <v>0</v>
      </c>
      <c r="I1063" s="100" t="s">
        <v>2405</v>
      </c>
    </row>
    <row r="1064" spans="1:9">
      <c r="A1064" s="95" t="s">
        <v>2407</v>
      </c>
      <c r="B1064" s="96" t="s">
        <v>1034</v>
      </c>
      <c r="C1064" s="96" t="s">
        <v>1241</v>
      </c>
      <c r="D1064" s="96" t="s">
        <v>1910</v>
      </c>
      <c r="E1064" s="96" t="s">
        <v>2600</v>
      </c>
      <c r="F1064" s="96" t="s">
        <v>2601</v>
      </c>
      <c r="G1064" s="88">
        <v>0</v>
      </c>
      <c r="H1064" s="91">
        <v>0</v>
      </c>
      <c r="I1064" s="100" t="s">
        <v>2405</v>
      </c>
    </row>
    <row r="1065" spans="1:9">
      <c r="A1065" s="95" t="s">
        <v>2407</v>
      </c>
      <c r="B1065" s="96" t="s">
        <v>1034</v>
      </c>
      <c r="C1065" s="96" t="s">
        <v>1241</v>
      </c>
      <c r="D1065" s="96" t="s">
        <v>2602</v>
      </c>
      <c r="E1065" s="96" t="s">
        <v>2603</v>
      </c>
      <c r="F1065" s="96" t="s">
        <v>2604</v>
      </c>
      <c r="G1065" s="88">
        <v>400000000</v>
      </c>
      <c r="H1065" s="91">
        <v>0.4</v>
      </c>
      <c r="I1065" s="100" t="s">
        <v>2405</v>
      </c>
    </row>
    <row r="1066" spans="1:9">
      <c r="A1066" s="95" t="s">
        <v>2407</v>
      </c>
      <c r="B1066" s="96" t="s">
        <v>1034</v>
      </c>
      <c r="C1066" s="96" t="s">
        <v>1241</v>
      </c>
      <c r="D1066" s="96" t="s">
        <v>2605</v>
      </c>
      <c r="E1066" s="96" t="s">
        <v>2606</v>
      </c>
      <c r="F1066" s="96" t="s">
        <v>2607</v>
      </c>
      <c r="G1066" s="88">
        <v>0</v>
      </c>
      <c r="H1066" s="91">
        <v>0</v>
      </c>
      <c r="I1066" s="100" t="s">
        <v>2405</v>
      </c>
    </row>
    <row r="1067" spans="1:9">
      <c r="A1067" s="95" t="s">
        <v>2407</v>
      </c>
      <c r="B1067" s="96" t="s">
        <v>1034</v>
      </c>
      <c r="C1067" s="96" t="s">
        <v>1241</v>
      </c>
      <c r="D1067" s="96" t="s">
        <v>2608</v>
      </c>
      <c r="E1067" s="96" t="s">
        <v>2609</v>
      </c>
      <c r="F1067" s="96" t="s">
        <v>2610</v>
      </c>
      <c r="G1067" s="88">
        <v>0</v>
      </c>
      <c r="H1067" s="91">
        <v>0</v>
      </c>
      <c r="I1067" s="100" t="s">
        <v>2405</v>
      </c>
    </row>
    <row r="1068" spans="1:9">
      <c r="A1068" s="95" t="s">
        <v>2407</v>
      </c>
      <c r="B1068" s="96" t="s">
        <v>1034</v>
      </c>
      <c r="C1068" s="96" t="s">
        <v>1241</v>
      </c>
      <c r="D1068" s="96" t="s">
        <v>2611</v>
      </c>
      <c r="E1068" s="96" t="s">
        <v>2612</v>
      </c>
      <c r="F1068" s="96" t="s">
        <v>2613</v>
      </c>
      <c r="G1068" s="88">
        <v>1364454018124</v>
      </c>
      <c r="H1068" s="91">
        <v>1364.454018124</v>
      </c>
      <c r="I1068" s="100" t="s">
        <v>2405</v>
      </c>
    </row>
    <row r="1069" spans="1:9">
      <c r="A1069" s="95" t="s">
        <v>2407</v>
      </c>
      <c r="B1069" s="96" t="s">
        <v>1034</v>
      </c>
      <c r="C1069" s="96" t="s">
        <v>1241</v>
      </c>
      <c r="D1069" s="96" t="s">
        <v>2614</v>
      </c>
      <c r="E1069" s="96" t="s">
        <v>2615</v>
      </c>
      <c r="F1069" s="96" t="s">
        <v>2616</v>
      </c>
      <c r="G1069" s="88">
        <v>0</v>
      </c>
      <c r="H1069" s="91">
        <v>0</v>
      </c>
      <c r="I1069" s="100" t="s">
        <v>2405</v>
      </c>
    </row>
    <row r="1070" spans="1:9">
      <c r="A1070" s="95" t="s">
        <v>2407</v>
      </c>
      <c r="B1070" s="96" t="s">
        <v>1034</v>
      </c>
      <c r="C1070" s="96" t="s">
        <v>1241</v>
      </c>
      <c r="D1070" s="96" t="s">
        <v>2617</v>
      </c>
      <c r="E1070" s="96" t="s">
        <v>2618</v>
      </c>
      <c r="F1070" s="96" t="s">
        <v>2619</v>
      </c>
      <c r="G1070" s="88">
        <v>0</v>
      </c>
      <c r="H1070" s="91">
        <v>0</v>
      </c>
      <c r="I1070" s="100" t="s">
        <v>2405</v>
      </c>
    </row>
    <row r="1071" spans="1:9">
      <c r="A1071" s="95" t="s">
        <v>2407</v>
      </c>
      <c r="B1071" s="96" t="s">
        <v>1034</v>
      </c>
      <c r="C1071" s="96" t="s">
        <v>1241</v>
      </c>
      <c r="D1071" s="96" t="s">
        <v>2620</v>
      </c>
      <c r="E1071" s="96" t="s">
        <v>2621</v>
      </c>
      <c r="F1071" s="96" t="s">
        <v>2622</v>
      </c>
      <c r="G1071" s="88">
        <v>0</v>
      </c>
      <c r="H1071" s="91">
        <v>0</v>
      </c>
      <c r="I1071" s="100" t="s">
        <v>2405</v>
      </c>
    </row>
    <row r="1072" spans="1:9">
      <c r="A1072" s="95" t="s">
        <v>2407</v>
      </c>
      <c r="B1072" s="96" t="s">
        <v>1034</v>
      </c>
      <c r="C1072" s="96" t="s">
        <v>1241</v>
      </c>
      <c r="D1072" s="96" t="s">
        <v>2617</v>
      </c>
      <c r="E1072" s="96" t="s">
        <v>2618</v>
      </c>
      <c r="F1072" s="96" t="s">
        <v>2623</v>
      </c>
      <c r="G1072" s="88">
        <v>0</v>
      </c>
      <c r="H1072" s="91">
        <v>0</v>
      </c>
      <c r="I1072" s="100" t="s">
        <v>2405</v>
      </c>
    </row>
    <row r="1073" spans="1:9">
      <c r="A1073" s="95" t="s">
        <v>2407</v>
      </c>
      <c r="B1073" s="96" t="s">
        <v>1034</v>
      </c>
      <c r="C1073" s="96" t="s">
        <v>1241</v>
      </c>
      <c r="D1073" s="96" t="s">
        <v>2624</v>
      </c>
      <c r="E1073" s="96" t="s">
        <v>2625</v>
      </c>
      <c r="F1073" s="96" t="s">
        <v>1631</v>
      </c>
      <c r="G1073" s="88">
        <v>0</v>
      </c>
      <c r="H1073" s="91">
        <v>0</v>
      </c>
      <c r="I1073" s="100" t="s">
        <v>2405</v>
      </c>
    </row>
    <row r="1074" spans="1:9">
      <c r="A1074" s="95" t="s">
        <v>2407</v>
      </c>
      <c r="B1074" s="96" t="s">
        <v>1034</v>
      </c>
      <c r="C1074" s="96" t="s">
        <v>1241</v>
      </c>
      <c r="D1074" s="96" t="s">
        <v>2626</v>
      </c>
      <c r="E1074" s="96" t="s">
        <v>2627</v>
      </c>
      <c r="F1074" s="96" t="s">
        <v>2628</v>
      </c>
      <c r="G1074" s="88">
        <v>10030979917127</v>
      </c>
      <c r="H1074" s="91">
        <v>10030.979917127001</v>
      </c>
      <c r="I1074" s="100" t="s">
        <v>2405</v>
      </c>
    </row>
    <row r="1075" spans="1:9">
      <c r="A1075" s="95" t="s">
        <v>2407</v>
      </c>
      <c r="B1075" s="96" t="s">
        <v>1034</v>
      </c>
      <c r="C1075" s="96" t="s">
        <v>1241</v>
      </c>
      <c r="D1075" s="96" t="s">
        <v>2629</v>
      </c>
      <c r="E1075" s="96" t="s">
        <v>2630</v>
      </c>
      <c r="F1075" s="96" t="s">
        <v>2631</v>
      </c>
      <c r="G1075" s="88">
        <v>0</v>
      </c>
      <c r="H1075" s="91">
        <v>0</v>
      </c>
      <c r="I1075" s="100" t="s">
        <v>2405</v>
      </c>
    </row>
    <row r="1076" spans="1:9">
      <c r="A1076" s="95" t="s">
        <v>2407</v>
      </c>
      <c r="B1076" s="96" t="s">
        <v>1034</v>
      </c>
      <c r="C1076" s="96" t="s">
        <v>1241</v>
      </c>
      <c r="D1076" s="96" t="s">
        <v>2632</v>
      </c>
      <c r="E1076" s="96" t="s">
        <v>2633</v>
      </c>
      <c r="F1076" s="96" t="s">
        <v>2634</v>
      </c>
      <c r="G1076" s="88">
        <v>121887600000</v>
      </c>
      <c r="H1076" s="91">
        <v>121.88760000000001</v>
      </c>
      <c r="I1076" s="100" t="s">
        <v>2405</v>
      </c>
    </row>
    <row r="1077" spans="1:9">
      <c r="A1077" s="95" t="s">
        <v>2407</v>
      </c>
      <c r="B1077" s="96" t="s">
        <v>1034</v>
      </c>
      <c r="C1077" s="96" t="s">
        <v>1241</v>
      </c>
      <c r="D1077" s="96" t="s">
        <v>2635</v>
      </c>
      <c r="E1077" s="96" t="s">
        <v>2636</v>
      </c>
      <c r="F1077" s="96" t="s">
        <v>2637</v>
      </c>
      <c r="G1077" s="88">
        <v>0</v>
      </c>
      <c r="H1077" s="91">
        <v>0</v>
      </c>
      <c r="I1077" s="100" t="s">
        <v>2405</v>
      </c>
    </row>
    <row r="1078" spans="1:9">
      <c r="A1078" s="95" t="s">
        <v>2407</v>
      </c>
      <c r="B1078" s="96" t="s">
        <v>1034</v>
      </c>
      <c r="C1078" s="96" t="s">
        <v>1241</v>
      </c>
      <c r="D1078" s="96" t="s">
        <v>2638</v>
      </c>
      <c r="E1078" s="96" t="s">
        <v>2639</v>
      </c>
      <c r="F1078" s="96" t="s">
        <v>2640</v>
      </c>
      <c r="G1078" s="88">
        <v>0</v>
      </c>
      <c r="H1078" s="91">
        <v>0</v>
      </c>
      <c r="I1078" s="100" t="s">
        <v>2405</v>
      </c>
    </row>
    <row r="1079" spans="1:9">
      <c r="A1079" s="95" t="s">
        <v>2407</v>
      </c>
      <c r="B1079" s="96" t="s">
        <v>1034</v>
      </c>
      <c r="C1079" s="96" t="s">
        <v>1241</v>
      </c>
      <c r="D1079" s="96" t="s">
        <v>2641</v>
      </c>
      <c r="E1079" s="96" t="s">
        <v>2642</v>
      </c>
      <c r="F1079" s="96" t="s">
        <v>2643</v>
      </c>
      <c r="G1079" s="88">
        <v>0</v>
      </c>
      <c r="H1079" s="91">
        <v>0</v>
      </c>
      <c r="I1079" s="100" t="s">
        <v>2405</v>
      </c>
    </row>
    <row r="1080" spans="1:9">
      <c r="A1080" s="95" t="s">
        <v>2407</v>
      </c>
      <c r="B1080" s="96" t="s">
        <v>1034</v>
      </c>
      <c r="C1080" s="96" t="s">
        <v>1241</v>
      </c>
      <c r="D1080" s="96" t="s">
        <v>2644</v>
      </c>
      <c r="E1080" s="96" t="s">
        <v>2645</v>
      </c>
      <c r="F1080" s="96" t="s">
        <v>2646</v>
      </c>
      <c r="G1080" s="88">
        <v>0</v>
      </c>
      <c r="H1080" s="91">
        <v>0</v>
      </c>
      <c r="I1080" s="100" t="s">
        <v>2405</v>
      </c>
    </row>
    <row r="1081" spans="1:9">
      <c r="A1081" s="95" t="s">
        <v>2407</v>
      </c>
      <c r="B1081" s="96" t="s">
        <v>1034</v>
      </c>
      <c r="C1081" s="96" t="s">
        <v>1241</v>
      </c>
      <c r="D1081" s="96" t="s">
        <v>1759</v>
      </c>
      <c r="E1081" s="96" t="s">
        <v>2647</v>
      </c>
      <c r="F1081" s="96" t="s">
        <v>2648</v>
      </c>
      <c r="G1081" s="88">
        <v>0</v>
      </c>
      <c r="H1081" s="91">
        <v>0</v>
      </c>
      <c r="I1081" s="100" t="s">
        <v>2405</v>
      </c>
    </row>
    <row r="1082" spans="1:9">
      <c r="A1082" s="95" t="s">
        <v>2407</v>
      </c>
      <c r="B1082" s="96" t="s">
        <v>1034</v>
      </c>
      <c r="C1082" s="96" t="s">
        <v>1241</v>
      </c>
      <c r="D1082" s="96" t="s">
        <v>2649</v>
      </c>
      <c r="E1082" s="96" t="s">
        <v>2650</v>
      </c>
      <c r="F1082" s="96" t="s">
        <v>2651</v>
      </c>
      <c r="G1082" s="88">
        <v>0</v>
      </c>
      <c r="H1082" s="91">
        <v>0</v>
      </c>
      <c r="I1082" s="100" t="s">
        <v>2405</v>
      </c>
    </row>
    <row r="1083" spans="1:9">
      <c r="A1083" s="95" t="s">
        <v>2407</v>
      </c>
      <c r="B1083" s="96" t="s">
        <v>1034</v>
      </c>
      <c r="C1083" s="96" t="s">
        <v>1241</v>
      </c>
      <c r="D1083" s="96" t="s">
        <v>2652</v>
      </c>
      <c r="E1083" s="96" t="s">
        <v>2653</v>
      </c>
      <c r="F1083" s="96" t="s">
        <v>2654</v>
      </c>
      <c r="G1083" s="88">
        <v>103752153</v>
      </c>
      <c r="H1083" s="91">
        <v>0.103752153</v>
      </c>
      <c r="I1083" s="100" t="s">
        <v>2405</v>
      </c>
    </row>
    <row r="1084" spans="1:9">
      <c r="A1084" s="95" t="s">
        <v>2407</v>
      </c>
      <c r="B1084" s="96" t="s">
        <v>1034</v>
      </c>
      <c r="C1084" s="96" t="s">
        <v>1241</v>
      </c>
      <c r="D1084" s="96" t="s">
        <v>2655</v>
      </c>
      <c r="E1084" s="96" t="s">
        <v>2656</v>
      </c>
      <c r="F1084" s="96" t="s">
        <v>2657</v>
      </c>
      <c r="G1084" s="88">
        <v>0</v>
      </c>
      <c r="H1084" s="91">
        <v>0</v>
      </c>
      <c r="I1084" s="100" t="s">
        <v>2405</v>
      </c>
    </row>
    <row r="1085" spans="1:9">
      <c r="A1085" s="95" t="s">
        <v>2407</v>
      </c>
      <c r="B1085" s="96" t="s">
        <v>1034</v>
      </c>
      <c r="C1085" s="96" t="s">
        <v>1241</v>
      </c>
      <c r="D1085" s="96" t="s">
        <v>2632</v>
      </c>
      <c r="E1085" s="96" t="s">
        <v>2633</v>
      </c>
      <c r="F1085" s="96" t="s">
        <v>2634</v>
      </c>
      <c r="G1085" s="88">
        <v>0</v>
      </c>
      <c r="H1085" s="91">
        <v>0</v>
      </c>
      <c r="I1085" s="100" t="s">
        <v>2405</v>
      </c>
    </row>
    <row r="1086" spans="1:9">
      <c r="A1086" s="95" t="s">
        <v>2407</v>
      </c>
      <c r="B1086" s="96" t="s">
        <v>1034</v>
      </c>
      <c r="C1086" s="96" t="s">
        <v>1241</v>
      </c>
      <c r="D1086" s="96" t="s">
        <v>2658</v>
      </c>
      <c r="E1086" s="96" t="s">
        <v>2659</v>
      </c>
      <c r="F1086" s="96" t="s">
        <v>2660</v>
      </c>
      <c r="G1086" s="88">
        <v>0</v>
      </c>
      <c r="H1086" s="91">
        <v>0</v>
      </c>
      <c r="I1086" s="100" t="s">
        <v>2405</v>
      </c>
    </row>
    <row r="1087" spans="1:9">
      <c r="A1087" s="95" t="s">
        <v>2407</v>
      </c>
      <c r="B1087" s="96" t="s">
        <v>1034</v>
      </c>
      <c r="C1087" s="96" t="s">
        <v>1241</v>
      </c>
      <c r="D1087" s="96" t="s">
        <v>2661</v>
      </c>
      <c r="E1087" s="96" t="s">
        <v>2662</v>
      </c>
      <c r="F1087" s="96" t="s">
        <v>2663</v>
      </c>
      <c r="G1087" s="88">
        <v>0</v>
      </c>
      <c r="H1087" s="91">
        <v>0</v>
      </c>
      <c r="I1087" s="100" t="s">
        <v>2405</v>
      </c>
    </row>
    <row r="1088" spans="1:9">
      <c r="A1088" s="95" t="s">
        <v>2407</v>
      </c>
      <c r="B1088" s="96" t="s">
        <v>1034</v>
      </c>
      <c r="C1088" s="96" t="s">
        <v>1241</v>
      </c>
      <c r="D1088" s="96" t="s">
        <v>1862</v>
      </c>
      <c r="E1088" s="96" t="s">
        <v>2664</v>
      </c>
      <c r="F1088" s="96" t="s">
        <v>2665</v>
      </c>
      <c r="G1088" s="88">
        <v>0</v>
      </c>
      <c r="H1088" s="91">
        <v>0</v>
      </c>
      <c r="I1088" s="100" t="s">
        <v>2405</v>
      </c>
    </row>
    <row r="1089" spans="1:9">
      <c r="A1089" s="95" t="s">
        <v>2407</v>
      </c>
      <c r="B1089" s="96" t="s">
        <v>1034</v>
      </c>
      <c r="C1089" s="96" t="s">
        <v>1241</v>
      </c>
      <c r="D1089" s="96" t="s">
        <v>2644</v>
      </c>
      <c r="E1089" s="96" t="s">
        <v>2645</v>
      </c>
      <c r="F1089" s="96" t="s">
        <v>2666</v>
      </c>
      <c r="G1089" s="88">
        <v>0</v>
      </c>
      <c r="H1089" s="91">
        <v>0</v>
      </c>
      <c r="I1089" s="100" t="s">
        <v>2405</v>
      </c>
    </row>
    <row r="1090" spans="1:9">
      <c r="A1090" s="95" t="s">
        <v>2407</v>
      </c>
      <c r="B1090" s="96" t="s">
        <v>1034</v>
      </c>
      <c r="C1090" s="96" t="s">
        <v>1241</v>
      </c>
      <c r="D1090" s="96" t="s">
        <v>1868</v>
      </c>
      <c r="E1090" s="96" t="s">
        <v>2667</v>
      </c>
      <c r="F1090" s="96" t="s">
        <v>2668</v>
      </c>
      <c r="G1090" s="88">
        <v>0</v>
      </c>
      <c r="H1090" s="91">
        <v>0</v>
      </c>
      <c r="I1090" s="100" t="s">
        <v>2405</v>
      </c>
    </row>
    <row r="1091" spans="1:9">
      <c r="A1091" s="95" t="s">
        <v>2407</v>
      </c>
      <c r="B1091" s="96" t="s">
        <v>1034</v>
      </c>
      <c r="C1091" s="96" t="s">
        <v>1241</v>
      </c>
      <c r="D1091" s="96" t="s">
        <v>1872</v>
      </c>
      <c r="E1091" s="96" t="s">
        <v>2669</v>
      </c>
      <c r="F1091" s="96" t="s">
        <v>2670</v>
      </c>
      <c r="G1091" s="88">
        <v>0</v>
      </c>
      <c r="H1091" s="91">
        <v>0</v>
      </c>
      <c r="I1091" s="100" t="s">
        <v>2405</v>
      </c>
    </row>
    <row r="1092" spans="1:9">
      <c r="A1092" s="95" t="s">
        <v>2407</v>
      </c>
      <c r="B1092" s="96" t="s">
        <v>1034</v>
      </c>
      <c r="C1092" s="96" t="s">
        <v>1241</v>
      </c>
      <c r="D1092" s="96" t="s">
        <v>2671</v>
      </c>
      <c r="E1092" s="96" t="s">
        <v>2672</v>
      </c>
      <c r="F1092" s="96" t="s">
        <v>2673</v>
      </c>
      <c r="G1092" s="88">
        <v>0</v>
      </c>
      <c r="H1092" s="91">
        <v>0</v>
      </c>
      <c r="I1092" s="100" t="s">
        <v>2405</v>
      </c>
    </row>
    <row r="1093" spans="1:9">
      <c r="A1093" s="95" t="s">
        <v>2407</v>
      </c>
      <c r="B1093" s="96" t="s">
        <v>1034</v>
      </c>
      <c r="C1093" s="96" t="s">
        <v>1241</v>
      </c>
      <c r="D1093" s="96" t="s">
        <v>1882</v>
      </c>
      <c r="E1093" s="96" t="s">
        <v>2674</v>
      </c>
      <c r="F1093" s="96" t="s">
        <v>2675</v>
      </c>
      <c r="G1093" s="88">
        <v>0</v>
      </c>
      <c r="H1093" s="91">
        <v>0</v>
      </c>
      <c r="I1093" s="100" t="s">
        <v>2405</v>
      </c>
    </row>
    <row r="1094" spans="1:9">
      <c r="A1094" s="95" t="s">
        <v>2407</v>
      </c>
      <c r="B1094" s="96" t="s">
        <v>1034</v>
      </c>
      <c r="C1094" s="96" t="s">
        <v>1241</v>
      </c>
      <c r="D1094" s="96" t="s">
        <v>2629</v>
      </c>
      <c r="E1094" s="96" t="s">
        <v>2630</v>
      </c>
      <c r="F1094" s="96" t="s">
        <v>2631</v>
      </c>
      <c r="G1094" s="88">
        <v>0</v>
      </c>
      <c r="H1094" s="91">
        <v>0</v>
      </c>
      <c r="I1094" s="100" t="s">
        <v>2405</v>
      </c>
    </row>
    <row r="1095" spans="1:9">
      <c r="A1095" s="95" t="s">
        <v>2407</v>
      </c>
      <c r="B1095" s="96" t="s">
        <v>1034</v>
      </c>
      <c r="C1095" s="96" t="s">
        <v>1241</v>
      </c>
      <c r="D1095" s="96" t="s">
        <v>2676</v>
      </c>
      <c r="E1095" s="96" t="s">
        <v>2677</v>
      </c>
      <c r="F1095" s="96" t="s">
        <v>2678</v>
      </c>
      <c r="G1095" s="88">
        <v>2213201690000</v>
      </c>
      <c r="H1095" s="91">
        <v>2213.2016899999999</v>
      </c>
      <c r="I1095" s="100" t="s">
        <v>2405</v>
      </c>
    </row>
    <row r="1096" spans="1:9">
      <c r="A1096" s="95" t="s">
        <v>2407</v>
      </c>
      <c r="B1096" s="96" t="s">
        <v>1034</v>
      </c>
      <c r="C1096" s="96" t="s">
        <v>1241</v>
      </c>
      <c r="D1096" s="96" t="s">
        <v>2679</v>
      </c>
      <c r="E1096" s="96" t="s">
        <v>2680</v>
      </c>
      <c r="F1096" s="96" t="s">
        <v>2681</v>
      </c>
      <c r="G1096" s="88">
        <v>0</v>
      </c>
      <c r="H1096" s="91">
        <v>0</v>
      </c>
      <c r="I1096" s="100" t="s">
        <v>2405</v>
      </c>
    </row>
    <row r="1097" spans="1:9">
      <c r="A1097" s="95" t="s">
        <v>2407</v>
      </c>
      <c r="B1097" s="96" t="s">
        <v>1034</v>
      </c>
      <c r="C1097" s="96" t="s">
        <v>1241</v>
      </c>
      <c r="D1097" s="96" t="s">
        <v>2682</v>
      </c>
      <c r="E1097" s="96" t="s">
        <v>2683</v>
      </c>
      <c r="F1097" s="96" t="s">
        <v>2684</v>
      </c>
      <c r="G1097" s="88">
        <v>1164236708785</v>
      </c>
      <c r="H1097" s="91">
        <v>1164.236708785</v>
      </c>
      <c r="I1097" s="100" t="s">
        <v>2405</v>
      </c>
    </row>
    <row r="1098" spans="1:9">
      <c r="A1098" s="95" t="s">
        <v>2407</v>
      </c>
      <c r="B1098" s="96" t="s">
        <v>1034</v>
      </c>
      <c r="C1098" s="96" t="s">
        <v>1241</v>
      </c>
      <c r="D1098" s="96" t="s">
        <v>2685</v>
      </c>
      <c r="E1098" s="96" t="s">
        <v>2686</v>
      </c>
      <c r="F1098" s="96" t="s">
        <v>2687</v>
      </c>
      <c r="G1098" s="88">
        <v>200217309339</v>
      </c>
      <c r="H1098" s="91">
        <v>200.217309339</v>
      </c>
      <c r="I1098" s="100" t="s">
        <v>2405</v>
      </c>
    </row>
    <row r="1099" spans="1:9">
      <c r="A1099" s="95" t="s">
        <v>2407</v>
      </c>
      <c r="B1099" s="96" t="s">
        <v>1034</v>
      </c>
      <c r="C1099" s="96" t="s">
        <v>1241</v>
      </c>
      <c r="D1099" s="96" t="s">
        <v>1810</v>
      </c>
      <c r="E1099" s="96" t="s">
        <v>2688</v>
      </c>
      <c r="F1099" s="96" t="s">
        <v>2689</v>
      </c>
      <c r="G1099" s="88">
        <v>103752153</v>
      </c>
      <c r="H1099" s="91">
        <v>0.103752153</v>
      </c>
      <c r="I1099" s="100" t="s">
        <v>2405</v>
      </c>
    </row>
    <row r="1100" spans="1:9">
      <c r="A1100" s="95" t="s">
        <v>2407</v>
      </c>
      <c r="B1100" s="96" t="s">
        <v>1034</v>
      </c>
      <c r="C1100" s="96" t="s">
        <v>1241</v>
      </c>
      <c r="D1100" s="96" t="s">
        <v>1834</v>
      </c>
      <c r="E1100" s="96" t="s">
        <v>2690</v>
      </c>
      <c r="F1100" s="96" t="s">
        <v>2691</v>
      </c>
      <c r="G1100" s="88">
        <v>0</v>
      </c>
      <c r="H1100" s="91">
        <v>0</v>
      </c>
      <c r="I1100" s="100" t="s">
        <v>2405</v>
      </c>
    </row>
    <row r="1101" spans="1:9">
      <c r="A1101" s="95" t="s">
        <v>2407</v>
      </c>
      <c r="B1101" s="96" t="s">
        <v>1034</v>
      </c>
      <c r="C1101" s="96" t="s">
        <v>1241</v>
      </c>
      <c r="D1101" s="96" t="s">
        <v>2390</v>
      </c>
      <c r="E1101" s="96" t="s">
        <v>2391</v>
      </c>
      <c r="F1101" s="96" t="s">
        <v>2692</v>
      </c>
      <c r="G1101" s="88">
        <v>41336718608</v>
      </c>
      <c r="H1101" s="91">
        <v>41.336718607999998</v>
      </c>
      <c r="I1101" s="100" t="s">
        <v>2405</v>
      </c>
    </row>
    <row r="1102" spans="1:9">
      <c r="A1102" s="95" t="s">
        <v>2407</v>
      </c>
      <c r="B1102" s="96" t="s">
        <v>1034</v>
      </c>
      <c r="C1102" s="96" t="s">
        <v>1241</v>
      </c>
      <c r="D1102" s="96" t="s">
        <v>2693</v>
      </c>
      <c r="E1102" s="96" t="s">
        <v>2694</v>
      </c>
      <c r="F1102" s="96" t="s">
        <v>2695</v>
      </c>
      <c r="G1102" s="88">
        <v>0</v>
      </c>
      <c r="H1102" s="91">
        <v>0</v>
      </c>
      <c r="I1102" s="100" t="s">
        <v>2405</v>
      </c>
    </row>
    <row r="1103" spans="1:9">
      <c r="A1103" s="95" t="s">
        <v>2408</v>
      </c>
      <c r="B1103" s="96" t="s">
        <v>2333</v>
      </c>
      <c r="C1103" s="96" t="s">
        <v>1241</v>
      </c>
      <c r="D1103" s="96" t="s">
        <v>68</v>
      </c>
      <c r="E1103" s="96" t="s">
        <v>2411</v>
      </c>
      <c r="F1103" s="96" t="s">
        <v>2412</v>
      </c>
      <c r="G1103" s="88">
        <v>12329728764008</v>
      </c>
      <c r="H1103" s="91">
        <v>12329.728764007999</v>
      </c>
      <c r="I1103" s="100" t="s">
        <v>2337</v>
      </c>
    </row>
    <row r="1104" spans="1:9">
      <c r="A1104" s="95" t="s">
        <v>2408</v>
      </c>
      <c r="B1104" s="96" t="s">
        <v>2333</v>
      </c>
      <c r="C1104" s="96" t="s">
        <v>1241</v>
      </c>
      <c r="D1104" s="96" t="s">
        <v>58</v>
      </c>
      <c r="E1104" s="96" t="s">
        <v>2413</v>
      </c>
      <c r="F1104" s="96" t="s">
        <v>2414</v>
      </c>
      <c r="G1104" s="88">
        <v>1474323607521</v>
      </c>
      <c r="H1104" s="91">
        <v>1474.323607521</v>
      </c>
      <c r="I1104" s="100" t="s">
        <v>2337</v>
      </c>
    </row>
    <row r="1105" spans="1:9">
      <c r="A1105" s="95" t="s">
        <v>2408</v>
      </c>
      <c r="B1105" s="96" t="s">
        <v>2333</v>
      </c>
      <c r="C1105" s="96" t="s">
        <v>1241</v>
      </c>
      <c r="D1105" s="96" t="s">
        <v>1699</v>
      </c>
      <c r="E1105" s="96" t="s">
        <v>2415</v>
      </c>
      <c r="F1105" s="96" t="s">
        <v>2416</v>
      </c>
      <c r="G1105" s="88">
        <v>1300340843329</v>
      </c>
      <c r="H1105" s="91">
        <v>1300.3408433290001</v>
      </c>
      <c r="I1105" s="100" t="s">
        <v>2337</v>
      </c>
    </row>
    <row r="1106" spans="1:9">
      <c r="A1106" s="95" t="s">
        <v>2408</v>
      </c>
      <c r="B1106" s="96" t="s">
        <v>2333</v>
      </c>
      <c r="C1106" s="96" t="s">
        <v>1241</v>
      </c>
      <c r="D1106" s="96" t="s">
        <v>1701</v>
      </c>
      <c r="E1106" s="96" t="s">
        <v>2417</v>
      </c>
      <c r="F1106" s="96" t="s">
        <v>2418</v>
      </c>
      <c r="G1106" s="88">
        <v>173982764192</v>
      </c>
      <c r="H1106" s="91">
        <v>173.98276419199999</v>
      </c>
      <c r="I1106" s="100" t="s">
        <v>2337</v>
      </c>
    </row>
    <row r="1107" spans="1:9">
      <c r="A1107" s="95" t="s">
        <v>2408</v>
      </c>
      <c r="B1107" s="96" t="s">
        <v>2333</v>
      </c>
      <c r="C1107" s="96" t="s">
        <v>1241</v>
      </c>
      <c r="D1107" s="96" t="s">
        <v>2053</v>
      </c>
      <c r="E1107" s="96" t="s">
        <v>2419</v>
      </c>
      <c r="F1107" s="96" t="s">
        <v>2420</v>
      </c>
      <c r="G1107" s="88">
        <v>4275945063793</v>
      </c>
      <c r="H1107" s="91">
        <v>4275.9450637930004</v>
      </c>
      <c r="I1107" s="100" t="s">
        <v>2337</v>
      </c>
    </row>
    <row r="1108" spans="1:9">
      <c r="A1108" s="95" t="s">
        <v>2408</v>
      </c>
      <c r="B1108" s="96" t="s">
        <v>2333</v>
      </c>
      <c r="C1108" s="96" t="s">
        <v>1241</v>
      </c>
      <c r="D1108" s="96" t="s">
        <v>2053</v>
      </c>
      <c r="E1108" s="96" t="s">
        <v>2419</v>
      </c>
      <c r="F1108" s="96" t="s">
        <v>2420</v>
      </c>
      <c r="G1108" s="88">
        <v>332643047312</v>
      </c>
      <c r="H1108" s="91">
        <v>332.64304731200002</v>
      </c>
      <c r="I1108" s="100" t="s">
        <v>2337</v>
      </c>
    </row>
    <row r="1109" spans="1:9">
      <c r="A1109" s="95" t="s">
        <v>2408</v>
      </c>
      <c r="B1109" s="96" t="s">
        <v>2333</v>
      </c>
      <c r="C1109" s="96" t="s">
        <v>1241</v>
      </c>
      <c r="D1109" s="96" t="s">
        <v>2421</v>
      </c>
      <c r="E1109" s="96" t="s">
        <v>2422</v>
      </c>
      <c r="F1109" s="96" t="s">
        <v>2423</v>
      </c>
      <c r="G1109" s="88">
        <v>-22425543721</v>
      </c>
      <c r="H1109" s="91">
        <v>-22.425543721</v>
      </c>
      <c r="I1109" s="100" t="s">
        <v>2337</v>
      </c>
    </row>
    <row r="1110" spans="1:9">
      <c r="A1110" s="95" t="s">
        <v>2408</v>
      </c>
      <c r="B1110" s="96" t="s">
        <v>2333</v>
      </c>
      <c r="C1110" s="96" t="s">
        <v>1241</v>
      </c>
      <c r="D1110" s="96" t="s">
        <v>2424</v>
      </c>
      <c r="E1110" s="96" t="s">
        <v>2425</v>
      </c>
      <c r="F1110" s="96" t="s">
        <v>2426</v>
      </c>
      <c r="G1110" s="88">
        <v>4663306222503</v>
      </c>
      <c r="H1110" s="91">
        <v>4663.3062225029998</v>
      </c>
      <c r="I1110" s="100" t="s">
        <v>2337</v>
      </c>
    </row>
    <row r="1111" spans="1:9">
      <c r="A1111" s="95" t="s">
        <v>2408</v>
      </c>
      <c r="B1111" s="96" t="s">
        <v>2333</v>
      </c>
      <c r="C1111" s="96" t="s">
        <v>1241</v>
      </c>
      <c r="D1111" s="96" t="s">
        <v>2427</v>
      </c>
      <c r="E1111" s="96" t="s">
        <v>2428</v>
      </c>
      <c r="F1111" s="96" t="s">
        <v>2429</v>
      </c>
      <c r="G1111" s="88">
        <v>3635793276334</v>
      </c>
      <c r="H1111" s="91">
        <v>3635.793276334</v>
      </c>
      <c r="I1111" s="100" t="s">
        <v>2337</v>
      </c>
    </row>
    <row r="1112" spans="1:9">
      <c r="A1112" s="95" t="s">
        <v>2408</v>
      </c>
      <c r="B1112" s="96" t="s">
        <v>2333</v>
      </c>
      <c r="C1112" s="96" t="s">
        <v>1241</v>
      </c>
      <c r="D1112" s="96" t="s">
        <v>2430</v>
      </c>
      <c r="E1112" s="96" t="s">
        <v>2431</v>
      </c>
      <c r="F1112" s="96" t="s">
        <v>2432</v>
      </c>
      <c r="G1112" s="88">
        <v>1115161031996</v>
      </c>
      <c r="H1112" s="91">
        <v>1115.161031996</v>
      </c>
      <c r="I1112" s="100" t="s">
        <v>2337</v>
      </c>
    </row>
    <row r="1113" spans="1:9">
      <c r="A1113" s="95" t="s">
        <v>2408</v>
      </c>
      <c r="B1113" s="96" t="s">
        <v>2333</v>
      </c>
      <c r="C1113" s="96" t="s">
        <v>1241</v>
      </c>
      <c r="D1113" s="96" t="s">
        <v>2433</v>
      </c>
      <c r="E1113" s="96" t="s">
        <v>2434</v>
      </c>
      <c r="F1113" s="96" t="s">
        <v>2435</v>
      </c>
      <c r="G1113" s="88">
        <v>0</v>
      </c>
      <c r="H1113" s="91">
        <v>0</v>
      </c>
      <c r="I1113" s="100" t="s">
        <v>2337</v>
      </c>
    </row>
    <row r="1114" spans="1:9">
      <c r="A1114" s="95" t="s">
        <v>2408</v>
      </c>
      <c r="B1114" s="96" t="s">
        <v>2333</v>
      </c>
      <c r="C1114" s="96" t="s">
        <v>1241</v>
      </c>
      <c r="D1114" s="96" t="s">
        <v>2436</v>
      </c>
      <c r="E1114" s="96" t="s">
        <v>2437</v>
      </c>
      <c r="F1114" s="96" t="s">
        <v>2438</v>
      </c>
      <c r="G1114" s="88">
        <v>0</v>
      </c>
      <c r="H1114" s="91">
        <v>0</v>
      </c>
      <c r="I1114" s="100" t="s">
        <v>2337</v>
      </c>
    </row>
    <row r="1115" spans="1:9">
      <c r="A1115" s="95" t="s">
        <v>2408</v>
      </c>
      <c r="B1115" s="96" t="s">
        <v>2333</v>
      </c>
      <c r="C1115" s="96" t="s">
        <v>1241</v>
      </c>
      <c r="D1115" s="96" t="s">
        <v>2439</v>
      </c>
      <c r="E1115" s="96" t="s">
        <v>2440</v>
      </c>
      <c r="F1115" s="96" t="s">
        <v>2441</v>
      </c>
      <c r="G1115" s="88">
        <v>257103724434</v>
      </c>
      <c r="H1115" s="91">
        <v>257.10372443400001</v>
      </c>
      <c r="I1115" s="100" t="s">
        <v>2337</v>
      </c>
    </row>
    <row r="1116" spans="1:9">
      <c r="A1116" s="95" t="s">
        <v>2408</v>
      </c>
      <c r="B1116" s="96" t="s">
        <v>2333</v>
      </c>
      <c r="C1116" s="96" t="s">
        <v>1241</v>
      </c>
      <c r="D1116" s="96" t="s">
        <v>2442</v>
      </c>
      <c r="E1116" s="96" t="s">
        <v>2443</v>
      </c>
      <c r="F1116" s="96" t="s">
        <v>2444</v>
      </c>
      <c r="G1116" s="88">
        <v>-344751810261</v>
      </c>
      <c r="H1116" s="91">
        <v>-344.751810261</v>
      </c>
      <c r="I1116" s="100" t="s">
        <v>2337</v>
      </c>
    </row>
    <row r="1117" spans="1:9">
      <c r="A1117" s="95" t="s">
        <v>2408</v>
      </c>
      <c r="B1117" s="96" t="s">
        <v>2333</v>
      </c>
      <c r="C1117" s="96" t="s">
        <v>1241</v>
      </c>
      <c r="D1117" s="96" t="s">
        <v>2445</v>
      </c>
      <c r="E1117" s="96" t="s">
        <v>2446</v>
      </c>
      <c r="F1117" s="96" t="s">
        <v>2447</v>
      </c>
      <c r="G1117" s="88">
        <v>1630743787796</v>
      </c>
      <c r="H1117" s="91">
        <v>1630.7437877960001</v>
      </c>
      <c r="I1117" s="100" t="s">
        <v>2337</v>
      </c>
    </row>
    <row r="1118" spans="1:9">
      <c r="A1118" s="95" t="s">
        <v>2408</v>
      </c>
      <c r="B1118" s="96" t="s">
        <v>2333</v>
      </c>
      <c r="C1118" s="96" t="s">
        <v>1241</v>
      </c>
      <c r="D1118" s="96" t="s">
        <v>64</v>
      </c>
      <c r="E1118" s="96" t="s">
        <v>2448</v>
      </c>
      <c r="F1118" s="96" t="s">
        <v>2449</v>
      </c>
      <c r="G1118" s="88">
        <v>1676223823220</v>
      </c>
      <c r="H1118" s="91">
        <v>1676.22382322</v>
      </c>
      <c r="I1118" s="100" t="s">
        <v>2337</v>
      </c>
    </row>
    <row r="1119" spans="1:9">
      <c r="A1119" s="95" t="s">
        <v>2408</v>
      </c>
      <c r="B1119" s="96" t="s">
        <v>2333</v>
      </c>
      <c r="C1119" s="96" t="s">
        <v>1241</v>
      </c>
      <c r="D1119" s="96" t="s">
        <v>2450</v>
      </c>
      <c r="E1119" s="96" t="s">
        <v>2451</v>
      </c>
      <c r="F1119" s="96" t="s">
        <v>2452</v>
      </c>
      <c r="G1119" s="88">
        <v>-45480035424</v>
      </c>
      <c r="H1119" s="91">
        <v>-45.480035424</v>
      </c>
      <c r="I1119" s="100" t="s">
        <v>2337</v>
      </c>
    </row>
    <row r="1120" spans="1:9">
      <c r="A1120" s="95" t="s">
        <v>2408</v>
      </c>
      <c r="B1120" s="96" t="s">
        <v>2333</v>
      </c>
      <c r="C1120" s="96" t="s">
        <v>1241</v>
      </c>
      <c r="D1120" s="96" t="s">
        <v>2059</v>
      </c>
      <c r="E1120" s="96" t="s">
        <v>2453</v>
      </c>
      <c r="F1120" s="96" t="s">
        <v>2454</v>
      </c>
      <c r="G1120" s="88">
        <v>285410082395</v>
      </c>
      <c r="H1120" s="91">
        <v>285.41008239500002</v>
      </c>
      <c r="I1120" s="100" t="s">
        <v>2337</v>
      </c>
    </row>
    <row r="1121" spans="1:9">
      <c r="A1121" s="95" t="s">
        <v>2408</v>
      </c>
      <c r="B1121" s="96" t="s">
        <v>2333</v>
      </c>
      <c r="C1121" s="96" t="s">
        <v>1241</v>
      </c>
      <c r="D1121" s="96" t="s">
        <v>2455</v>
      </c>
      <c r="E1121" s="96" t="s">
        <v>2456</v>
      </c>
      <c r="F1121" s="96" t="s">
        <v>2457</v>
      </c>
      <c r="G1121" s="88">
        <v>13031041467</v>
      </c>
      <c r="H1121" s="91">
        <v>13.031041467</v>
      </c>
      <c r="I1121" s="100" t="s">
        <v>2337</v>
      </c>
    </row>
    <row r="1122" spans="1:9">
      <c r="A1122" s="95" t="s">
        <v>2408</v>
      </c>
      <c r="B1122" s="96" t="s">
        <v>2333</v>
      </c>
      <c r="C1122" s="96" t="s">
        <v>1241</v>
      </c>
      <c r="D1122" s="96" t="s">
        <v>2458</v>
      </c>
      <c r="E1122" s="96" t="s">
        <v>2459</v>
      </c>
      <c r="F1122" s="96" t="s">
        <v>2460</v>
      </c>
      <c r="G1122" s="88">
        <v>268087335800</v>
      </c>
      <c r="H1122" s="91">
        <v>268.08733580000001</v>
      </c>
      <c r="I1122" s="100" t="s">
        <v>2337</v>
      </c>
    </row>
    <row r="1123" spans="1:9">
      <c r="A1123" s="95" t="s">
        <v>2408</v>
      </c>
      <c r="B1123" s="96" t="s">
        <v>2333</v>
      </c>
      <c r="C1123" s="96" t="s">
        <v>1241</v>
      </c>
      <c r="D1123" s="96" t="s">
        <v>2461</v>
      </c>
      <c r="E1123" s="96" t="s">
        <v>2462</v>
      </c>
      <c r="F1123" s="96" t="s">
        <v>2463</v>
      </c>
      <c r="G1123" s="88">
        <v>4291705128</v>
      </c>
      <c r="H1123" s="91">
        <v>4.2917051280000003</v>
      </c>
      <c r="I1123" s="100" t="s">
        <v>2337</v>
      </c>
    </row>
    <row r="1124" spans="1:9">
      <c r="A1124" s="95" t="s">
        <v>2408</v>
      </c>
      <c r="B1124" s="96" t="s">
        <v>2333</v>
      </c>
      <c r="C1124" s="96" t="s">
        <v>1241</v>
      </c>
      <c r="D1124" s="96" t="s">
        <v>2059</v>
      </c>
      <c r="E1124" s="96" t="s">
        <v>2453</v>
      </c>
      <c r="F1124" s="96" t="s">
        <v>2454</v>
      </c>
      <c r="G1124" s="88">
        <v>0</v>
      </c>
      <c r="H1124" s="91">
        <v>0</v>
      </c>
      <c r="I1124" s="100" t="s">
        <v>2337</v>
      </c>
    </row>
    <row r="1125" spans="1:9">
      <c r="A1125" s="95" t="s">
        <v>2408</v>
      </c>
      <c r="B1125" s="96" t="s">
        <v>2333</v>
      </c>
      <c r="C1125" s="96" t="s">
        <v>1241</v>
      </c>
      <c r="D1125" s="96" t="s">
        <v>1753</v>
      </c>
      <c r="E1125" s="96" t="s">
        <v>2464</v>
      </c>
      <c r="F1125" s="96" t="s">
        <v>2465</v>
      </c>
      <c r="G1125" s="88">
        <v>1087791114773</v>
      </c>
      <c r="H1125" s="91">
        <v>1087.7911147729999</v>
      </c>
      <c r="I1125" s="100" t="s">
        <v>2337</v>
      </c>
    </row>
    <row r="1126" spans="1:9">
      <c r="A1126" s="95" t="s">
        <v>2408</v>
      </c>
      <c r="B1126" s="96" t="s">
        <v>2333</v>
      </c>
      <c r="C1126" s="96" t="s">
        <v>1241</v>
      </c>
      <c r="D1126" s="96" t="s">
        <v>1757</v>
      </c>
      <c r="E1126" s="96" t="s">
        <v>2466</v>
      </c>
      <c r="F1126" s="96" t="s">
        <v>2467</v>
      </c>
      <c r="G1126" s="88">
        <v>30253018202</v>
      </c>
      <c r="H1126" s="91">
        <v>30.253018202</v>
      </c>
      <c r="I1126" s="100" t="s">
        <v>2337</v>
      </c>
    </row>
    <row r="1127" spans="1:9">
      <c r="A1127" s="95" t="s">
        <v>2408</v>
      </c>
      <c r="B1127" s="96" t="s">
        <v>2333</v>
      </c>
      <c r="C1127" s="96" t="s">
        <v>1241</v>
      </c>
      <c r="D1127" s="96" t="s">
        <v>2468</v>
      </c>
      <c r="E1127" s="96" t="s">
        <v>2469</v>
      </c>
      <c r="F1127" s="96" t="s">
        <v>2470</v>
      </c>
      <c r="G1127" s="88">
        <v>0</v>
      </c>
      <c r="H1127" s="91">
        <v>0</v>
      </c>
      <c r="I1127" s="100" t="s">
        <v>2337</v>
      </c>
    </row>
    <row r="1128" spans="1:9">
      <c r="A1128" s="95" t="s">
        <v>2408</v>
      </c>
      <c r="B1128" s="96" t="s">
        <v>2333</v>
      </c>
      <c r="C1128" s="96" t="s">
        <v>1241</v>
      </c>
      <c r="D1128" s="96" t="s">
        <v>2471</v>
      </c>
      <c r="E1128" s="96" t="s">
        <v>2472</v>
      </c>
      <c r="F1128" s="96" t="s">
        <v>2473</v>
      </c>
      <c r="G1128" s="88">
        <v>0</v>
      </c>
      <c r="H1128" s="91">
        <v>0</v>
      </c>
      <c r="I1128" s="100" t="s">
        <v>2337</v>
      </c>
    </row>
    <row r="1129" spans="1:9">
      <c r="A1129" s="95" t="s">
        <v>2408</v>
      </c>
      <c r="B1129" s="96" t="s">
        <v>2333</v>
      </c>
      <c r="C1129" s="96" t="s">
        <v>1241</v>
      </c>
      <c r="D1129" s="96" t="s">
        <v>1767</v>
      </c>
      <c r="E1129" s="96" t="s">
        <v>2474</v>
      </c>
      <c r="F1129" s="96" t="s">
        <v>2475</v>
      </c>
      <c r="G1129" s="88">
        <v>30253018202</v>
      </c>
      <c r="H1129" s="91">
        <v>30.253018202</v>
      </c>
      <c r="I1129" s="100" t="s">
        <v>2337</v>
      </c>
    </row>
    <row r="1130" spans="1:9">
      <c r="A1130" s="95" t="s">
        <v>2408</v>
      </c>
      <c r="B1130" s="96" t="s">
        <v>2333</v>
      </c>
      <c r="C1130" s="96" t="s">
        <v>1241</v>
      </c>
      <c r="D1130" s="96" t="s">
        <v>2476</v>
      </c>
      <c r="E1130" s="96" t="s">
        <v>2477</v>
      </c>
      <c r="F1130" s="96" t="s">
        <v>2478</v>
      </c>
      <c r="G1130" s="88">
        <v>0</v>
      </c>
      <c r="H1130" s="91">
        <v>0</v>
      </c>
      <c r="I1130" s="100" t="s">
        <v>2337</v>
      </c>
    </row>
    <row r="1131" spans="1:9">
      <c r="A1131" s="95" t="s">
        <v>2408</v>
      </c>
      <c r="B1131" s="96" t="s">
        <v>2333</v>
      </c>
      <c r="C1131" s="96" t="s">
        <v>1241</v>
      </c>
      <c r="D1131" s="96" t="s">
        <v>70</v>
      </c>
      <c r="E1131" s="96" t="s">
        <v>2061</v>
      </c>
      <c r="F1131" s="96" t="s">
        <v>2479</v>
      </c>
      <c r="G1131" s="88">
        <v>277205878899</v>
      </c>
      <c r="H1131" s="91">
        <v>277.20587889900003</v>
      </c>
      <c r="I1131" s="100" t="s">
        <v>2337</v>
      </c>
    </row>
    <row r="1132" spans="1:9">
      <c r="A1132" s="95" t="s">
        <v>2408</v>
      </c>
      <c r="B1132" s="96" t="s">
        <v>2333</v>
      </c>
      <c r="C1132" s="96" t="s">
        <v>1241</v>
      </c>
      <c r="D1132" s="96" t="s">
        <v>1771</v>
      </c>
      <c r="E1132" s="96" t="s">
        <v>2480</v>
      </c>
      <c r="F1132" s="96" t="s">
        <v>2481</v>
      </c>
      <c r="G1132" s="88">
        <v>111586679892</v>
      </c>
      <c r="H1132" s="91">
        <v>111.58667989200001</v>
      </c>
      <c r="I1132" s="100" t="s">
        <v>2337</v>
      </c>
    </row>
    <row r="1133" spans="1:9">
      <c r="A1133" s="95" t="s">
        <v>2408</v>
      </c>
      <c r="B1133" s="96" t="s">
        <v>2333</v>
      </c>
      <c r="C1133" s="96" t="s">
        <v>1241</v>
      </c>
      <c r="D1133" s="96" t="s">
        <v>1773</v>
      </c>
      <c r="E1133" s="96" t="s">
        <v>2482</v>
      </c>
      <c r="F1133" s="96" t="s">
        <v>2483</v>
      </c>
      <c r="G1133" s="88">
        <v>434264900120</v>
      </c>
      <c r="H1133" s="91">
        <v>434.26490011999999</v>
      </c>
      <c r="I1133" s="100" t="s">
        <v>2337</v>
      </c>
    </row>
    <row r="1134" spans="1:9">
      <c r="A1134" s="95" t="s">
        <v>2408</v>
      </c>
      <c r="B1134" s="96" t="s">
        <v>2333</v>
      </c>
      <c r="C1134" s="96" t="s">
        <v>1241</v>
      </c>
      <c r="D1134" s="96" t="s">
        <v>1775</v>
      </c>
      <c r="E1134" s="96" t="s">
        <v>2484</v>
      </c>
      <c r="F1134" s="96" t="s">
        <v>2485</v>
      </c>
      <c r="G1134" s="88">
        <v>-322678220228</v>
      </c>
      <c r="H1134" s="91">
        <v>-322.67822022799999</v>
      </c>
      <c r="I1134" s="100" t="s">
        <v>2337</v>
      </c>
    </row>
    <row r="1135" spans="1:9">
      <c r="A1135" s="95" t="s">
        <v>2408</v>
      </c>
      <c r="B1135" s="96" t="s">
        <v>2333</v>
      </c>
      <c r="C1135" s="96" t="s">
        <v>1241</v>
      </c>
      <c r="D1135" s="96" t="s">
        <v>2486</v>
      </c>
      <c r="E1135" s="96" t="s">
        <v>2487</v>
      </c>
      <c r="F1135" s="96" t="s">
        <v>2488</v>
      </c>
      <c r="G1135" s="88">
        <v>0</v>
      </c>
      <c r="H1135" s="91">
        <v>0</v>
      </c>
      <c r="I1135" s="100" t="s">
        <v>2337</v>
      </c>
    </row>
    <row r="1136" spans="1:9">
      <c r="A1136" s="95" t="s">
        <v>2408</v>
      </c>
      <c r="B1136" s="96" t="s">
        <v>2333</v>
      </c>
      <c r="C1136" s="96" t="s">
        <v>1241</v>
      </c>
      <c r="D1136" s="96" t="s">
        <v>1773</v>
      </c>
      <c r="E1136" s="96" t="s">
        <v>2482</v>
      </c>
      <c r="F1136" s="96" t="s">
        <v>2489</v>
      </c>
      <c r="G1136" s="88">
        <v>0</v>
      </c>
      <c r="H1136" s="91">
        <v>0</v>
      </c>
      <c r="I1136" s="100" t="s">
        <v>2337</v>
      </c>
    </row>
    <row r="1137" spans="1:9">
      <c r="A1137" s="95" t="s">
        <v>2408</v>
      </c>
      <c r="B1137" s="96" t="s">
        <v>2333</v>
      </c>
      <c r="C1137" s="96" t="s">
        <v>1241</v>
      </c>
      <c r="D1137" s="96" t="s">
        <v>1775</v>
      </c>
      <c r="E1137" s="96" t="s">
        <v>2484</v>
      </c>
      <c r="F1137" s="96" t="s">
        <v>2490</v>
      </c>
      <c r="G1137" s="88">
        <v>0</v>
      </c>
      <c r="H1137" s="91">
        <v>0</v>
      </c>
      <c r="I1137" s="100" t="s">
        <v>2337</v>
      </c>
    </row>
    <row r="1138" spans="1:9">
      <c r="A1138" s="95" t="s">
        <v>2408</v>
      </c>
      <c r="B1138" s="96" t="s">
        <v>2333</v>
      </c>
      <c r="C1138" s="96" t="s">
        <v>1241</v>
      </c>
      <c r="D1138" s="96" t="s">
        <v>1781</v>
      </c>
      <c r="E1138" s="96" t="s">
        <v>2491</v>
      </c>
      <c r="F1138" s="96" t="s">
        <v>2492</v>
      </c>
      <c r="G1138" s="88">
        <v>165619199007</v>
      </c>
      <c r="H1138" s="91">
        <v>165.61919900699999</v>
      </c>
      <c r="I1138" s="100" t="s">
        <v>2337</v>
      </c>
    </row>
    <row r="1139" spans="1:9">
      <c r="A1139" s="95" t="s">
        <v>2408</v>
      </c>
      <c r="B1139" s="96" t="s">
        <v>2333</v>
      </c>
      <c r="C1139" s="96" t="s">
        <v>1241</v>
      </c>
      <c r="D1139" s="96" t="s">
        <v>1773</v>
      </c>
      <c r="E1139" s="96" t="s">
        <v>2482</v>
      </c>
      <c r="F1139" s="96" t="s">
        <v>2493</v>
      </c>
      <c r="G1139" s="88">
        <v>184765337312</v>
      </c>
      <c r="H1139" s="91">
        <v>184.76533731200001</v>
      </c>
      <c r="I1139" s="100" t="s">
        <v>2337</v>
      </c>
    </row>
    <row r="1140" spans="1:9">
      <c r="A1140" s="95" t="s">
        <v>2408</v>
      </c>
      <c r="B1140" s="96" t="s">
        <v>2333</v>
      </c>
      <c r="C1140" s="96" t="s">
        <v>1241</v>
      </c>
      <c r="D1140" s="96" t="s">
        <v>1775</v>
      </c>
      <c r="E1140" s="96" t="s">
        <v>2484</v>
      </c>
      <c r="F1140" s="96" t="s">
        <v>2494</v>
      </c>
      <c r="G1140" s="88">
        <v>-19146138305</v>
      </c>
      <c r="H1140" s="91">
        <v>-19.146138305000001</v>
      </c>
      <c r="I1140" s="100" t="s">
        <v>2337</v>
      </c>
    </row>
    <row r="1141" spans="1:9">
      <c r="A1141" s="95" t="s">
        <v>2408</v>
      </c>
      <c r="B1141" s="96" t="s">
        <v>2333</v>
      </c>
      <c r="C1141" s="96" t="s">
        <v>1241</v>
      </c>
      <c r="D1141" s="96" t="s">
        <v>2495</v>
      </c>
      <c r="E1141" s="96" t="s">
        <v>2496</v>
      </c>
      <c r="F1141" s="96" t="s">
        <v>2497</v>
      </c>
      <c r="G1141" s="88">
        <v>0</v>
      </c>
      <c r="H1141" s="91">
        <v>0</v>
      </c>
      <c r="I1141" s="100" t="s">
        <v>2337</v>
      </c>
    </row>
    <row r="1142" spans="1:9">
      <c r="A1142" s="95" t="s">
        <v>2408</v>
      </c>
      <c r="B1142" s="96" t="s">
        <v>2333</v>
      </c>
      <c r="C1142" s="96" t="s">
        <v>1241</v>
      </c>
      <c r="D1142" s="96" t="s">
        <v>1802</v>
      </c>
      <c r="E1142" s="96" t="s">
        <v>2498</v>
      </c>
      <c r="F1142" s="96" t="s">
        <v>2499</v>
      </c>
      <c r="G1142" s="88">
        <v>474861507599</v>
      </c>
      <c r="H1142" s="91">
        <v>474.86150759899999</v>
      </c>
      <c r="I1142" s="100" t="s">
        <v>2337</v>
      </c>
    </row>
    <row r="1143" spans="1:9">
      <c r="A1143" s="95" t="s">
        <v>2408</v>
      </c>
      <c r="B1143" s="96" t="s">
        <v>2333</v>
      </c>
      <c r="C1143" s="96" t="s">
        <v>1241</v>
      </c>
      <c r="D1143" s="96" t="s">
        <v>1773</v>
      </c>
      <c r="E1143" s="96" t="s">
        <v>2482</v>
      </c>
      <c r="F1143" s="96" t="s">
        <v>2500</v>
      </c>
      <c r="G1143" s="88">
        <v>852074158578</v>
      </c>
      <c r="H1143" s="91">
        <v>852.07415857800004</v>
      </c>
      <c r="I1143" s="100" t="s">
        <v>2337</v>
      </c>
    </row>
    <row r="1144" spans="1:9">
      <c r="A1144" s="95" t="s">
        <v>2408</v>
      </c>
      <c r="B1144" s="96" t="s">
        <v>2333</v>
      </c>
      <c r="C1144" s="96" t="s">
        <v>1241</v>
      </c>
      <c r="D1144" s="96" t="s">
        <v>1775</v>
      </c>
      <c r="E1144" s="96" t="s">
        <v>2484</v>
      </c>
      <c r="F1144" s="96" t="s">
        <v>2501</v>
      </c>
      <c r="G1144" s="88">
        <v>-377212650979</v>
      </c>
      <c r="H1144" s="91">
        <v>-377.21265097899999</v>
      </c>
      <c r="I1144" s="100" t="s">
        <v>2337</v>
      </c>
    </row>
    <row r="1145" spans="1:9">
      <c r="A1145" s="95" t="s">
        <v>2408</v>
      </c>
      <c r="B1145" s="96" t="s">
        <v>2333</v>
      </c>
      <c r="C1145" s="96" t="s">
        <v>1241</v>
      </c>
      <c r="D1145" s="96" t="s">
        <v>2063</v>
      </c>
      <c r="E1145" s="96" t="s">
        <v>2502</v>
      </c>
      <c r="F1145" s="96" t="s">
        <v>2503</v>
      </c>
      <c r="G1145" s="88">
        <v>83834774310</v>
      </c>
      <c r="H1145" s="91">
        <v>83.83477431</v>
      </c>
      <c r="I1145" s="100" t="s">
        <v>2337</v>
      </c>
    </row>
    <row r="1146" spans="1:9">
      <c r="A1146" s="95" t="s">
        <v>2408</v>
      </c>
      <c r="B1146" s="96" t="s">
        <v>2333</v>
      </c>
      <c r="C1146" s="96" t="s">
        <v>1241</v>
      </c>
      <c r="D1146" s="96" t="s">
        <v>1812</v>
      </c>
      <c r="E1146" s="96" t="s">
        <v>2504</v>
      </c>
      <c r="F1146" s="96" t="s">
        <v>2505</v>
      </c>
      <c r="G1146" s="88">
        <v>0</v>
      </c>
      <c r="H1146" s="91">
        <v>0</v>
      </c>
      <c r="I1146" s="100" t="s">
        <v>2337</v>
      </c>
    </row>
    <row r="1147" spans="1:9">
      <c r="A1147" s="95" t="s">
        <v>2408</v>
      </c>
      <c r="B1147" s="96" t="s">
        <v>2333</v>
      </c>
      <c r="C1147" s="96" t="s">
        <v>1241</v>
      </c>
      <c r="D1147" s="96" t="s">
        <v>2506</v>
      </c>
      <c r="E1147" s="96" t="s">
        <v>2507</v>
      </c>
      <c r="F1147" s="96" t="s">
        <v>2508</v>
      </c>
      <c r="G1147" s="88">
        <v>81942807990</v>
      </c>
      <c r="H1147" s="91">
        <v>81.942807990000006</v>
      </c>
      <c r="I1147" s="100" t="s">
        <v>2337</v>
      </c>
    </row>
    <row r="1148" spans="1:9">
      <c r="A1148" s="95" t="s">
        <v>2408</v>
      </c>
      <c r="B1148" s="96" t="s">
        <v>2333</v>
      </c>
      <c r="C1148" s="96" t="s">
        <v>1241</v>
      </c>
      <c r="D1148" s="96" t="s">
        <v>1824</v>
      </c>
      <c r="E1148" s="96" t="s">
        <v>2509</v>
      </c>
      <c r="F1148" s="96" t="s">
        <v>2510</v>
      </c>
      <c r="G1148" s="88">
        <v>22465000000</v>
      </c>
      <c r="H1148" s="91">
        <v>22.465</v>
      </c>
      <c r="I1148" s="100" t="s">
        <v>2337</v>
      </c>
    </row>
    <row r="1149" spans="1:9">
      <c r="A1149" s="95" t="s">
        <v>2408</v>
      </c>
      <c r="B1149" s="96" t="s">
        <v>2333</v>
      </c>
      <c r="C1149" s="96" t="s">
        <v>1241</v>
      </c>
      <c r="D1149" s="96" t="s">
        <v>2511</v>
      </c>
      <c r="E1149" s="96" t="s">
        <v>2512</v>
      </c>
      <c r="F1149" s="96" t="s">
        <v>2513</v>
      </c>
      <c r="G1149" s="88">
        <v>-22465000000</v>
      </c>
      <c r="H1149" s="91">
        <v>-22.465</v>
      </c>
      <c r="I1149" s="100" t="s">
        <v>2337</v>
      </c>
    </row>
    <row r="1150" spans="1:9">
      <c r="A1150" s="95" t="s">
        <v>2408</v>
      </c>
      <c r="B1150" s="96" t="s">
        <v>2333</v>
      </c>
      <c r="C1150" s="96" t="s">
        <v>1241</v>
      </c>
      <c r="D1150" s="96" t="s">
        <v>1836</v>
      </c>
      <c r="E1150" s="96" t="s">
        <v>2514</v>
      </c>
      <c r="F1150" s="96" t="s">
        <v>2515</v>
      </c>
      <c r="G1150" s="88">
        <v>0</v>
      </c>
      <c r="H1150" s="91">
        <v>0</v>
      </c>
      <c r="I1150" s="100" t="s">
        <v>2337</v>
      </c>
    </row>
    <row r="1151" spans="1:9">
      <c r="A1151" s="95" t="s">
        <v>2408</v>
      </c>
      <c r="B1151" s="96" t="s">
        <v>2333</v>
      </c>
      <c r="C1151" s="96" t="s">
        <v>1241</v>
      </c>
      <c r="D1151" s="96" t="s">
        <v>74</v>
      </c>
      <c r="E1151" s="96" t="s">
        <v>2064</v>
      </c>
      <c r="F1151" s="96" t="s">
        <v>2516</v>
      </c>
      <c r="G1151" s="88">
        <v>183567186485</v>
      </c>
      <c r="H1151" s="91">
        <v>183.56718648500001</v>
      </c>
      <c r="I1151" s="100" t="s">
        <v>2337</v>
      </c>
    </row>
    <row r="1152" spans="1:9">
      <c r="A1152" s="95" t="s">
        <v>2408</v>
      </c>
      <c r="B1152" s="96" t="s">
        <v>2333</v>
      </c>
      <c r="C1152" s="96" t="s">
        <v>1241</v>
      </c>
      <c r="D1152" s="96" t="s">
        <v>2517</v>
      </c>
      <c r="E1152" s="96" t="s">
        <v>2518</v>
      </c>
      <c r="F1152" s="96" t="s">
        <v>2519</v>
      </c>
      <c r="G1152" s="88">
        <v>183561434115</v>
      </c>
      <c r="H1152" s="91">
        <v>183.561434115</v>
      </c>
      <c r="I1152" s="100" t="s">
        <v>2337</v>
      </c>
    </row>
    <row r="1153" spans="1:9">
      <c r="A1153" s="95" t="s">
        <v>2408</v>
      </c>
      <c r="B1153" s="96" t="s">
        <v>2333</v>
      </c>
      <c r="C1153" s="96" t="s">
        <v>1241</v>
      </c>
      <c r="D1153" s="96" t="s">
        <v>1828</v>
      </c>
      <c r="E1153" s="96" t="s">
        <v>2520</v>
      </c>
      <c r="F1153" s="96" t="s">
        <v>2521</v>
      </c>
      <c r="G1153" s="88">
        <v>5752370</v>
      </c>
      <c r="H1153" s="91">
        <v>5.7523699999999997E-3</v>
      </c>
      <c r="I1153" s="100" t="s">
        <v>2337</v>
      </c>
    </row>
    <row r="1154" spans="1:9">
      <c r="A1154" s="95" t="s">
        <v>2408</v>
      </c>
      <c r="B1154" s="96" t="s">
        <v>2333</v>
      </c>
      <c r="C1154" s="96" t="s">
        <v>1241</v>
      </c>
      <c r="D1154" s="96" t="s">
        <v>74</v>
      </c>
      <c r="E1154" s="96" t="s">
        <v>2064</v>
      </c>
      <c r="F1154" s="96" t="s">
        <v>2522</v>
      </c>
      <c r="G1154" s="88">
        <v>0</v>
      </c>
      <c r="H1154" s="91">
        <v>0</v>
      </c>
      <c r="I1154" s="100" t="s">
        <v>2337</v>
      </c>
    </row>
    <row r="1155" spans="1:9">
      <c r="A1155" s="95" t="s">
        <v>2408</v>
      </c>
      <c r="B1155" s="96" t="s">
        <v>2333</v>
      </c>
      <c r="C1155" s="96" t="s">
        <v>1241</v>
      </c>
      <c r="D1155" s="96" t="s">
        <v>76</v>
      </c>
      <c r="E1155" s="96" t="s">
        <v>75</v>
      </c>
      <c r="F1155" s="96" t="s">
        <v>1643</v>
      </c>
      <c r="G1155" s="88">
        <v>13417519878781</v>
      </c>
      <c r="H1155" s="91">
        <v>13417.519878781</v>
      </c>
      <c r="I1155" s="100" t="s">
        <v>2337</v>
      </c>
    </row>
    <row r="1156" spans="1:9">
      <c r="A1156" s="95" t="s">
        <v>2408</v>
      </c>
      <c r="B1156" s="96" t="s">
        <v>2333</v>
      </c>
      <c r="C1156" s="96" t="s">
        <v>1241</v>
      </c>
      <c r="D1156" s="96" t="s">
        <v>2523</v>
      </c>
      <c r="E1156" s="96" t="s">
        <v>487</v>
      </c>
      <c r="F1156" s="96" t="s">
        <v>2524</v>
      </c>
      <c r="G1156" s="88">
        <v>10758980509167</v>
      </c>
      <c r="H1156" s="91">
        <v>10758.980509167</v>
      </c>
      <c r="I1156" s="100" t="s">
        <v>2337</v>
      </c>
    </row>
    <row r="1157" spans="1:9">
      <c r="A1157" s="95" t="s">
        <v>2408</v>
      </c>
      <c r="B1157" s="96" t="s">
        <v>2333</v>
      </c>
      <c r="C1157" s="96" t="s">
        <v>1241</v>
      </c>
      <c r="D1157" s="96" t="s">
        <v>82</v>
      </c>
      <c r="E1157" s="96" t="s">
        <v>2070</v>
      </c>
      <c r="F1157" s="96" t="s">
        <v>2525</v>
      </c>
      <c r="G1157" s="88">
        <v>10727761753967</v>
      </c>
      <c r="H1157" s="91">
        <v>10727.761753966999</v>
      </c>
      <c r="I1157" s="100" t="s">
        <v>2337</v>
      </c>
    </row>
    <row r="1158" spans="1:9">
      <c r="A1158" s="95" t="s">
        <v>2408</v>
      </c>
      <c r="B1158" s="96" t="s">
        <v>2333</v>
      </c>
      <c r="C1158" s="96" t="s">
        <v>1241</v>
      </c>
      <c r="D1158" s="96" t="s">
        <v>2526</v>
      </c>
      <c r="E1158" s="96" t="s">
        <v>2527</v>
      </c>
      <c r="F1158" s="96" t="s">
        <v>2528</v>
      </c>
      <c r="G1158" s="88">
        <v>7055165610712</v>
      </c>
      <c r="H1158" s="91">
        <v>7055.1656107119998</v>
      </c>
      <c r="I1158" s="100" t="s">
        <v>2337</v>
      </c>
    </row>
    <row r="1159" spans="1:9">
      <c r="A1159" s="95" t="s">
        <v>2408</v>
      </c>
      <c r="B1159" s="96" t="s">
        <v>2333</v>
      </c>
      <c r="C1159" s="96" t="s">
        <v>1241</v>
      </c>
      <c r="D1159" s="96" t="s">
        <v>2529</v>
      </c>
      <c r="E1159" s="96" t="s">
        <v>2530</v>
      </c>
      <c r="F1159" s="96" t="s">
        <v>2531</v>
      </c>
      <c r="G1159" s="88">
        <v>2895345539555</v>
      </c>
      <c r="H1159" s="91">
        <v>2895.345539555</v>
      </c>
      <c r="I1159" s="100" t="s">
        <v>2337</v>
      </c>
    </row>
    <row r="1160" spans="1:9">
      <c r="A1160" s="95" t="s">
        <v>2408</v>
      </c>
      <c r="B1160" s="96" t="s">
        <v>2333</v>
      </c>
      <c r="C1160" s="96" t="s">
        <v>1241</v>
      </c>
      <c r="D1160" s="96" t="s">
        <v>2532</v>
      </c>
      <c r="E1160" s="96" t="s">
        <v>2533</v>
      </c>
      <c r="F1160" s="96" t="s">
        <v>2534</v>
      </c>
      <c r="G1160" s="88">
        <v>66074145167</v>
      </c>
      <c r="H1160" s="91">
        <v>66.074145166999998</v>
      </c>
      <c r="I1160" s="100" t="s">
        <v>2337</v>
      </c>
    </row>
    <row r="1161" spans="1:9">
      <c r="A1161" s="95" t="s">
        <v>2408</v>
      </c>
      <c r="B1161" s="96" t="s">
        <v>2333</v>
      </c>
      <c r="C1161" s="96" t="s">
        <v>1241</v>
      </c>
      <c r="D1161" s="96" t="s">
        <v>2535</v>
      </c>
      <c r="E1161" s="96" t="s">
        <v>2536</v>
      </c>
      <c r="F1161" s="96" t="s">
        <v>2537</v>
      </c>
      <c r="G1161" s="88">
        <v>86002609473</v>
      </c>
      <c r="H1161" s="91">
        <v>86.002609473000007</v>
      </c>
      <c r="I1161" s="100" t="s">
        <v>2337</v>
      </c>
    </row>
    <row r="1162" spans="1:9">
      <c r="A1162" s="95" t="s">
        <v>2408</v>
      </c>
      <c r="B1162" s="96" t="s">
        <v>2333</v>
      </c>
      <c r="C1162" s="96" t="s">
        <v>1241</v>
      </c>
      <c r="D1162" s="96" t="s">
        <v>1846</v>
      </c>
      <c r="E1162" s="96" t="s">
        <v>2538</v>
      </c>
      <c r="F1162" s="96" t="s">
        <v>2539</v>
      </c>
      <c r="G1162" s="88">
        <v>181247791211</v>
      </c>
      <c r="H1162" s="91">
        <v>181.24779121099999</v>
      </c>
      <c r="I1162" s="100" t="s">
        <v>2337</v>
      </c>
    </row>
    <row r="1163" spans="1:9">
      <c r="A1163" s="95" t="s">
        <v>2408</v>
      </c>
      <c r="B1163" s="96" t="s">
        <v>2333</v>
      </c>
      <c r="C1163" s="96" t="s">
        <v>1241</v>
      </c>
      <c r="D1163" s="96" t="s">
        <v>2540</v>
      </c>
      <c r="E1163" s="96" t="s">
        <v>2541</v>
      </c>
      <c r="F1163" s="96" t="s">
        <v>2542</v>
      </c>
      <c r="G1163" s="88">
        <v>47724915540</v>
      </c>
      <c r="H1163" s="91">
        <v>47.724915539999998</v>
      </c>
      <c r="I1163" s="100" t="s">
        <v>2337</v>
      </c>
    </row>
    <row r="1164" spans="1:9">
      <c r="A1164" s="95" t="s">
        <v>2408</v>
      </c>
      <c r="B1164" s="96" t="s">
        <v>2333</v>
      </c>
      <c r="C1164" s="96" t="s">
        <v>1241</v>
      </c>
      <c r="D1164" s="96" t="s">
        <v>2543</v>
      </c>
      <c r="E1164" s="96" t="s">
        <v>2544</v>
      </c>
      <c r="F1164" s="96" t="s">
        <v>2545</v>
      </c>
      <c r="G1164" s="88">
        <v>0</v>
      </c>
      <c r="H1164" s="91">
        <v>0</v>
      </c>
      <c r="I1164" s="100" t="s">
        <v>2337</v>
      </c>
    </row>
    <row r="1165" spans="1:9">
      <c r="A1165" s="95" t="s">
        <v>2408</v>
      </c>
      <c r="B1165" s="96" t="s">
        <v>2333</v>
      </c>
      <c r="C1165" s="96" t="s">
        <v>1241</v>
      </c>
      <c r="D1165" s="96" t="s">
        <v>2546</v>
      </c>
      <c r="E1165" s="96" t="s">
        <v>2547</v>
      </c>
      <c r="F1165" s="96" t="s">
        <v>2548</v>
      </c>
      <c r="G1165" s="88">
        <v>0</v>
      </c>
      <c r="H1165" s="91">
        <v>0</v>
      </c>
      <c r="I1165" s="100" t="s">
        <v>2337</v>
      </c>
    </row>
    <row r="1166" spans="1:9">
      <c r="A1166" s="95" t="s">
        <v>2408</v>
      </c>
      <c r="B1166" s="96" t="s">
        <v>2333</v>
      </c>
      <c r="C1166" s="96" t="s">
        <v>1241</v>
      </c>
      <c r="D1166" s="96" t="s">
        <v>2549</v>
      </c>
      <c r="E1166" s="96" t="s">
        <v>2550</v>
      </c>
      <c r="F1166" s="96" t="s">
        <v>2551</v>
      </c>
      <c r="G1166" s="88">
        <v>359813695089</v>
      </c>
      <c r="H1166" s="91">
        <v>359.81369508900002</v>
      </c>
      <c r="I1166" s="100" t="s">
        <v>2337</v>
      </c>
    </row>
    <row r="1167" spans="1:9">
      <c r="A1167" s="95" t="s">
        <v>2408</v>
      </c>
      <c r="B1167" s="96" t="s">
        <v>2333</v>
      </c>
      <c r="C1167" s="96" t="s">
        <v>1241</v>
      </c>
      <c r="D1167" s="96" t="s">
        <v>2552</v>
      </c>
      <c r="E1167" s="96" t="s">
        <v>2553</v>
      </c>
      <c r="F1167" s="96" t="s">
        <v>2554</v>
      </c>
      <c r="G1167" s="88">
        <v>0</v>
      </c>
      <c r="H1167" s="91">
        <v>0</v>
      </c>
      <c r="I1167" s="100" t="s">
        <v>2337</v>
      </c>
    </row>
    <row r="1168" spans="1:9">
      <c r="A1168" s="95" t="s">
        <v>2408</v>
      </c>
      <c r="B1168" s="96" t="s">
        <v>2333</v>
      </c>
      <c r="C1168" s="96" t="s">
        <v>1241</v>
      </c>
      <c r="D1168" s="96" t="s">
        <v>2555</v>
      </c>
      <c r="E1168" s="96" t="s">
        <v>2556</v>
      </c>
      <c r="F1168" s="96" t="s">
        <v>2557</v>
      </c>
      <c r="G1168" s="88">
        <v>36212127366</v>
      </c>
      <c r="H1168" s="91">
        <v>36.212127365999997</v>
      </c>
      <c r="I1168" s="100" t="s">
        <v>2337</v>
      </c>
    </row>
    <row r="1169" spans="1:9">
      <c r="A1169" s="95" t="s">
        <v>2408</v>
      </c>
      <c r="B1169" s="96" t="s">
        <v>2333</v>
      </c>
      <c r="C1169" s="96" t="s">
        <v>1241</v>
      </c>
      <c r="D1169" s="96" t="s">
        <v>86</v>
      </c>
      <c r="E1169" s="96" t="s">
        <v>2073</v>
      </c>
      <c r="F1169" s="96" t="s">
        <v>2558</v>
      </c>
      <c r="G1169" s="88">
        <v>31218755200</v>
      </c>
      <c r="H1169" s="91">
        <v>31.2187552</v>
      </c>
      <c r="I1169" s="100" t="s">
        <v>2337</v>
      </c>
    </row>
    <row r="1170" spans="1:9">
      <c r="A1170" s="95" t="s">
        <v>2408</v>
      </c>
      <c r="B1170" s="96" t="s">
        <v>2333</v>
      </c>
      <c r="C1170" s="96" t="s">
        <v>1241</v>
      </c>
      <c r="D1170" s="96" t="s">
        <v>1866</v>
      </c>
      <c r="E1170" s="96" t="s">
        <v>2559</v>
      </c>
      <c r="F1170" s="96" t="s">
        <v>2560</v>
      </c>
      <c r="G1170" s="88">
        <v>0</v>
      </c>
      <c r="H1170" s="91">
        <v>0</v>
      </c>
      <c r="I1170" s="100" t="s">
        <v>2337</v>
      </c>
    </row>
    <row r="1171" spans="1:9">
      <c r="A1171" s="95" t="s">
        <v>2408</v>
      </c>
      <c r="B1171" s="96" t="s">
        <v>2333</v>
      </c>
      <c r="C1171" s="96" t="s">
        <v>1241</v>
      </c>
      <c r="D1171" s="96" t="s">
        <v>2561</v>
      </c>
      <c r="E1171" s="96" t="s">
        <v>2562</v>
      </c>
      <c r="F1171" s="96" t="s">
        <v>2563</v>
      </c>
      <c r="G1171" s="88">
        <v>0</v>
      </c>
      <c r="H1171" s="91">
        <v>0</v>
      </c>
      <c r="I1171" s="100" t="s">
        <v>2337</v>
      </c>
    </row>
    <row r="1172" spans="1:9">
      <c r="A1172" s="95" t="s">
        <v>2408</v>
      </c>
      <c r="B1172" s="96" t="s">
        <v>2333</v>
      </c>
      <c r="C1172" s="96" t="s">
        <v>1241</v>
      </c>
      <c r="D1172" s="96" t="s">
        <v>2564</v>
      </c>
      <c r="E1172" s="96" t="s">
        <v>2565</v>
      </c>
      <c r="F1172" s="96" t="s">
        <v>2566</v>
      </c>
      <c r="G1172" s="88">
        <v>26788175837</v>
      </c>
      <c r="H1172" s="91">
        <v>26.788175837000001</v>
      </c>
      <c r="I1172" s="100" t="s">
        <v>2337</v>
      </c>
    </row>
    <row r="1173" spans="1:9">
      <c r="A1173" s="95" t="s">
        <v>2408</v>
      </c>
      <c r="B1173" s="96" t="s">
        <v>2333</v>
      </c>
      <c r="C1173" s="96" t="s">
        <v>1241</v>
      </c>
      <c r="D1173" s="96" t="s">
        <v>2567</v>
      </c>
      <c r="E1173" s="96" t="s">
        <v>2568</v>
      </c>
      <c r="F1173" s="96" t="s">
        <v>2569</v>
      </c>
      <c r="G1173" s="88">
        <v>0</v>
      </c>
      <c r="H1173" s="91">
        <v>0</v>
      </c>
      <c r="I1173" s="100" t="s">
        <v>2337</v>
      </c>
    </row>
    <row r="1174" spans="1:9">
      <c r="A1174" s="95" t="s">
        <v>2408</v>
      </c>
      <c r="B1174" s="96" t="s">
        <v>2333</v>
      </c>
      <c r="C1174" s="96" t="s">
        <v>1241</v>
      </c>
      <c r="D1174" s="96" t="s">
        <v>1886</v>
      </c>
      <c r="E1174" s="96" t="s">
        <v>2570</v>
      </c>
      <c r="F1174" s="96" t="s">
        <v>2521</v>
      </c>
      <c r="G1174" s="88">
        <v>4430579363</v>
      </c>
      <c r="H1174" s="91">
        <v>4.4305793629999997</v>
      </c>
      <c r="I1174" s="100" t="s">
        <v>2337</v>
      </c>
    </row>
    <row r="1175" spans="1:9">
      <c r="A1175" s="95" t="s">
        <v>2408</v>
      </c>
      <c r="B1175" s="96" t="s">
        <v>2333</v>
      </c>
      <c r="C1175" s="96" t="s">
        <v>1241</v>
      </c>
      <c r="D1175" s="96" t="s">
        <v>1892</v>
      </c>
      <c r="E1175" s="96" t="s">
        <v>2571</v>
      </c>
      <c r="F1175" s="96" t="s">
        <v>2572</v>
      </c>
      <c r="G1175" s="88">
        <v>0</v>
      </c>
      <c r="H1175" s="91">
        <v>0</v>
      </c>
      <c r="I1175" s="100" t="s">
        <v>2337</v>
      </c>
    </row>
    <row r="1176" spans="1:9">
      <c r="A1176" s="95" t="s">
        <v>2408</v>
      </c>
      <c r="B1176" s="96" t="s">
        <v>2333</v>
      </c>
      <c r="C1176" s="96" t="s">
        <v>1241</v>
      </c>
      <c r="D1176" s="96" t="s">
        <v>1888</v>
      </c>
      <c r="E1176" s="96" t="s">
        <v>2573</v>
      </c>
      <c r="F1176" s="96" t="s">
        <v>2574</v>
      </c>
      <c r="G1176" s="88">
        <v>0</v>
      </c>
      <c r="H1176" s="91">
        <v>0</v>
      </c>
      <c r="I1176" s="100" t="s">
        <v>2337</v>
      </c>
    </row>
    <row r="1177" spans="1:9">
      <c r="A1177" s="95" t="s">
        <v>2408</v>
      </c>
      <c r="B1177" s="96" t="s">
        <v>2333</v>
      </c>
      <c r="C1177" s="96" t="s">
        <v>1241</v>
      </c>
      <c r="D1177" s="96" t="s">
        <v>2575</v>
      </c>
      <c r="E1177" s="96" t="s">
        <v>2576</v>
      </c>
      <c r="F1177" s="96" t="s">
        <v>2577</v>
      </c>
      <c r="G1177" s="88">
        <v>0</v>
      </c>
      <c r="H1177" s="91">
        <v>0</v>
      </c>
      <c r="I1177" s="100" t="s">
        <v>2337</v>
      </c>
    </row>
    <row r="1178" spans="1:9">
      <c r="A1178" s="95" t="s">
        <v>2408</v>
      </c>
      <c r="B1178" s="96" t="s">
        <v>2333</v>
      </c>
      <c r="C1178" s="96" t="s">
        <v>1241</v>
      </c>
      <c r="D1178" s="96" t="s">
        <v>2578</v>
      </c>
      <c r="E1178" s="96" t="s">
        <v>2579</v>
      </c>
      <c r="F1178" s="96" t="s">
        <v>2580</v>
      </c>
      <c r="G1178" s="88">
        <v>0</v>
      </c>
      <c r="H1178" s="91">
        <v>0</v>
      </c>
      <c r="I1178" s="100" t="s">
        <v>2337</v>
      </c>
    </row>
    <row r="1179" spans="1:9">
      <c r="A1179" s="95" t="s">
        <v>2408</v>
      </c>
      <c r="B1179" s="96" t="s">
        <v>2333</v>
      </c>
      <c r="C1179" s="96" t="s">
        <v>1241</v>
      </c>
      <c r="D1179" s="96" t="s">
        <v>2581</v>
      </c>
      <c r="E1179" s="96" t="s">
        <v>2582</v>
      </c>
      <c r="F1179" s="96" t="s">
        <v>2583</v>
      </c>
      <c r="G1179" s="88">
        <v>2658539369614</v>
      </c>
      <c r="H1179" s="91">
        <v>2658.539369614</v>
      </c>
      <c r="I1179" s="100" t="s">
        <v>2337</v>
      </c>
    </row>
    <row r="1180" spans="1:9">
      <c r="A1180" s="95" t="s">
        <v>2408</v>
      </c>
      <c r="B1180" s="96" t="s">
        <v>2333</v>
      </c>
      <c r="C1180" s="96" t="s">
        <v>1241</v>
      </c>
      <c r="D1180" s="96" t="s">
        <v>2584</v>
      </c>
      <c r="E1180" s="96" t="s">
        <v>2585</v>
      </c>
      <c r="F1180" s="96" t="s">
        <v>2586</v>
      </c>
      <c r="G1180" s="88">
        <v>2658539369614</v>
      </c>
      <c r="H1180" s="91">
        <v>2658.539369614</v>
      </c>
      <c r="I1180" s="100" t="s">
        <v>2337</v>
      </c>
    </row>
    <row r="1181" spans="1:9">
      <c r="A1181" s="95" t="s">
        <v>2408</v>
      </c>
      <c r="B1181" s="96" t="s">
        <v>2333</v>
      </c>
      <c r="C1181" s="96" t="s">
        <v>1241</v>
      </c>
      <c r="D1181" s="96" t="s">
        <v>2587</v>
      </c>
      <c r="E1181" s="96" t="s">
        <v>2588</v>
      </c>
      <c r="F1181" s="96" t="s">
        <v>2589</v>
      </c>
      <c r="G1181" s="88">
        <v>1073348310000</v>
      </c>
      <c r="H1181" s="91">
        <v>1073.3483100000001</v>
      </c>
      <c r="I1181" s="100" t="s">
        <v>2337</v>
      </c>
    </row>
    <row r="1182" spans="1:9">
      <c r="A1182" s="95" t="s">
        <v>2408</v>
      </c>
      <c r="B1182" s="96" t="s">
        <v>2333</v>
      </c>
      <c r="C1182" s="96" t="s">
        <v>1241</v>
      </c>
      <c r="D1182" s="96" t="s">
        <v>1900</v>
      </c>
      <c r="E1182" s="96" t="s">
        <v>2590</v>
      </c>
      <c r="F1182" s="96" t="s">
        <v>2591</v>
      </c>
      <c r="G1182" s="88">
        <v>159572337789</v>
      </c>
      <c r="H1182" s="91">
        <v>159.57233778899999</v>
      </c>
      <c r="I1182" s="100" t="s">
        <v>2337</v>
      </c>
    </row>
    <row r="1183" spans="1:9">
      <c r="A1183" s="95" t="s">
        <v>2408</v>
      </c>
      <c r="B1183" s="96" t="s">
        <v>2333</v>
      </c>
      <c r="C1183" s="96" t="s">
        <v>1241</v>
      </c>
      <c r="D1183" s="96" t="s">
        <v>2592</v>
      </c>
      <c r="E1183" s="96" t="s">
        <v>2593</v>
      </c>
      <c r="F1183" s="96" t="s">
        <v>2594</v>
      </c>
      <c r="G1183" s="88">
        <v>364615536105</v>
      </c>
      <c r="H1183" s="91">
        <v>364.61553610499999</v>
      </c>
      <c r="I1183" s="100" t="s">
        <v>2337</v>
      </c>
    </row>
    <row r="1184" spans="1:9">
      <c r="A1184" s="95" t="s">
        <v>2408</v>
      </c>
      <c r="B1184" s="96" t="s">
        <v>2333</v>
      </c>
      <c r="C1184" s="96" t="s">
        <v>1241</v>
      </c>
      <c r="D1184" s="96" t="s">
        <v>1906</v>
      </c>
      <c r="E1184" s="96" t="s">
        <v>2595</v>
      </c>
      <c r="F1184" s="96" t="s">
        <v>2596</v>
      </c>
      <c r="G1184" s="88">
        <v>-5427873108</v>
      </c>
      <c r="H1184" s="91">
        <v>-5.427873108</v>
      </c>
      <c r="I1184" s="100" t="s">
        <v>2337</v>
      </c>
    </row>
    <row r="1185" spans="1:9">
      <c r="A1185" s="95" t="s">
        <v>2408</v>
      </c>
      <c r="B1185" s="96" t="s">
        <v>2333</v>
      </c>
      <c r="C1185" s="96" t="s">
        <v>1241</v>
      </c>
      <c r="D1185" s="96" t="s">
        <v>2597</v>
      </c>
      <c r="E1185" s="96" t="s">
        <v>2598</v>
      </c>
      <c r="F1185" s="96" t="s">
        <v>2599</v>
      </c>
      <c r="G1185" s="88">
        <v>0</v>
      </c>
      <c r="H1185" s="91">
        <v>0</v>
      </c>
      <c r="I1185" s="100" t="s">
        <v>2337</v>
      </c>
    </row>
    <row r="1186" spans="1:9">
      <c r="A1186" s="95" t="s">
        <v>2408</v>
      </c>
      <c r="B1186" s="96" t="s">
        <v>2333</v>
      </c>
      <c r="C1186" s="96" t="s">
        <v>1241</v>
      </c>
      <c r="D1186" s="96" t="s">
        <v>1910</v>
      </c>
      <c r="E1186" s="96" t="s">
        <v>2600</v>
      </c>
      <c r="F1186" s="96" t="s">
        <v>2601</v>
      </c>
      <c r="G1186" s="88">
        <v>0</v>
      </c>
      <c r="H1186" s="91">
        <v>0</v>
      </c>
      <c r="I1186" s="100" t="s">
        <v>2337</v>
      </c>
    </row>
    <row r="1187" spans="1:9">
      <c r="A1187" s="95" t="s">
        <v>2408</v>
      </c>
      <c r="B1187" s="96" t="s">
        <v>2333</v>
      </c>
      <c r="C1187" s="96" t="s">
        <v>1241</v>
      </c>
      <c r="D1187" s="96" t="s">
        <v>2602</v>
      </c>
      <c r="E1187" s="96" t="s">
        <v>2603</v>
      </c>
      <c r="F1187" s="96" t="s">
        <v>2604</v>
      </c>
      <c r="G1187" s="88">
        <v>271777466354</v>
      </c>
      <c r="H1187" s="91">
        <v>271.77746635400001</v>
      </c>
      <c r="I1187" s="100" t="s">
        <v>2337</v>
      </c>
    </row>
    <row r="1188" spans="1:9">
      <c r="A1188" s="95" t="s">
        <v>2408</v>
      </c>
      <c r="B1188" s="96" t="s">
        <v>2333</v>
      </c>
      <c r="C1188" s="96" t="s">
        <v>1241</v>
      </c>
      <c r="D1188" s="96" t="s">
        <v>2605</v>
      </c>
      <c r="E1188" s="96" t="s">
        <v>2606</v>
      </c>
      <c r="F1188" s="96" t="s">
        <v>2607</v>
      </c>
      <c r="G1188" s="88">
        <v>0</v>
      </c>
      <c r="H1188" s="91">
        <v>0</v>
      </c>
      <c r="I1188" s="100" t="s">
        <v>2337</v>
      </c>
    </row>
    <row r="1189" spans="1:9">
      <c r="A1189" s="95" t="s">
        <v>2408</v>
      </c>
      <c r="B1189" s="96" t="s">
        <v>2333</v>
      </c>
      <c r="C1189" s="96" t="s">
        <v>1241</v>
      </c>
      <c r="D1189" s="96" t="s">
        <v>2608</v>
      </c>
      <c r="E1189" s="96" t="s">
        <v>2609</v>
      </c>
      <c r="F1189" s="96" t="s">
        <v>2610</v>
      </c>
      <c r="G1189" s="88">
        <v>0</v>
      </c>
      <c r="H1189" s="91">
        <v>0</v>
      </c>
      <c r="I1189" s="100" t="s">
        <v>2337</v>
      </c>
    </row>
    <row r="1190" spans="1:9">
      <c r="A1190" s="95" t="s">
        <v>2408</v>
      </c>
      <c r="B1190" s="96" t="s">
        <v>2333</v>
      </c>
      <c r="C1190" s="96" t="s">
        <v>1241</v>
      </c>
      <c r="D1190" s="96" t="s">
        <v>2611</v>
      </c>
      <c r="E1190" s="96" t="s">
        <v>2612</v>
      </c>
      <c r="F1190" s="96" t="s">
        <v>2613</v>
      </c>
      <c r="G1190" s="88">
        <v>551068436199</v>
      </c>
      <c r="H1190" s="91">
        <v>551.06843619899996</v>
      </c>
      <c r="I1190" s="100" t="s">
        <v>2337</v>
      </c>
    </row>
    <row r="1191" spans="1:9">
      <c r="A1191" s="95" t="s">
        <v>2408</v>
      </c>
      <c r="B1191" s="96" t="s">
        <v>2333</v>
      </c>
      <c r="C1191" s="96" t="s">
        <v>1241</v>
      </c>
      <c r="D1191" s="96" t="s">
        <v>2614</v>
      </c>
      <c r="E1191" s="96" t="s">
        <v>2615</v>
      </c>
      <c r="F1191" s="96" t="s">
        <v>2616</v>
      </c>
      <c r="G1191" s="88">
        <v>0</v>
      </c>
      <c r="H1191" s="91">
        <v>0</v>
      </c>
      <c r="I1191" s="100" t="s">
        <v>2337</v>
      </c>
    </row>
    <row r="1192" spans="1:9">
      <c r="A1192" s="95" t="s">
        <v>2408</v>
      </c>
      <c r="B1192" s="96" t="s">
        <v>2333</v>
      </c>
      <c r="C1192" s="96" t="s">
        <v>1241</v>
      </c>
      <c r="D1192" s="96" t="s">
        <v>2617</v>
      </c>
      <c r="E1192" s="96" t="s">
        <v>2618</v>
      </c>
      <c r="F1192" s="96" t="s">
        <v>2619</v>
      </c>
      <c r="G1192" s="88">
        <v>0</v>
      </c>
      <c r="H1192" s="91">
        <v>0</v>
      </c>
      <c r="I1192" s="100" t="s">
        <v>2337</v>
      </c>
    </row>
    <row r="1193" spans="1:9">
      <c r="A1193" s="95" t="s">
        <v>2408</v>
      </c>
      <c r="B1193" s="96" t="s">
        <v>2333</v>
      </c>
      <c r="C1193" s="96" t="s">
        <v>1241</v>
      </c>
      <c r="D1193" s="96" t="s">
        <v>2620</v>
      </c>
      <c r="E1193" s="96" t="s">
        <v>2621</v>
      </c>
      <c r="F1193" s="96" t="s">
        <v>2622</v>
      </c>
      <c r="G1193" s="88">
        <v>0</v>
      </c>
      <c r="H1193" s="91">
        <v>0</v>
      </c>
      <c r="I1193" s="100" t="s">
        <v>2337</v>
      </c>
    </row>
    <row r="1194" spans="1:9">
      <c r="A1194" s="95" t="s">
        <v>2408</v>
      </c>
      <c r="B1194" s="96" t="s">
        <v>2333</v>
      </c>
      <c r="C1194" s="96" t="s">
        <v>1241</v>
      </c>
      <c r="D1194" s="96" t="s">
        <v>2617</v>
      </c>
      <c r="E1194" s="96" t="s">
        <v>2618</v>
      </c>
      <c r="F1194" s="96" t="s">
        <v>2623</v>
      </c>
      <c r="G1194" s="88">
        <v>0</v>
      </c>
      <c r="H1194" s="91">
        <v>0</v>
      </c>
      <c r="I1194" s="100" t="s">
        <v>2337</v>
      </c>
    </row>
    <row r="1195" spans="1:9">
      <c r="A1195" s="95" t="s">
        <v>2408</v>
      </c>
      <c r="B1195" s="96" t="s">
        <v>2333</v>
      </c>
      <c r="C1195" s="96" t="s">
        <v>1241</v>
      </c>
      <c r="D1195" s="96" t="s">
        <v>2624</v>
      </c>
      <c r="E1195" s="96" t="s">
        <v>2625</v>
      </c>
      <c r="F1195" s="96" t="s">
        <v>1631</v>
      </c>
      <c r="G1195" s="88">
        <v>0</v>
      </c>
      <c r="H1195" s="91">
        <v>0</v>
      </c>
      <c r="I1195" s="100" t="s">
        <v>2337</v>
      </c>
    </row>
    <row r="1196" spans="1:9">
      <c r="A1196" s="95" t="s">
        <v>2408</v>
      </c>
      <c r="B1196" s="96" t="s">
        <v>2333</v>
      </c>
      <c r="C1196" s="96" t="s">
        <v>1241</v>
      </c>
      <c r="D1196" s="96" t="s">
        <v>2626</v>
      </c>
      <c r="E1196" s="96" t="s">
        <v>2627</v>
      </c>
      <c r="F1196" s="96" t="s">
        <v>2628</v>
      </c>
      <c r="G1196" s="88">
        <v>13417519878781</v>
      </c>
      <c r="H1196" s="91">
        <v>13417.519878781</v>
      </c>
      <c r="I1196" s="100" t="s">
        <v>2337</v>
      </c>
    </row>
    <row r="1197" spans="1:9">
      <c r="A1197" s="95" t="s">
        <v>2408</v>
      </c>
      <c r="B1197" s="96" t="s">
        <v>2333</v>
      </c>
      <c r="C1197" s="96" t="s">
        <v>1241</v>
      </c>
      <c r="D1197" s="96" t="s">
        <v>2629</v>
      </c>
      <c r="E1197" s="96" t="s">
        <v>2630</v>
      </c>
      <c r="F1197" s="96" t="s">
        <v>2631</v>
      </c>
      <c r="G1197" s="88">
        <v>0</v>
      </c>
      <c r="H1197" s="91">
        <v>0</v>
      </c>
      <c r="I1197" s="100" t="s">
        <v>2337</v>
      </c>
    </row>
    <row r="1198" spans="1:9">
      <c r="A1198" s="95" t="s">
        <v>2408</v>
      </c>
      <c r="B1198" s="96" t="s">
        <v>2333</v>
      </c>
      <c r="C1198" s="96" t="s">
        <v>1241</v>
      </c>
      <c r="D1198" s="96" t="s">
        <v>2632</v>
      </c>
      <c r="E1198" s="96" t="s">
        <v>2633</v>
      </c>
      <c r="F1198" s="96" t="s">
        <v>2634</v>
      </c>
      <c r="G1198" s="88">
        <v>3965727560202</v>
      </c>
      <c r="H1198" s="91">
        <v>3965.7275602019999</v>
      </c>
      <c r="I1198" s="100" t="s">
        <v>2337</v>
      </c>
    </row>
    <row r="1199" spans="1:9">
      <c r="A1199" s="95" t="s">
        <v>2408</v>
      </c>
      <c r="B1199" s="96" t="s">
        <v>2333</v>
      </c>
      <c r="C1199" s="96" t="s">
        <v>1241</v>
      </c>
      <c r="D1199" s="96" t="s">
        <v>2635</v>
      </c>
      <c r="E1199" s="96" t="s">
        <v>2636</v>
      </c>
      <c r="F1199" s="96" t="s">
        <v>2637</v>
      </c>
      <c r="G1199" s="88">
        <v>0</v>
      </c>
      <c r="H1199" s="91">
        <v>0</v>
      </c>
      <c r="I1199" s="100" t="s">
        <v>2337</v>
      </c>
    </row>
    <row r="1200" spans="1:9">
      <c r="A1200" s="95" t="s">
        <v>2408</v>
      </c>
      <c r="B1200" s="96" t="s">
        <v>2333</v>
      </c>
      <c r="C1200" s="96" t="s">
        <v>1241</v>
      </c>
      <c r="D1200" s="96" t="s">
        <v>2638</v>
      </c>
      <c r="E1200" s="96" t="s">
        <v>2639</v>
      </c>
      <c r="F1200" s="96" t="s">
        <v>2640</v>
      </c>
      <c r="G1200" s="88">
        <v>0</v>
      </c>
      <c r="H1200" s="91">
        <v>0</v>
      </c>
      <c r="I1200" s="100" t="s">
        <v>2337</v>
      </c>
    </row>
    <row r="1201" spans="1:9">
      <c r="A1201" s="95" t="s">
        <v>2408</v>
      </c>
      <c r="B1201" s="96" t="s">
        <v>2333</v>
      </c>
      <c r="C1201" s="96" t="s">
        <v>1241</v>
      </c>
      <c r="D1201" s="96" t="s">
        <v>2641</v>
      </c>
      <c r="E1201" s="96" t="s">
        <v>2642</v>
      </c>
      <c r="F1201" s="96" t="s">
        <v>2643</v>
      </c>
      <c r="G1201" s="88">
        <v>0</v>
      </c>
      <c r="H1201" s="91">
        <v>0</v>
      </c>
      <c r="I1201" s="100" t="s">
        <v>2337</v>
      </c>
    </row>
    <row r="1202" spans="1:9">
      <c r="A1202" s="95" t="s">
        <v>2408</v>
      </c>
      <c r="B1202" s="96" t="s">
        <v>2333</v>
      </c>
      <c r="C1202" s="96" t="s">
        <v>1241</v>
      </c>
      <c r="D1202" s="96" t="s">
        <v>2644</v>
      </c>
      <c r="E1202" s="96" t="s">
        <v>2645</v>
      </c>
      <c r="F1202" s="96" t="s">
        <v>2646</v>
      </c>
      <c r="G1202" s="88">
        <v>0</v>
      </c>
      <c r="H1202" s="91">
        <v>0</v>
      </c>
      <c r="I1202" s="100" t="s">
        <v>2337</v>
      </c>
    </row>
    <row r="1203" spans="1:9">
      <c r="A1203" s="95" t="s">
        <v>2408</v>
      </c>
      <c r="B1203" s="96" t="s">
        <v>2333</v>
      </c>
      <c r="C1203" s="96" t="s">
        <v>1241</v>
      </c>
      <c r="D1203" s="96" t="s">
        <v>1759</v>
      </c>
      <c r="E1203" s="96" t="s">
        <v>2647</v>
      </c>
      <c r="F1203" s="96" t="s">
        <v>2648</v>
      </c>
      <c r="G1203" s="88">
        <v>0</v>
      </c>
      <c r="H1203" s="91">
        <v>0</v>
      </c>
      <c r="I1203" s="100" t="s">
        <v>2337</v>
      </c>
    </row>
    <row r="1204" spans="1:9">
      <c r="A1204" s="95" t="s">
        <v>2408</v>
      </c>
      <c r="B1204" s="96" t="s">
        <v>2333</v>
      </c>
      <c r="C1204" s="96" t="s">
        <v>1241</v>
      </c>
      <c r="D1204" s="96" t="s">
        <v>2649</v>
      </c>
      <c r="E1204" s="96" t="s">
        <v>2650</v>
      </c>
      <c r="F1204" s="96" t="s">
        <v>2651</v>
      </c>
      <c r="G1204" s="88">
        <v>0</v>
      </c>
      <c r="H1204" s="91">
        <v>0</v>
      </c>
      <c r="I1204" s="100" t="s">
        <v>2337</v>
      </c>
    </row>
    <row r="1205" spans="1:9">
      <c r="A1205" s="95" t="s">
        <v>2408</v>
      </c>
      <c r="B1205" s="96" t="s">
        <v>2333</v>
      </c>
      <c r="C1205" s="96" t="s">
        <v>1241</v>
      </c>
      <c r="D1205" s="96" t="s">
        <v>2652</v>
      </c>
      <c r="E1205" s="96" t="s">
        <v>2653</v>
      </c>
      <c r="F1205" s="96" t="s">
        <v>2654</v>
      </c>
      <c r="G1205" s="88">
        <v>38068749278</v>
      </c>
      <c r="H1205" s="91">
        <v>38.068749277999999</v>
      </c>
      <c r="I1205" s="100" t="s">
        <v>2337</v>
      </c>
    </row>
    <row r="1206" spans="1:9">
      <c r="A1206" s="95" t="s">
        <v>2408</v>
      </c>
      <c r="B1206" s="96" t="s">
        <v>2333</v>
      </c>
      <c r="C1206" s="96" t="s">
        <v>1241</v>
      </c>
      <c r="D1206" s="96" t="s">
        <v>2655</v>
      </c>
      <c r="E1206" s="96" t="s">
        <v>2656</v>
      </c>
      <c r="F1206" s="96" t="s">
        <v>2657</v>
      </c>
      <c r="G1206" s="88">
        <v>0</v>
      </c>
      <c r="H1206" s="91">
        <v>0</v>
      </c>
      <c r="I1206" s="100" t="s">
        <v>2337</v>
      </c>
    </row>
    <row r="1207" spans="1:9">
      <c r="A1207" s="95" t="s">
        <v>2408</v>
      </c>
      <c r="B1207" s="96" t="s">
        <v>2333</v>
      </c>
      <c r="C1207" s="96" t="s">
        <v>1241</v>
      </c>
      <c r="D1207" s="96" t="s">
        <v>2632</v>
      </c>
      <c r="E1207" s="96" t="s">
        <v>2633</v>
      </c>
      <c r="F1207" s="96" t="s">
        <v>2634</v>
      </c>
      <c r="G1207" s="88">
        <v>1891966320</v>
      </c>
      <c r="H1207" s="91">
        <v>1.8919663200000001</v>
      </c>
      <c r="I1207" s="100" t="s">
        <v>2337</v>
      </c>
    </row>
    <row r="1208" spans="1:9">
      <c r="A1208" s="95" t="s">
        <v>2408</v>
      </c>
      <c r="B1208" s="96" t="s">
        <v>2333</v>
      </c>
      <c r="C1208" s="96" t="s">
        <v>1241</v>
      </c>
      <c r="D1208" s="96" t="s">
        <v>2658</v>
      </c>
      <c r="E1208" s="96" t="s">
        <v>2659</v>
      </c>
      <c r="F1208" s="96" t="s">
        <v>2660</v>
      </c>
      <c r="G1208" s="88">
        <v>0</v>
      </c>
      <c r="H1208" s="91">
        <v>0</v>
      </c>
      <c r="I1208" s="100" t="s">
        <v>2337</v>
      </c>
    </row>
    <row r="1209" spans="1:9">
      <c r="A1209" s="95" t="s">
        <v>2408</v>
      </c>
      <c r="B1209" s="96" t="s">
        <v>2333</v>
      </c>
      <c r="C1209" s="96" t="s">
        <v>1241</v>
      </c>
      <c r="D1209" s="96" t="s">
        <v>2661</v>
      </c>
      <c r="E1209" s="96" t="s">
        <v>2662</v>
      </c>
      <c r="F1209" s="96" t="s">
        <v>2663</v>
      </c>
      <c r="G1209" s="88">
        <v>175319854</v>
      </c>
      <c r="H1209" s="91">
        <v>0.175319854</v>
      </c>
      <c r="I1209" s="100" t="s">
        <v>2337</v>
      </c>
    </row>
    <row r="1210" spans="1:9">
      <c r="A1210" s="95" t="s">
        <v>2408</v>
      </c>
      <c r="B1210" s="96" t="s">
        <v>2333</v>
      </c>
      <c r="C1210" s="96" t="s">
        <v>1241</v>
      </c>
      <c r="D1210" s="96" t="s">
        <v>1862</v>
      </c>
      <c r="E1210" s="96" t="s">
        <v>2664</v>
      </c>
      <c r="F1210" s="96" t="s">
        <v>2665</v>
      </c>
      <c r="G1210" s="88">
        <v>0</v>
      </c>
      <c r="H1210" s="91">
        <v>0</v>
      </c>
      <c r="I1210" s="100" t="s">
        <v>2337</v>
      </c>
    </row>
    <row r="1211" spans="1:9">
      <c r="A1211" s="95" t="s">
        <v>2408</v>
      </c>
      <c r="B1211" s="96" t="s">
        <v>2333</v>
      </c>
      <c r="C1211" s="96" t="s">
        <v>1241</v>
      </c>
      <c r="D1211" s="96" t="s">
        <v>2644</v>
      </c>
      <c r="E1211" s="96" t="s">
        <v>2645</v>
      </c>
      <c r="F1211" s="96" t="s">
        <v>2666</v>
      </c>
      <c r="G1211" s="88">
        <v>0</v>
      </c>
      <c r="H1211" s="91">
        <v>0</v>
      </c>
      <c r="I1211" s="100" t="s">
        <v>2337</v>
      </c>
    </row>
    <row r="1212" spans="1:9">
      <c r="A1212" s="95" t="s">
        <v>2408</v>
      </c>
      <c r="B1212" s="96" t="s">
        <v>2333</v>
      </c>
      <c r="C1212" s="96" t="s">
        <v>1241</v>
      </c>
      <c r="D1212" s="96" t="s">
        <v>1868</v>
      </c>
      <c r="E1212" s="96" t="s">
        <v>2667</v>
      </c>
      <c r="F1212" s="96" t="s">
        <v>2668</v>
      </c>
      <c r="G1212" s="88">
        <v>0</v>
      </c>
      <c r="H1212" s="91">
        <v>0</v>
      </c>
      <c r="I1212" s="100" t="s">
        <v>2337</v>
      </c>
    </row>
    <row r="1213" spans="1:9">
      <c r="A1213" s="95" t="s">
        <v>2408</v>
      </c>
      <c r="B1213" s="96" t="s">
        <v>2333</v>
      </c>
      <c r="C1213" s="96" t="s">
        <v>1241</v>
      </c>
      <c r="D1213" s="96" t="s">
        <v>1872</v>
      </c>
      <c r="E1213" s="96" t="s">
        <v>2669</v>
      </c>
      <c r="F1213" s="96" t="s">
        <v>2670</v>
      </c>
      <c r="G1213" s="88">
        <v>0</v>
      </c>
      <c r="H1213" s="91">
        <v>0</v>
      </c>
      <c r="I1213" s="100" t="s">
        <v>2337</v>
      </c>
    </row>
    <row r="1214" spans="1:9">
      <c r="A1214" s="95" t="s">
        <v>2408</v>
      </c>
      <c r="B1214" s="96" t="s">
        <v>2333</v>
      </c>
      <c r="C1214" s="96" t="s">
        <v>1241</v>
      </c>
      <c r="D1214" s="96" t="s">
        <v>2671</v>
      </c>
      <c r="E1214" s="96" t="s">
        <v>2672</v>
      </c>
      <c r="F1214" s="96" t="s">
        <v>2673</v>
      </c>
      <c r="G1214" s="88">
        <v>0</v>
      </c>
      <c r="H1214" s="91">
        <v>0</v>
      </c>
      <c r="I1214" s="100" t="s">
        <v>2337</v>
      </c>
    </row>
    <row r="1215" spans="1:9">
      <c r="A1215" s="95" t="s">
        <v>2408</v>
      </c>
      <c r="B1215" s="96" t="s">
        <v>2333</v>
      </c>
      <c r="C1215" s="96" t="s">
        <v>1241</v>
      </c>
      <c r="D1215" s="96" t="s">
        <v>1882</v>
      </c>
      <c r="E1215" s="96" t="s">
        <v>2674</v>
      </c>
      <c r="F1215" s="96" t="s">
        <v>2675</v>
      </c>
      <c r="G1215" s="88">
        <v>0</v>
      </c>
      <c r="H1215" s="91">
        <v>0</v>
      </c>
      <c r="I1215" s="100" t="s">
        <v>2337</v>
      </c>
    </row>
    <row r="1216" spans="1:9">
      <c r="A1216" s="95" t="s">
        <v>2408</v>
      </c>
      <c r="B1216" s="96" t="s">
        <v>2333</v>
      </c>
      <c r="C1216" s="96" t="s">
        <v>1241</v>
      </c>
      <c r="D1216" s="96" t="s">
        <v>2629</v>
      </c>
      <c r="E1216" s="96" t="s">
        <v>2630</v>
      </c>
      <c r="F1216" s="96" t="s">
        <v>2631</v>
      </c>
      <c r="G1216" s="88">
        <v>0</v>
      </c>
      <c r="H1216" s="91">
        <v>0</v>
      </c>
      <c r="I1216" s="100" t="s">
        <v>2337</v>
      </c>
    </row>
    <row r="1217" spans="1:9">
      <c r="A1217" s="95" t="s">
        <v>2408</v>
      </c>
      <c r="B1217" s="96" t="s">
        <v>2333</v>
      </c>
      <c r="C1217" s="96" t="s">
        <v>1241</v>
      </c>
      <c r="D1217" s="96" t="s">
        <v>2676</v>
      </c>
      <c r="E1217" s="96" t="s">
        <v>2677</v>
      </c>
      <c r="F1217" s="96" t="s">
        <v>2678</v>
      </c>
      <c r="G1217" s="88">
        <v>1073348310000</v>
      </c>
      <c r="H1217" s="91">
        <v>1073.3483100000001</v>
      </c>
      <c r="I1217" s="100" t="s">
        <v>2337</v>
      </c>
    </row>
    <row r="1218" spans="1:9">
      <c r="A1218" s="95" t="s">
        <v>2408</v>
      </c>
      <c r="B1218" s="96" t="s">
        <v>2333</v>
      </c>
      <c r="C1218" s="96" t="s">
        <v>1241</v>
      </c>
      <c r="D1218" s="96" t="s">
        <v>2679</v>
      </c>
      <c r="E1218" s="96" t="s">
        <v>2680</v>
      </c>
      <c r="F1218" s="96" t="s">
        <v>2681</v>
      </c>
      <c r="G1218" s="88">
        <v>0</v>
      </c>
      <c r="H1218" s="91">
        <v>0</v>
      </c>
      <c r="I1218" s="100" t="s">
        <v>2337</v>
      </c>
    </row>
    <row r="1219" spans="1:9">
      <c r="A1219" s="95" t="s">
        <v>2408</v>
      </c>
      <c r="B1219" s="96" t="s">
        <v>2333</v>
      </c>
      <c r="C1219" s="96" t="s">
        <v>1241</v>
      </c>
      <c r="D1219" s="96" t="s">
        <v>2682</v>
      </c>
      <c r="E1219" s="96" t="s">
        <v>2683</v>
      </c>
      <c r="F1219" s="96" t="s">
        <v>2684</v>
      </c>
      <c r="G1219" s="88">
        <v>313945253270</v>
      </c>
      <c r="H1219" s="91">
        <v>313.94525327000002</v>
      </c>
      <c r="I1219" s="100" t="s">
        <v>2337</v>
      </c>
    </row>
    <row r="1220" spans="1:9">
      <c r="A1220" s="95" t="s">
        <v>2408</v>
      </c>
      <c r="B1220" s="96" t="s">
        <v>2333</v>
      </c>
      <c r="C1220" s="96" t="s">
        <v>1241</v>
      </c>
      <c r="D1220" s="96" t="s">
        <v>2685</v>
      </c>
      <c r="E1220" s="96" t="s">
        <v>2686</v>
      </c>
      <c r="F1220" s="96" t="s">
        <v>2687</v>
      </c>
      <c r="G1220" s="88">
        <v>237123182929</v>
      </c>
      <c r="H1220" s="91">
        <v>237.123182929</v>
      </c>
      <c r="I1220" s="100" t="s">
        <v>2337</v>
      </c>
    </row>
    <row r="1221" spans="1:9">
      <c r="A1221" s="95" t="s">
        <v>2408</v>
      </c>
      <c r="B1221" s="96" t="s">
        <v>2333</v>
      </c>
      <c r="C1221" s="96" t="s">
        <v>1241</v>
      </c>
      <c r="D1221" s="96" t="s">
        <v>1810</v>
      </c>
      <c r="E1221" s="96" t="s">
        <v>2688</v>
      </c>
      <c r="F1221" s="96" t="s">
        <v>2689</v>
      </c>
      <c r="G1221" s="88">
        <v>38068749278</v>
      </c>
      <c r="H1221" s="91">
        <v>38.068749277999999</v>
      </c>
      <c r="I1221" s="100" t="s">
        <v>2337</v>
      </c>
    </row>
    <row r="1222" spans="1:9">
      <c r="A1222" s="95" t="s">
        <v>2408</v>
      </c>
      <c r="B1222" s="96" t="s">
        <v>2333</v>
      </c>
      <c r="C1222" s="96" t="s">
        <v>1241</v>
      </c>
      <c r="D1222" s="96" t="s">
        <v>1834</v>
      </c>
      <c r="E1222" s="96" t="s">
        <v>2690</v>
      </c>
      <c r="F1222" s="96" t="s">
        <v>2691</v>
      </c>
      <c r="G1222" s="88">
        <v>0</v>
      </c>
      <c r="H1222" s="91">
        <v>0</v>
      </c>
      <c r="I1222" s="100" t="s">
        <v>2337</v>
      </c>
    </row>
    <row r="1223" spans="1:9">
      <c r="A1223" s="95" t="s">
        <v>2408</v>
      </c>
      <c r="B1223" s="96" t="s">
        <v>2333</v>
      </c>
      <c r="C1223" s="96" t="s">
        <v>1241</v>
      </c>
      <c r="D1223" s="96" t="s">
        <v>2390</v>
      </c>
      <c r="E1223" s="96" t="s">
        <v>2391</v>
      </c>
      <c r="F1223" s="96" t="s">
        <v>2692</v>
      </c>
      <c r="G1223" s="88">
        <v>243585156275</v>
      </c>
      <c r="H1223" s="91">
        <v>243.585156275</v>
      </c>
      <c r="I1223" s="100" t="s">
        <v>2337</v>
      </c>
    </row>
    <row r="1224" spans="1:9">
      <c r="A1224" s="95" t="s">
        <v>2408</v>
      </c>
      <c r="B1224" s="96" t="s">
        <v>2333</v>
      </c>
      <c r="C1224" s="96" t="s">
        <v>1241</v>
      </c>
      <c r="D1224" s="96" t="s">
        <v>2693</v>
      </c>
      <c r="E1224" s="96" t="s">
        <v>2694</v>
      </c>
      <c r="F1224" s="96" t="s">
        <v>2695</v>
      </c>
      <c r="G1224" s="88">
        <v>0</v>
      </c>
      <c r="H1224" s="91">
        <v>0</v>
      </c>
      <c r="I1224" s="100" t="s">
        <v>2337</v>
      </c>
    </row>
    <row r="1225" spans="1:9">
      <c r="A1225" s="95" t="s">
        <v>2408</v>
      </c>
      <c r="B1225" s="96" t="s">
        <v>2404</v>
      </c>
      <c r="C1225" s="96" t="s">
        <v>1241</v>
      </c>
      <c r="D1225" s="96" t="s">
        <v>68</v>
      </c>
      <c r="E1225" s="96" t="s">
        <v>2411</v>
      </c>
      <c r="F1225" s="96" t="s">
        <v>2412</v>
      </c>
      <c r="G1225" s="88">
        <v>9702075344906</v>
      </c>
      <c r="H1225" s="91">
        <v>9702.0753449059994</v>
      </c>
      <c r="I1225" s="100" t="s">
        <v>2405</v>
      </c>
    </row>
    <row r="1226" spans="1:9">
      <c r="A1226" s="95" t="s">
        <v>2408</v>
      </c>
      <c r="B1226" s="96" t="s">
        <v>2404</v>
      </c>
      <c r="C1226" s="96" t="s">
        <v>1241</v>
      </c>
      <c r="D1226" s="96" t="s">
        <v>58</v>
      </c>
      <c r="E1226" s="96" t="s">
        <v>2413</v>
      </c>
      <c r="F1226" s="96" t="s">
        <v>2414</v>
      </c>
      <c r="G1226" s="88">
        <v>1131193562277</v>
      </c>
      <c r="H1226" s="91">
        <v>1131.193562277</v>
      </c>
      <c r="I1226" s="100" t="s">
        <v>2405</v>
      </c>
    </row>
    <row r="1227" spans="1:9">
      <c r="A1227" s="95" t="s">
        <v>2408</v>
      </c>
      <c r="B1227" s="96" t="s">
        <v>2404</v>
      </c>
      <c r="C1227" s="96" t="s">
        <v>1241</v>
      </c>
      <c r="D1227" s="96" t="s">
        <v>1699</v>
      </c>
      <c r="E1227" s="96" t="s">
        <v>2415</v>
      </c>
      <c r="F1227" s="96" t="s">
        <v>2416</v>
      </c>
      <c r="G1227" s="88">
        <v>694686329007</v>
      </c>
      <c r="H1227" s="91">
        <v>694.68632900700004</v>
      </c>
      <c r="I1227" s="100" t="s">
        <v>2405</v>
      </c>
    </row>
    <row r="1228" spans="1:9">
      <c r="A1228" s="95" t="s">
        <v>2408</v>
      </c>
      <c r="B1228" s="96" t="s">
        <v>2404</v>
      </c>
      <c r="C1228" s="96" t="s">
        <v>1241</v>
      </c>
      <c r="D1228" s="96" t="s">
        <v>1701</v>
      </c>
      <c r="E1228" s="96" t="s">
        <v>2417</v>
      </c>
      <c r="F1228" s="96" t="s">
        <v>2418</v>
      </c>
      <c r="G1228" s="88">
        <v>436507233270</v>
      </c>
      <c r="H1228" s="91">
        <v>436.50723326999997</v>
      </c>
      <c r="I1228" s="100" t="s">
        <v>2405</v>
      </c>
    </row>
    <row r="1229" spans="1:9">
      <c r="A1229" s="95" t="s">
        <v>2408</v>
      </c>
      <c r="B1229" s="96" t="s">
        <v>2404</v>
      </c>
      <c r="C1229" s="96" t="s">
        <v>1241</v>
      </c>
      <c r="D1229" s="96" t="s">
        <v>2053</v>
      </c>
      <c r="E1229" s="96" t="s">
        <v>2419</v>
      </c>
      <c r="F1229" s="96" t="s">
        <v>2420</v>
      </c>
      <c r="G1229" s="88">
        <v>3786455289933</v>
      </c>
      <c r="H1229" s="91">
        <v>3786.4552899330001</v>
      </c>
      <c r="I1229" s="100" t="s">
        <v>2405</v>
      </c>
    </row>
    <row r="1230" spans="1:9">
      <c r="A1230" s="95" t="s">
        <v>2408</v>
      </c>
      <c r="B1230" s="96" t="s">
        <v>2404</v>
      </c>
      <c r="C1230" s="96" t="s">
        <v>1241</v>
      </c>
      <c r="D1230" s="96" t="s">
        <v>2053</v>
      </c>
      <c r="E1230" s="96" t="s">
        <v>2419</v>
      </c>
      <c r="F1230" s="96" t="s">
        <v>2420</v>
      </c>
      <c r="G1230" s="88">
        <v>71186259990</v>
      </c>
      <c r="H1230" s="91">
        <v>71.186259989999996</v>
      </c>
      <c r="I1230" s="100" t="s">
        <v>2405</v>
      </c>
    </row>
    <row r="1231" spans="1:9">
      <c r="A1231" s="95" t="s">
        <v>2408</v>
      </c>
      <c r="B1231" s="96" t="s">
        <v>2404</v>
      </c>
      <c r="C1231" s="96" t="s">
        <v>1241</v>
      </c>
      <c r="D1231" s="96" t="s">
        <v>2421</v>
      </c>
      <c r="E1231" s="96" t="s">
        <v>2422</v>
      </c>
      <c r="F1231" s="96" t="s">
        <v>2423</v>
      </c>
      <c r="G1231" s="88">
        <v>-842600275</v>
      </c>
      <c r="H1231" s="91">
        <v>-0.84260027500000001</v>
      </c>
      <c r="I1231" s="100" t="s">
        <v>2405</v>
      </c>
    </row>
    <row r="1232" spans="1:9">
      <c r="A1232" s="95" t="s">
        <v>2408</v>
      </c>
      <c r="B1232" s="96" t="s">
        <v>2404</v>
      </c>
      <c r="C1232" s="96" t="s">
        <v>1241</v>
      </c>
      <c r="D1232" s="96" t="s">
        <v>2424</v>
      </c>
      <c r="E1232" s="96" t="s">
        <v>2425</v>
      </c>
      <c r="F1232" s="96" t="s">
        <v>2426</v>
      </c>
      <c r="G1232" s="88">
        <v>2762794429870</v>
      </c>
      <c r="H1232" s="91">
        <v>2762.7944298699999</v>
      </c>
      <c r="I1232" s="100" t="s">
        <v>2405</v>
      </c>
    </row>
    <row r="1233" spans="1:9">
      <c r="A1233" s="95" t="s">
        <v>2408</v>
      </c>
      <c r="B1233" s="96" t="s">
        <v>2404</v>
      </c>
      <c r="C1233" s="96" t="s">
        <v>1241</v>
      </c>
      <c r="D1233" s="96" t="s">
        <v>2427</v>
      </c>
      <c r="E1233" s="96" t="s">
        <v>2428</v>
      </c>
      <c r="F1233" s="96" t="s">
        <v>2429</v>
      </c>
      <c r="G1233" s="88">
        <v>2694692002964</v>
      </c>
      <c r="H1233" s="91">
        <v>2694.692002964</v>
      </c>
      <c r="I1233" s="100" t="s">
        <v>2405</v>
      </c>
    </row>
    <row r="1234" spans="1:9">
      <c r="A1234" s="95" t="s">
        <v>2408</v>
      </c>
      <c r="B1234" s="96" t="s">
        <v>2404</v>
      </c>
      <c r="C1234" s="96" t="s">
        <v>1241</v>
      </c>
      <c r="D1234" s="96" t="s">
        <v>2430</v>
      </c>
      <c r="E1234" s="96" t="s">
        <v>2431</v>
      </c>
      <c r="F1234" s="96" t="s">
        <v>2432</v>
      </c>
      <c r="G1234" s="88">
        <v>152518684992</v>
      </c>
      <c r="H1234" s="91">
        <v>152.518684992</v>
      </c>
      <c r="I1234" s="100" t="s">
        <v>2405</v>
      </c>
    </row>
    <row r="1235" spans="1:9">
      <c r="A1235" s="95" t="s">
        <v>2408</v>
      </c>
      <c r="B1235" s="96" t="s">
        <v>2404</v>
      </c>
      <c r="C1235" s="96" t="s">
        <v>1241</v>
      </c>
      <c r="D1235" s="96" t="s">
        <v>2433</v>
      </c>
      <c r="E1235" s="96" t="s">
        <v>2434</v>
      </c>
      <c r="F1235" s="96" t="s">
        <v>2435</v>
      </c>
      <c r="G1235" s="88">
        <v>0</v>
      </c>
      <c r="H1235" s="91">
        <v>0</v>
      </c>
      <c r="I1235" s="100" t="s">
        <v>2405</v>
      </c>
    </row>
    <row r="1236" spans="1:9">
      <c r="A1236" s="95" t="s">
        <v>2408</v>
      </c>
      <c r="B1236" s="96" t="s">
        <v>2404</v>
      </c>
      <c r="C1236" s="96" t="s">
        <v>1241</v>
      </c>
      <c r="D1236" s="96" t="s">
        <v>2436</v>
      </c>
      <c r="E1236" s="96" t="s">
        <v>2437</v>
      </c>
      <c r="F1236" s="96" t="s">
        <v>2438</v>
      </c>
      <c r="G1236" s="88">
        <v>0</v>
      </c>
      <c r="H1236" s="91">
        <v>0</v>
      </c>
      <c r="I1236" s="100" t="s">
        <v>2405</v>
      </c>
    </row>
    <row r="1237" spans="1:9">
      <c r="A1237" s="95" t="s">
        <v>2408</v>
      </c>
      <c r="B1237" s="96" t="s">
        <v>2404</v>
      </c>
      <c r="C1237" s="96" t="s">
        <v>1241</v>
      </c>
      <c r="D1237" s="96" t="s">
        <v>2439</v>
      </c>
      <c r="E1237" s="96" t="s">
        <v>2440</v>
      </c>
      <c r="F1237" s="96" t="s">
        <v>2441</v>
      </c>
      <c r="G1237" s="88">
        <v>263480591830</v>
      </c>
      <c r="H1237" s="91">
        <v>263.48059182999998</v>
      </c>
      <c r="I1237" s="100" t="s">
        <v>2405</v>
      </c>
    </row>
    <row r="1238" spans="1:9">
      <c r="A1238" s="95" t="s">
        <v>2408</v>
      </c>
      <c r="B1238" s="96" t="s">
        <v>2404</v>
      </c>
      <c r="C1238" s="96" t="s">
        <v>1241</v>
      </c>
      <c r="D1238" s="96" t="s">
        <v>2442</v>
      </c>
      <c r="E1238" s="96" t="s">
        <v>2443</v>
      </c>
      <c r="F1238" s="96" t="s">
        <v>2444</v>
      </c>
      <c r="G1238" s="88">
        <v>-347896849916</v>
      </c>
      <c r="H1238" s="91">
        <v>-347.89684991600001</v>
      </c>
      <c r="I1238" s="100" t="s">
        <v>2405</v>
      </c>
    </row>
    <row r="1239" spans="1:9">
      <c r="A1239" s="95" t="s">
        <v>2408</v>
      </c>
      <c r="B1239" s="96" t="s">
        <v>2404</v>
      </c>
      <c r="C1239" s="96" t="s">
        <v>1241</v>
      </c>
      <c r="D1239" s="96" t="s">
        <v>2445</v>
      </c>
      <c r="E1239" s="96" t="s">
        <v>2446</v>
      </c>
      <c r="F1239" s="96" t="s">
        <v>2447</v>
      </c>
      <c r="G1239" s="88">
        <v>1707842541374</v>
      </c>
      <c r="H1239" s="91">
        <v>1707.8425413739999</v>
      </c>
      <c r="I1239" s="100" t="s">
        <v>2405</v>
      </c>
    </row>
    <row r="1240" spans="1:9">
      <c r="A1240" s="95" t="s">
        <v>2408</v>
      </c>
      <c r="B1240" s="96" t="s">
        <v>2404</v>
      </c>
      <c r="C1240" s="96" t="s">
        <v>1241</v>
      </c>
      <c r="D1240" s="96" t="s">
        <v>64</v>
      </c>
      <c r="E1240" s="96" t="s">
        <v>2448</v>
      </c>
      <c r="F1240" s="96" t="s">
        <v>2449</v>
      </c>
      <c r="G1240" s="88">
        <v>1720458085623</v>
      </c>
      <c r="H1240" s="91">
        <v>1720.458085623</v>
      </c>
      <c r="I1240" s="100" t="s">
        <v>2405</v>
      </c>
    </row>
    <row r="1241" spans="1:9">
      <c r="A1241" s="95" t="s">
        <v>2408</v>
      </c>
      <c r="B1241" s="96" t="s">
        <v>2404</v>
      </c>
      <c r="C1241" s="96" t="s">
        <v>1241</v>
      </c>
      <c r="D1241" s="96" t="s">
        <v>2450</v>
      </c>
      <c r="E1241" s="96" t="s">
        <v>2451</v>
      </c>
      <c r="F1241" s="96" t="s">
        <v>2452</v>
      </c>
      <c r="G1241" s="88">
        <v>-12615544249</v>
      </c>
      <c r="H1241" s="91">
        <v>-12.615544248999999</v>
      </c>
      <c r="I1241" s="100" t="s">
        <v>2405</v>
      </c>
    </row>
    <row r="1242" spans="1:9">
      <c r="A1242" s="95" t="s">
        <v>2408</v>
      </c>
      <c r="B1242" s="96" t="s">
        <v>2404</v>
      </c>
      <c r="C1242" s="96" t="s">
        <v>1241</v>
      </c>
      <c r="D1242" s="96" t="s">
        <v>2059</v>
      </c>
      <c r="E1242" s="96" t="s">
        <v>2453</v>
      </c>
      <c r="F1242" s="96" t="s">
        <v>2454</v>
      </c>
      <c r="G1242" s="88">
        <v>313789521452</v>
      </c>
      <c r="H1242" s="91">
        <v>313.78952145199997</v>
      </c>
      <c r="I1242" s="100" t="s">
        <v>2405</v>
      </c>
    </row>
    <row r="1243" spans="1:9">
      <c r="A1243" s="95" t="s">
        <v>2408</v>
      </c>
      <c r="B1243" s="96" t="s">
        <v>2404</v>
      </c>
      <c r="C1243" s="96" t="s">
        <v>1241</v>
      </c>
      <c r="D1243" s="96" t="s">
        <v>2455</v>
      </c>
      <c r="E1243" s="96" t="s">
        <v>2456</v>
      </c>
      <c r="F1243" s="96" t="s">
        <v>2457</v>
      </c>
      <c r="G1243" s="88">
        <v>22262138810</v>
      </c>
      <c r="H1243" s="91">
        <v>22.26213881</v>
      </c>
      <c r="I1243" s="100" t="s">
        <v>2405</v>
      </c>
    </row>
    <row r="1244" spans="1:9">
      <c r="A1244" s="95" t="s">
        <v>2408</v>
      </c>
      <c r="B1244" s="96" t="s">
        <v>2404</v>
      </c>
      <c r="C1244" s="96" t="s">
        <v>1241</v>
      </c>
      <c r="D1244" s="96" t="s">
        <v>2458</v>
      </c>
      <c r="E1244" s="96" t="s">
        <v>2459</v>
      </c>
      <c r="F1244" s="96" t="s">
        <v>2460</v>
      </c>
      <c r="G1244" s="88">
        <v>282896287591</v>
      </c>
      <c r="H1244" s="91">
        <v>282.89628759099998</v>
      </c>
      <c r="I1244" s="100" t="s">
        <v>2405</v>
      </c>
    </row>
    <row r="1245" spans="1:9">
      <c r="A1245" s="95" t="s">
        <v>2408</v>
      </c>
      <c r="B1245" s="96" t="s">
        <v>2404</v>
      </c>
      <c r="C1245" s="96" t="s">
        <v>1241</v>
      </c>
      <c r="D1245" s="96" t="s">
        <v>2461</v>
      </c>
      <c r="E1245" s="96" t="s">
        <v>2462</v>
      </c>
      <c r="F1245" s="96" t="s">
        <v>2463</v>
      </c>
      <c r="G1245" s="88">
        <v>8631095051</v>
      </c>
      <c r="H1245" s="91">
        <v>8.6310950510000009</v>
      </c>
      <c r="I1245" s="100" t="s">
        <v>2405</v>
      </c>
    </row>
    <row r="1246" spans="1:9">
      <c r="A1246" s="95" t="s">
        <v>2408</v>
      </c>
      <c r="B1246" s="96" t="s">
        <v>2404</v>
      </c>
      <c r="C1246" s="96" t="s">
        <v>1241</v>
      </c>
      <c r="D1246" s="96" t="s">
        <v>2059</v>
      </c>
      <c r="E1246" s="96" t="s">
        <v>2453</v>
      </c>
      <c r="F1246" s="96" t="s">
        <v>2454</v>
      </c>
      <c r="G1246" s="88">
        <v>0</v>
      </c>
      <c r="H1246" s="91">
        <v>0</v>
      </c>
      <c r="I1246" s="100" t="s">
        <v>2405</v>
      </c>
    </row>
    <row r="1247" spans="1:9">
      <c r="A1247" s="95" t="s">
        <v>2408</v>
      </c>
      <c r="B1247" s="96" t="s">
        <v>2404</v>
      </c>
      <c r="C1247" s="96" t="s">
        <v>1241</v>
      </c>
      <c r="D1247" s="96" t="s">
        <v>1753</v>
      </c>
      <c r="E1247" s="96" t="s">
        <v>2464</v>
      </c>
      <c r="F1247" s="96" t="s">
        <v>2465</v>
      </c>
      <c r="G1247" s="88">
        <v>1132565958894</v>
      </c>
      <c r="H1247" s="91">
        <v>1132.565958894</v>
      </c>
      <c r="I1247" s="100" t="s">
        <v>2405</v>
      </c>
    </row>
    <row r="1248" spans="1:9">
      <c r="A1248" s="95" t="s">
        <v>2408</v>
      </c>
      <c r="B1248" s="96" t="s">
        <v>2404</v>
      </c>
      <c r="C1248" s="96" t="s">
        <v>1241</v>
      </c>
      <c r="D1248" s="96" t="s">
        <v>1757</v>
      </c>
      <c r="E1248" s="96" t="s">
        <v>2466</v>
      </c>
      <c r="F1248" s="96" t="s">
        <v>2467</v>
      </c>
      <c r="G1248" s="88">
        <v>31078335381</v>
      </c>
      <c r="H1248" s="91">
        <v>31.078335380999999</v>
      </c>
      <c r="I1248" s="100" t="s">
        <v>2405</v>
      </c>
    </row>
    <row r="1249" spans="1:9">
      <c r="A1249" s="95" t="s">
        <v>2408</v>
      </c>
      <c r="B1249" s="96" t="s">
        <v>2404</v>
      </c>
      <c r="C1249" s="96" t="s">
        <v>1241</v>
      </c>
      <c r="D1249" s="96" t="s">
        <v>2468</v>
      </c>
      <c r="E1249" s="96" t="s">
        <v>2469</v>
      </c>
      <c r="F1249" s="96" t="s">
        <v>2470</v>
      </c>
      <c r="G1249" s="88">
        <v>0</v>
      </c>
      <c r="H1249" s="91">
        <v>0</v>
      </c>
      <c r="I1249" s="100" t="s">
        <v>2405</v>
      </c>
    </row>
    <row r="1250" spans="1:9">
      <c r="A1250" s="95" t="s">
        <v>2408</v>
      </c>
      <c r="B1250" s="96" t="s">
        <v>2404</v>
      </c>
      <c r="C1250" s="96" t="s">
        <v>1241</v>
      </c>
      <c r="D1250" s="96" t="s">
        <v>2471</v>
      </c>
      <c r="E1250" s="96" t="s">
        <v>2472</v>
      </c>
      <c r="F1250" s="96" t="s">
        <v>2473</v>
      </c>
      <c r="G1250" s="88">
        <v>0</v>
      </c>
      <c r="H1250" s="91">
        <v>0</v>
      </c>
      <c r="I1250" s="100" t="s">
        <v>2405</v>
      </c>
    </row>
    <row r="1251" spans="1:9">
      <c r="A1251" s="95" t="s">
        <v>2408</v>
      </c>
      <c r="B1251" s="96" t="s">
        <v>2404</v>
      </c>
      <c r="C1251" s="96" t="s">
        <v>1241</v>
      </c>
      <c r="D1251" s="96" t="s">
        <v>1767</v>
      </c>
      <c r="E1251" s="96" t="s">
        <v>2474</v>
      </c>
      <c r="F1251" s="96" t="s">
        <v>2475</v>
      </c>
      <c r="G1251" s="88">
        <v>31078335381</v>
      </c>
      <c r="H1251" s="91">
        <v>31.078335380999999</v>
      </c>
      <c r="I1251" s="100" t="s">
        <v>2405</v>
      </c>
    </row>
    <row r="1252" spans="1:9">
      <c r="A1252" s="95" t="s">
        <v>2408</v>
      </c>
      <c r="B1252" s="96" t="s">
        <v>2404</v>
      </c>
      <c r="C1252" s="96" t="s">
        <v>1241</v>
      </c>
      <c r="D1252" s="96" t="s">
        <v>2476</v>
      </c>
      <c r="E1252" s="96" t="s">
        <v>2477</v>
      </c>
      <c r="F1252" s="96" t="s">
        <v>2478</v>
      </c>
      <c r="G1252" s="88">
        <v>0</v>
      </c>
      <c r="H1252" s="91">
        <v>0</v>
      </c>
      <c r="I1252" s="100" t="s">
        <v>2405</v>
      </c>
    </row>
    <row r="1253" spans="1:9">
      <c r="A1253" s="95" t="s">
        <v>2408</v>
      </c>
      <c r="B1253" s="96" t="s">
        <v>2404</v>
      </c>
      <c r="C1253" s="96" t="s">
        <v>1241</v>
      </c>
      <c r="D1253" s="96" t="s">
        <v>70</v>
      </c>
      <c r="E1253" s="96" t="s">
        <v>2061</v>
      </c>
      <c r="F1253" s="96" t="s">
        <v>2479</v>
      </c>
      <c r="G1253" s="88">
        <v>273825755169</v>
      </c>
      <c r="H1253" s="91">
        <v>273.82575516899999</v>
      </c>
      <c r="I1253" s="100" t="s">
        <v>2405</v>
      </c>
    </row>
    <row r="1254" spans="1:9">
      <c r="A1254" s="95" t="s">
        <v>2408</v>
      </c>
      <c r="B1254" s="96" t="s">
        <v>2404</v>
      </c>
      <c r="C1254" s="96" t="s">
        <v>1241</v>
      </c>
      <c r="D1254" s="96" t="s">
        <v>1771</v>
      </c>
      <c r="E1254" s="96" t="s">
        <v>2480</v>
      </c>
      <c r="F1254" s="96" t="s">
        <v>2481</v>
      </c>
      <c r="G1254" s="88">
        <v>106375975444</v>
      </c>
      <c r="H1254" s="91">
        <v>106.37597544400001</v>
      </c>
      <c r="I1254" s="100" t="s">
        <v>2405</v>
      </c>
    </row>
    <row r="1255" spans="1:9">
      <c r="A1255" s="95" t="s">
        <v>2408</v>
      </c>
      <c r="B1255" s="96" t="s">
        <v>2404</v>
      </c>
      <c r="C1255" s="96" t="s">
        <v>1241</v>
      </c>
      <c r="D1255" s="96" t="s">
        <v>1773</v>
      </c>
      <c r="E1255" s="96" t="s">
        <v>2482</v>
      </c>
      <c r="F1255" s="96" t="s">
        <v>2483</v>
      </c>
      <c r="G1255" s="88">
        <v>424369372944</v>
      </c>
      <c r="H1255" s="91">
        <v>424.36937294400002</v>
      </c>
      <c r="I1255" s="100" t="s">
        <v>2405</v>
      </c>
    </row>
    <row r="1256" spans="1:9">
      <c r="A1256" s="95" t="s">
        <v>2408</v>
      </c>
      <c r="B1256" s="96" t="s">
        <v>2404</v>
      </c>
      <c r="C1256" s="96" t="s">
        <v>1241</v>
      </c>
      <c r="D1256" s="96" t="s">
        <v>1775</v>
      </c>
      <c r="E1256" s="96" t="s">
        <v>2484</v>
      </c>
      <c r="F1256" s="96" t="s">
        <v>2485</v>
      </c>
      <c r="G1256" s="88">
        <v>-317993397500</v>
      </c>
      <c r="H1256" s="91">
        <v>-317.99339750000001</v>
      </c>
      <c r="I1256" s="100" t="s">
        <v>2405</v>
      </c>
    </row>
    <row r="1257" spans="1:9">
      <c r="A1257" s="95" t="s">
        <v>2408</v>
      </c>
      <c r="B1257" s="96" t="s">
        <v>2404</v>
      </c>
      <c r="C1257" s="96" t="s">
        <v>1241</v>
      </c>
      <c r="D1257" s="96" t="s">
        <v>2486</v>
      </c>
      <c r="E1257" s="96" t="s">
        <v>2487</v>
      </c>
      <c r="F1257" s="96" t="s">
        <v>2488</v>
      </c>
      <c r="G1257" s="88">
        <v>0</v>
      </c>
      <c r="H1257" s="91">
        <v>0</v>
      </c>
      <c r="I1257" s="100" t="s">
        <v>2405</v>
      </c>
    </row>
    <row r="1258" spans="1:9">
      <c r="A1258" s="95" t="s">
        <v>2408</v>
      </c>
      <c r="B1258" s="96" t="s">
        <v>2404</v>
      </c>
      <c r="C1258" s="96" t="s">
        <v>1241</v>
      </c>
      <c r="D1258" s="96" t="s">
        <v>1773</v>
      </c>
      <c r="E1258" s="96" t="s">
        <v>2482</v>
      </c>
      <c r="F1258" s="96" t="s">
        <v>2489</v>
      </c>
      <c r="G1258" s="88">
        <v>0</v>
      </c>
      <c r="H1258" s="91">
        <v>0</v>
      </c>
      <c r="I1258" s="100" t="s">
        <v>2405</v>
      </c>
    </row>
    <row r="1259" spans="1:9">
      <c r="A1259" s="95" t="s">
        <v>2408</v>
      </c>
      <c r="B1259" s="96" t="s">
        <v>2404</v>
      </c>
      <c r="C1259" s="96" t="s">
        <v>1241</v>
      </c>
      <c r="D1259" s="96" t="s">
        <v>1775</v>
      </c>
      <c r="E1259" s="96" t="s">
        <v>2484</v>
      </c>
      <c r="F1259" s="96" t="s">
        <v>2490</v>
      </c>
      <c r="G1259" s="88">
        <v>0</v>
      </c>
      <c r="H1259" s="91">
        <v>0</v>
      </c>
      <c r="I1259" s="100" t="s">
        <v>2405</v>
      </c>
    </row>
    <row r="1260" spans="1:9">
      <c r="A1260" s="95" t="s">
        <v>2408</v>
      </c>
      <c r="B1260" s="96" t="s">
        <v>2404</v>
      </c>
      <c r="C1260" s="96" t="s">
        <v>1241</v>
      </c>
      <c r="D1260" s="96" t="s">
        <v>1781</v>
      </c>
      <c r="E1260" s="96" t="s">
        <v>2491</v>
      </c>
      <c r="F1260" s="96" t="s">
        <v>2492</v>
      </c>
      <c r="G1260" s="88">
        <v>167449779725</v>
      </c>
      <c r="H1260" s="91">
        <v>167.44977972500001</v>
      </c>
      <c r="I1260" s="100" t="s">
        <v>2405</v>
      </c>
    </row>
    <row r="1261" spans="1:9">
      <c r="A1261" s="95" t="s">
        <v>2408</v>
      </c>
      <c r="B1261" s="96" t="s">
        <v>2404</v>
      </c>
      <c r="C1261" s="96" t="s">
        <v>1241</v>
      </c>
      <c r="D1261" s="96" t="s">
        <v>1773</v>
      </c>
      <c r="E1261" s="96" t="s">
        <v>2482</v>
      </c>
      <c r="F1261" s="96" t="s">
        <v>2493</v>
      </c>
      <c r="G1261" s="88">
        <v>184588212312</v>
      </c>
      <c r="H1261" s="91">
        <v>184.588212312</v>
      </c>
      <c r="I1261" s="100" t="s">
        <v>2405</v>
      </c>
    </row>
    <row r="1262" spans="1:9">
      <c r="A1262" s="95" t="s">
        <v>2408</v>
      </c>
      <c r="B1262" s="96" t="s">
        <v>2404</v>
      </c>
      <c r="C1262" s="96" t="s">
        <v>1241</v>
      </c>
      <c r="D1262" s="96" t="s">
        <v>1775</v>
      </c>
      <c r="E1262" s="96" t="s">
        <v>2484</v>
      </c>
      <c r="F1262" s="96" t="s">
        <v>2494</v>
      </c>
      <c r="G1262" s="88">
        <v>-17138432587</v>
      </c>
      <c r="H1262" s="91">
        <v>-17.138432587</v>
      </c>
      <c r="I1262" s="100" t="s">
        <v>2405</v>
      </c>
    </row>
    <row r="1263" spans="1:9">
      <c r="A1263" s="95" t="s">
        <v>2408</v>
      </c>
      <c r="B1263" s="96" t="s">
        <v>2404</v>
      </c>
      <c r="C1263" s="96" t="s">
        <v>1241</v>
      </c>
      <c r="D1263" s="96" t="s">
        <v>2495</v>
      </c>
      <c r="E1263" s="96" t="s">
        <v>2496</v>
      </c>
      <c r="F1263" s="96" t="s">
        <v>2497</v>
      </c>
      <c r="G1263" s="88">
        <v>0</v>
      </c>
      <c r="H1263" s="91">
        <v>0</v>
      </c>
      <c r="I1263" s="100" t="s">
        <v>2405</v>
      </c>
    </row>
    <row r="1264" spans="1:9">
      <c r="A1264" s="95" t="s">
        <v>2408</v>
      </c>
      <c r="B1264" s="96" t="s">
        <v>2404</v>
      </c>
      <c r="C1264" s="96" t="s">
        <v>1241</v>
      </c>
      <c r="D1264" s="96" t="s">
        <v>1802</v>
      </c>
      <c r="E1264" s="96" t="s">
        <v>2498</v>
      </c>
      <c r="F1264" s="96" t="s">
        <v>2499</v>
      </c>
      <c r="G1264" s="88">
        <v>503886510973</v>
      </c>
      <c r="H1264" s="91">
        <v>503.88651097299999</v>
      </c>
      <c r="I1264" s="100" t="s">
        <v>2405</v>
      </c>
    </row>
    <row r="1265" spans="1:9">
      <c r="A1265" s="95" t="s">
        <v>2408</v>
      </c>
      <c r="B1265" s="96" t="s">
        <v>2404</v>
      </c>
      <c r="C1265" s="96" t="s">
        <v>1241</v>
      </c>
      <c r="D1265" s="96" t="s">
        <v>1773</v>
      </c>
      <c r="E1265" s="96" t="s">
        <v>2482</v>
      </c>
      <c r="F1265" s="96" t="s">
        <v>2500</v>
      </c>
      <c r="G1265" s="88">
        <v>852074158578</v>
      </c>
      <c r="H1265" s="91">
        <v>852.07415857800004</v>
      </c>
      <c r="I1265" s="100" t="s">
        <v>2405</v>
      </c>
    </row>
    <row r="1266" spans="1:9">
      <c r="A1266" s="95" t="s">
        <v>2408</v>
      </c>
      <c r="B1266" s="96" t="s">
        <v>2404</v>
      </c>
      <c r="C1266" s="96" t="s">
        <v>1241</v>
      </c>
      <c r="D1266" s="96" t="s">
        <v>1775</v>
      </c>
      <c r="E1266" s="96" t="s">
        <v>2484</v>
      </c>
      <c r="F1266" s="96" t="s">
        <v>2501</v>
      </c>
      <c r="G1266" s="88">
        <v>-348187647605</v>
      </c>
      <c r="H1266" s="91">
        <v>-348.187647605</v>
      </c>
      <c r="I1266" s="100" t="s">
        <v>2405</v>
      </c>
    </row>
    <row r="1267" spans="1:9">
      <c r="A1267" s="95" t="s">
        <v>2408</v>
      </c>
      <c r="B1267" s="96" t="s">
        <v>2404</v>
      </c>
      <c r="C1267" s="96" t="s">
        <v>1241</v>
      </c>
      <c r="D1267" s="96" t="s">
        <v>2063</v>
      </c>
      <c r="E1267" s="96" t="s">
        <v>2502</v>
      </c>
      <c r="F1267" s="96" t="s">
        <v>2503</v>
      </c>
      <c r="G1267" s="88">
        <v>89426704001</v>
      </c>
      <c r="H1267" s="91">
        <v>89.426704001000004</v>
      </c>
      <c r="I1267" s="100" t="s">
        <v>2405</v>
      </c>
    </row>
    <row r="1268" spans="1:9">
      <c r="A1268" s="95" t="s">
        <v>2408</v>
      </c>
      <c r="B1268" s="96" t="s">
        <v>2404</v>
      </c>
      <c r="C1268" s="96" t="s">
        <v>1241</v>
      </c>
      <c r="D1268" s="96" t="s">
        <v>1812</v>
      </c>
      <c r="E1268" s="96" t="s">
        <v>2504</v>
      </c>
      <c r="F1268" s="96" t="s">
        <v>2505</v>
      </c>
      <c r="G1268" s="88">
        <v>0</v>
      </c>
      <c r="H1268" s="91">
        <v>0</v>
      </c>
      <c r="I1268" s="100" t="s">
        <v>2405</v>
      </c>
    </row>
    <row r="1269" spans="1:9">
      <c r="A1269" s="95" t="s">
        <v>2408</v>
      </c>
      <c r="B1269" s="96" t="s">
        <v>2404</v>
      </c>
      <c r="C1269" s="96" t="s">
        <v>1241</v>
      </c>
      <c r="D1269" s="96" t="s">
        <v>2506</v>
      </c>
      <c r="E1269" s="96" t="s">
        <v>2507</v>
      </c>
      <c r="F1269" s="96" t="s">
        <v>2508</v>
      </c>
      <c r="G1269" s="88">
        <v>87404831883</v>
      </c>
      <c r="H1269" s="91">
        <v>87.404831883</v>
      </c>
      <c r="I1269" s="100" t="s">
        <v>2405</v>
      </c>
    </row>
    <row r="1270" spans="1:9">
      <c r="A1270" s="95" t="s">
        <v>2408</v>
      </c>
      <c r="B1270" s="96" t="s">
        <v>2404</v>
      </c>
      <c r="C1270" s="96" t="s">
        <v>1241</v>
      </c>
      <c r="D1270" s="96" t="s">
        <v>1824</v>
      </c>
      <c r="E1270" s="96" t="s">
        <v>2509</v>
      </c>
      <c r="F1270" s="96" t="s">
        <v>2510</v>
      </c>
      <c r="G1270" s="88">
        <v>22465000000</v>
      </c>
      <c r="H1270" s="91">
        <v>22.465</v>
      </c>
      <c r="I1270" s="100" t="s">
        <v>2405</v>
      </c>
    </row>
    <row r="1271" spans="1:9">
      <c r="A1271" s="95" t="s">
        <v>2408</v>
      </c>
      <c r="B1271" s="96" t="s">
        <v>2404</v>
      </c>
      <c r="C1271" s="96" t="s">
        <v>1241</v>
      </c>
      <c r="D1271" s="96" t="s">
        <v>2511</v>
      </c>
      <c r="E1271" s="96" t="s">
        <v>2512</v>
      </c>
      <c r="F1271" s="96" t="s">
        <v>2513</v>
      </c>
      <c r="G1271" s="88">
        <v>-22465000000</v>
      </c>
      <c r="H1271" s="91">
        <v>-22.465</v>
      </c>
      <c r="I1271" s="100" t="s">
        <v>2405</v>
      </c>
    </row>
    <row r="1272" spans="1:9">
      <c r="A1272" s="95" t="s">
        <v>2408</v>
      </c>
      <c r="B1272" s="96" t="s">
        <v>2404</v>
      </c>
      <c r="C1272" s="96" t="s">
        <v>1241</v>
      </c>
      <c r="D1272" s="96" t="s">
        <v>1836</v>
      </c>
      <c r="E1272" s="96" t="s">
        <v>2514</v>
      </c>
      <c r="F1272" s="96" t="s">
        <v>2515</v>
      </c>
      <c r="G1272" s="88">
        <v>0</v>
      </c>
      <c r="H1272" s="91">
        <v>0</v>
      </c>
      <c r="I1272" s="100" t="s">
        <v>2405</v>
      </c>
    </row>
    <row r="1273" spans="1:9">
      <c r="A1273" s="95" t="s">
        <v>2408</v>
      </c>
      <c r="B1273" s="96" t="s">
        <v>2404</v>
      </c>
      <c r="C1273" s="96" t="s">
        <v>1241</v>
      </c>
      <c r="D1273" s="96" t="s">
        <v>74</v>
      </c>
      <c r="E1273" s="96" t="s">
        <v>2064</v>
      </c>
      <c r="F1273" s="96" t="s">
        <v>2516</v>
      </c>
      <c r="G1273" s="88">
        <v>196839004092</v>
      </c>
      <c r="H1273" s="91">
        <v>196.83900409200001</v>
      </c>
      <c r="I1273" s="100" t="s">
        <v>2405</v>
      </c>
    </row>
    <row r="1274" spans="1:9">
      <c r="A1274" s="95" t="s">
        <v>2408</v>
      </c>
      <c r="B1274" s="96" t="s">
        <v>2404</v>
      </c>
      <c r="C1274" s="96" t="s">
        <v>1241</v>
      </c>
      <c r="D1274" s="96" t="s">
        <v>2517</v>
      </c>
      <c r="E1274" s="96" t="s">
        <v>2518</v>
      </c>
      <c r="F1274" s="96" t="s">
        <v>2519</v>
      </c>
      <c r="G1274" s="88">
        <v>196833251722</v>
      </c>
      <c r="H1274" s="91">
        <v>196.833251722</v>
      </c>
      <c r="I1274" s="100" t="s">
        <v>2405</v>
      </c>
    </row>
    <row r="1275" spans="1:9">
      <c r="A1275" s="95" t="s">
        <v>2408</v>
      </c>
      <c r="B1275" s="96" t="s">
        <v>2404</v>
      </c>
      <c r="C1275" s="96" t="s">
        <v>1241</v>
      </c>
      <c r="D1275" s="96" t="s">
        <v>1828</v>
      </c>
      <c r="E1275" s="96" t="s">
        <v>2520</v>
      </c>
      <c r="F1275" s="96" t="s">
        <v>2521</v>
      </c>
      <c r="G1275" s="88">
        <v>5752370</v>
      </c>
      <c r="H1275" s="91">
        <v>5.7523699999999997E-3</v>
      </c>
      <c r="I1275" s="100" t="s">
        <v>2405</v>
      </c>
    </row>
    <row r="1276" spans="1:9">
      <c r="A1276" s="95" t="s">
        <v>2408</v>
      </c>
      <c r="B1276" s="96" t="s">
        <v>2404</v>
      </c>
      <c r="C1276" s="96" t="s">
        <v>1241</v>
      </c>
      <c r="D1276" s="96" t="s">
        <v>74</v>
      </c>
      <c r="E1276" s="96" t="s">
        <v>2064</v>
      </c>
      <c r="F1276" s="96" t="s">
        <v>2522</v>
      </c>
      <c r="G1276" s="88">
        <v>0</v>
      </c>
      <c r="H1276" s="91">
        <v>0</v>
      </c>
      <c r="I1276" s="100" t="s">
        <v>2405</v>
      </c>
    </row>
    <row r="1277" spans="1:9">
      <c r="A1277" s="95" t="s">
        <v>2408</v>
      </c>
      <c r="B1277" s="96" t="s">
        <v>2404</v>
      </c>
      <c r="C1277" s="96" t="s">
        <v>1241</v>
      </c>
      <c r="D1277" s="96" t="s">
        <v>76</v>
      </c>
      <c r="E1277" s="96" t="s">
        <v>75</v>
      </c>
      <c r="F1277" s="96" t="s">
        <v>1643</v>
      </c>
      <c r="G1277" s="88">
        <v>10834641303800</v>
      </c>
      <c r="H1277" s="91">
        <v>10834.641303799999</v>
      </c>
      <c r="I1277" s="100" t="s">
        <v>2405</v>
      </c>
    </row>
    <row r="1278" spans="1:9">
      <c r="A1278" s="95" t="s">
        <v>2408</v>
      </c>
      <c r="B1278" s="96" t="s">
        <v>2404</v>
      </c>
      <c r="C1278" s="96" t="s">
        <v>1241</v>
      </c>
      <c r="D1278" s="96" t="s">
        <v>2523</v>
      </c>
      <c r="E1278" s="96" t="s">
        <v>487</v>
      </c>
      <c r="F1278" s="96" t="s">
        <v>2524</v>
      </c>
      <c r="G1278" s="88">
        <v>8452224945712</v>
      </c>
      <c r="H1278" s="91">
        <v>8452.2249457119997</v>
      </c>
      <c r="I1278" s="100" t="s">
        <v>2405</v>
      </c>
    </row>
    <row r="1279" spans="1:9">
      <c r="A1279" s="95" t="s">
        <v>2408</v>
      </c>
      <c r="B1279" s="96" t="s">
        <v>2404</v>
      </c>
      <c r="C1279" s="96" t="s">
        <v>1241</v>
      </c>
      <c r="D1279" s="96" t="s">
        <v>82</v>
      </c>
      <c r="E1279" s="96" t="s">
        <v>2070</v>
      </c>
      <c r="F1279" s="96" t="s">
        <v>2525</v>
      </c>
      <c r="G1279" s="88">
        <v>8402368252104</v>
      </c>
      <c r="H1279" s="91">
        <v>8402.3682521039991</v>
      </c>
      <c r="I1279" s="100" t="s">
        <v>2405</v>
      </c>
    </row>
    <row r="1280" spans="1:9">
      <c r="A1280" s="95" t="s">
        <v>2408</v>
      </c>
      <c r="B1280" s="96" t="s">
        <v>2404</v>
      </c>
      <c r="C1280" s="96" t="s">
        <v>1241</v>
      </c>
      <c r="D1280" s="96" t="s">
        <v>2526</v>
      </c>
      <c r="E1280" s="96" t="s">
        <v>2527</v>
      </c>
      <c r="F1280" s="96" t="s">
        <v>2528</v>
      </c>
      <c r="G1280" s="88">
        <v>4648238702449</v>
      </c>
      <c r="H1280" s="91">
        <v>4648.2387024489999</v>
      </c>
      <c r="I1280" s="100" t="s">
        <v>2405</v>
      </c>
    </row>
    <row r="1281" spans="1:9">
      <c r="A1281" s="95" t="s">
        <v>2408</v>
      </c>
      <c r="B1281" s="96" t="s">
        <v>2404</v>
      </c>
      <c r="C1281" s="96" t="s">
        <v>1241</v>
      </c>
      <c r="D1281" s="96" t="s">
        <v>2529</v>
      </c>
      <c r="E1281" s="96" t="s">
        <v>2530</v>
      </c>
      <c r="F1281" s="96" t="s">
        <v>2531</v>
      </c>
      <c r="G1281" s="88">
        <v>1868097470192</v>
      </c>
      <c r="H1281" s="91">
        <v>1868.0974701919999</v>
      </c>
      <c r="I1281" s="100" t="s">
        <v>2405</v>
      </c>
    </row>
    <row r="1282" spans="1:9">
      <c r="A1282" s="95" t="s">
        <v>2408</v>
      </c>
      <c r="B1282" s="96" t="s">
        <v>2404</v>
      </c>
      <c r="C1282" s="96" t="s">
        <v>1241</v>
      </c>
      <c r="D1282" s="96" t="s">
        <v>2532</v>
      </c>
      <c r="E1282" s="96" t="s">
        <v>2533</v>
      </c>
      <c r="F1282" s="96" t="s">
        <v>2534</v>
      </c>
      <c r="G1282" s="88">
        <v>49249111711</v>
      </c>
      <c r="H1282" s="91">
        <v>49.249111710999998</v>
      </c>
      <c r="I1282" s="100" t="s">
        <v>2405</v>
      </c>
    </row>
    <row r="1283" spans="1:9">
      <c r="A1283" s="95" t="s">
        <v>2408</v>
      </c>
      <c r="B1283" s="96" t="s">
        <v>2404</v>
      </c>
      <c r="C1283" s="96" t="s">
        <v>1241</v>
      </c>
      <c r="D1283" s="96" t="s">
        <v>2535</v>
      </c>
      <c r="E1283" s="96" t="s">
        <v>2536</v>
      </c>
      <c r="F1283" s="96" t="s">
        <v>2537</v>
      </c>
      <c r="G1283" s="88">
        <v>32193091930</v>
      </c>
      <c r="H1283" s="91">
        <v>32.193091930000001</v>
      </c>
      <c r="I1283" s="100" t="s">
        <v>2405</v>
      </c>
    </row>
    <row r="1284" spans="1:9">
      <c r="A1284" s="95" t="s">
        <v>2408</v>
      </c>
      <c r="B1284" s="96" t="s">
        <v>2404</v>
      </c>
      <c r="C1284" s="96" t="s">
        <v>1241</v>
      </c>
      <c r="D1284" s="96" t="s">
        <v>1846</v>
      </c>
      <c r="E1284" s="96" t="s">
        <v>2538</v>
      </c>
      <c r="F1284" s="96" t="s">
        <v>2539</v>
      </c>
      <c r="G1284" s="88">
        <v>100227821733</v>
      </c>
      <c r="H1284" s="91">
        <v>100.227821733</v>
      </c>
      <c r="I1284" s="100" t="s">
        <v>2405</v>
      </c>
    </row>
    <row r="1285" spans="1:9">
      <c r="A1285" s="95" t="s">
        <v>2408</v>
      </c>
      <c r="B1285" s="96" t="s">
        <v>2404</v>
      </c>
      <c r="C1285" s="96" t="s">
        <v>1241</v>
      </c>
      <c r="D1285" s="96" t="s">
        <v>2540</v>
      </c>
      <c r="E1285" s="96" t="s">
        <v>2541</v>
      </c>
      <c r="F1285" s="96" t="s">
        <v>2542</v>
      </c>
      <c r="G1285" s="88">
        <v>98658280376</v>
      </c>
      <c r="H1285" s="91">
        <v>98.658280375999993</v>
      </c>
      <c r="I1285" s="100" t="s">
        <v>2405</v>
      </c>
    </row>
    <row r="1286" spans="1:9">
      <c r="A1286" s="95" t="s">
        <v>2408</v>
      </c>
      <c r="B1286" s="96" t="s">
        <v>2404</v>
      </c>
      <c r="C1286" s="96" t="s">
        <v>1241</v>
      </c>
      <c r="D1286" s="96" t="s">
        <v>2543</v>
      </c>
      <c r="E1286" s="96" t="s">
        <v>2544</v>
      </c>
      <c r="F1286" s="96" t="s">
        <v>2545</v>
      </c>
      <c r="G1286" s="88">
        <v>0</v>
      </c>
      <c r="H1286" s="91">
        <v>0</v>
      </c>
      <c r="I1286" s="100" t="s">
        <v>2405</v>
      </c>
    </row>
    <row r="1287" spans="1:9">
      <c r="A1287" s="95" t="s">
        <v>2408</v>
      </c>
      <c r="B1287" s="96" t="s">
        <v>2404</v>
      </c>
      <c r="C1287" s="96" t="s">
        <v>1241</v>
      </c>
      <c r="D1287" s="96" t="s">
        <v>2546</v>
      </c>
      <c r="E1287" s="96" t="s">
        <v>2547</v>
      </c>
      <c r="F1287" s="96" t="s">
        <v>2548</v>
      </c>
      <c r="G1287" s="88">
        <v>0</v>
      </c>
      <c r="H1287" s="91">
        <v>0</v>
      </c>
      <c r="I1287" s="100" t="s">
        <v>2405</v>
      </c>
    </row>
    <row r="1288" spans="1:9">
      <c r="A1288" s="95" t="s">
        <v>2408</v>
      </c>
      <c r="B1288" s="96" t="s">
        <v>2404</v>
      </c>
      <c r="C1288" s="96" t="s">
        <v>1241</v>
      </c>
      <c r="D1288" s="96" t="s">
        <v>2549</v>
      </c>
      <c r="E1288" s="96" t="s">
        <v>2550</v>
      </c>
      <c r="F1288" s="96" t="s">
        <v>2551</v>
      </c>
      <c r="G1288" s="88">
        <v>1579681629193</v>
      </c>
      <c r="H1288" s="91">
        <v>1579.6816291929999</v>
      </c>
      <c r="I1288" s="100" t="s">
        <v>2405</v>
      </c>
    </row>
    <row r="1289" spans="1:9">
      <c r="A1289" s="95" t="s">
        <v>2408</v>
      </c>
      <c r="B1289" s="96" t="s">
        <v>2404</v>
      </c>
      <c r="C1289" s="96" t="s">
        <v>1241</v>
      </c>
      <c r="D1289" s="96" t="s">
        <v>2552</v>
      </c>
      <c r="E1289" s="96" t="s">
        <v>2553</v>
      </c>
      <c r="F1289" s="96" t="s">
        <v>2554</v>
      </c>
      <c r="G1289" s="88">
        <v>0</v>
      </c>
      <c r="H1289" s="91">
        <v>0</v>
      </c>
      <c r="I1289" s="100" t="s">
        <v>2405</v>
      </c>
    </row>
    <row r="1290" spans="1:9">
      <c r="A1290" s="95" t="s">
        <v>2408</v>
      </c>
      <c r="B1290" s="96" t="s">
        <v>2404</v>
      </c>
      <c r="C1290" s="96" t="s">
        <v>1241</v>
      </c>
      <c r="D1290" s="96" t="s">
        <v>2555</v>
      </c>
      <c r="E1290" s="96" t="s">
        <v>2556</v>
      </c>
      <c r="F1290" s="96" t="s">
        <v>2557</v>
      </c>
      <c r="G1290" s="88">
        <v>25617466043</v>
      </c>
      <c r="H1290" s="91">
        <v>25.617466043</v>
      </c>
      <c r="I1290" s="100" t="s">
        <v>2405</v>
      </c>
    </row>
    <row r="1291" spans="1:9">
      <c r="A1291" s="95" t="s">
        <v>2408</v>
      </c>
      <c r="B1291" s="96" t="s">
        <v>2404</v>
      </c>
      <c r="C1291" s="96" t="s">
        <v>1241</v>
      </c>
      <c r="D1291" s="96" t="s">
        <v>86</v>
      </c>
      <c r="E1291" s="96" t="s">
        <v>2073</v>
      </c>
      <c r="F1291" s="96" t="s">
        <v>2558</v>
      </c>
      <c r="G1291" s="88">
        <v>49856693608</v>
      </c>
      <c r="H1291" s="91">
        <v>49.856693608</v>
      </c>
      <c r="I1291" s="100" t="s">
        <v>2405</v>
      </c>
    </row>
    <row r="1292" spans="1:9">
      <c r="A1292" s="95" t="s">
        <v>2408</v>
      </c>
      <c r="B1292" s="96" t="s">
        <v>2404</v>
      </c>
      <c r="C1292" s="96" t="s">
        <v>1241</v>
      </c>
      <c r="D1292" s="96" t="s">
        <v>1866</v>
      </c>
      <c r="E1292" s="96" t="s">
        <v>2559</v>
      </c>
      <c r="F1292" s="96" t="s">
        <v>2560</v>
      </c>
      <c r="G1292" s="88">
        <v>0</v>
      </c>
      <c r="H1292" s="91">
        <v>0</v>
      </c>
      <c r="I1292" s="100" t="s">
        <v>2405</v>
      </c>
    </row>
    <row r="1293" spans="1:9">
      <c r="A1293" s="95" t="s">
        <v>2408</v>
      </c>
      <c r="B1293" s="96" t="s">
        <v>2404</v>
      </c>
      <c r="C1293" s="96" t="s">
        <v>1241</v>
      </c>
      <c r="D1293" s="96" t="s">
        <v>2561</v>
      </c>
      <c r="E1293" s="96" t="s">
        <v>2562</v>
      </c>
      <c r="F1293" s="96" t="s">
        <v>2563</v>
      </c>
      <c r="G1293" s="88">
        <v>0</v>
      </c>
      <c r="H1293" s="91">
        <v>0</v>
      </c>
      <c r="I1293" s="100" t="s">
        <v>2405</v>
      </c>
    </row>
    <row r="1294" spans="1:9">
      <c r="A1294" s="95" t="s">
        <v>2408</v>
      </c>
      <c r="B1294" s="96" t="s">
        <v>2404</v>
      </c>
      <c r="C1294" s="96" t="s">
        <v>1241</v>
      </c>
      <c r="D1294" s="96" t="s">
        <v>2564</v>
      </c>
      <c r="E1294" s="96" t="s">
        <v>2565</v>
      </c>
      <c r="F1294" s="96" t="s">
        <v>2566</v>
      </c>
      <c r="G1294" s="88">
        <v>44979499678</v>
      </c>
      <c r="H1294" s="91">
        <v>44.979499678000003</v>
      </c>
      <c r="I1294" s="100" t="s">
        <v>2405</v>
      </c>
    </row>
    <row r="1295" spans="1:9">
      <c r="A1295" s="95" t="s">
        <v>2408</v>
      </c>
      <c r="B1295" s="96" t="s">
        <v>2404</v>
      </c>
      <c r="C1295" s="96" t="s">
        <v>1241</v>
      </c>
      <c r="D1295" s="96" t="s">
        <v>2567</v>
      </c>
      <c r="E1295" s="96" t="s">
        <v>2568</v>
      </c>
      <c r="F1295" s="96" t="s">
        <v>2569</v>
      </c>
      <c r="G1295" s="88">
        <v>0</v>
      </c>
      <c r="H1295" s="91">
        <v>0</v>
      </c>
      <c r="I1295" s="100" t="s">
        <v>2405</v>
      </c>
    </row>
    <row r="1296" spans="1:9">
      <c r="A1296" s="95" t="s">
        <v>2408</v>
      </c>
      <c r="B1296" s="96" t="s">
        <v>2404</v>
      </c>
      <c r="C1296" s="96" t="s">
        <v>1241</v>
      </c>
      <c r="D1296" s="96" t="s">
        <v>1886</v>
      </c>
      <c r="E1296" s="96" t="s">
        <v>2570</v>
      </c>
      <c r="F1296" s="96" t="s">
        <v>2521</v>
      </c>
      <c r="G1296" s="88">
        <v>4877193930</v>
      </c>
      <c r="H1296" s="91">
        <v>4.8771939299999998</v>
      </c>
      <c r="I1296" s="100" t="s">
        <v>2405</v>
      </c>
    </row>
    <row r="1297" spans="1:9">
      <c r="A1297" s="95" t="s">
        <v>2408</v>
      </c>
      <c r="B1297" s="96" t="s">
        <v>2404</v>
      </c>
      <c r="C1297" s="96" t="s">
        <v>1241</v>
      </c>
      <c r="D1297" s="96" t="s">
        <v>1892</v>
      </c>
      <c r="E1297" s="96" t="s">
        <v>2571</v>
      </c>
      <c r="F1297" s="96" t="s">
        <v>2572</v>
      </c>
      <c r="G1297" s="88">
        <v>0</v>
      </c>
      <c r="H1297" s="91">
        <v>0</v>
      </c>
      <c r="I1297" s="100" t="s">
        <v>2405</v>
      </c>
    </row>
    <row r="1298" spans="1:9">
      <c r="A1298" s="95" t="s">
        <v>2408</v>
      </c>
      <c r="B1298" s="96" t="s">
        <v>2404</v>
      </c>
      <c r="C1298" s="96" t="s">
        <v>1241</v>
      </c>
      <c r="D1298" s="96" t="s">
        <v>1888</v>
      </c>
      <c r="E1298" s="96" t="s">
        <v>2573</v>
      </c>
      <c r="F1298" s="96" t="s">
        <v>2574</v>
      </c>
      <c r="G1298" s="88">
        <v>0</v>
      </c>
      <c r="H1298" s="91">
        <v>0</v>
      </c>
      <c r="I1298" s="100" t="s">
        <v>2405</v>
      </c>
    </row>
    <row r="1299" spans="1:9">
      <c r="A1299" s="95" t="s">
        <v>2408</v>
      </c>
      <c r="B1299" s="96" t="s">
        <v>2404</v>
      </c>
      <c r="C1299" s="96" t="s">
        <v>1241</v>
      </c>
      <c r="D1299" s="96" t="s">
        <v>2575</v>
      </c>
      <c r="E1299" s="96" t="s">
        <v>2576</v>
      </c>
      <c r="F1299" s="96" t="s">
        <v>2577</v>
      </c>
      <c r="G1299" s="88">
        <v>0</v>
      </c>
      <c r="H1299" s="91">
        <v>0</v>
      </c>
      <c r="I1299" s="100" t="s">
        <v>2405</v>
      </c>
    </row>
    <row r="1300" spans="1:9">
      <c r="A1300" s="95" t="s">
        <v>2408</v>
      </c>
      <c r="B1300" s="96" t="s">
        <v>2404</v>
      </c>
      <c r="C1300" s="96" t="s">
        <v>1241</v>
      </c>
      <c r="D1300" s="96" t="s">
        <v>2578</v>
      </c>
      <c r="E1300" s="96" t="s">
        <v>2579</v>
      </c>
      <c r="F1300" s="96" t="s">
        <v>2580</v>
      </c>
      <c r="G1300" s="88">
        <v>0</v>
      </c>
      <c r="H1300" s="91">
        <v>0</v>
      </c>
      <c r="I1300" s="100" t="s">
        <v>2405</v>
      </c>
    </row>
    <row r="1301" spans="1:9">
      <c r="A1301" s="95" t="s">
        <v>2408</v>
      </c>
      <c r="B1301" s="96" t="s">
        <v>2404</v>
      </c>
      <c r="C1301" s="96" t="s">
        <v>1241</v>
      </c>
      <c r="D1301" s="96" t="s">
        <v>2581</v>
      </c>
      <c r="E1301" s="96" t="s">
        <v>2582</v>
      </c>
      <c r="F1301" s="96" t="s">
        <v>2583</v>
      </c>
      <c r="G1301" s="88">
        <v>2382416358088</v>
      </c>
      <c r="H1301" s="91">
        <v>2382.4163580879999</v>
      </c>
      <c r="I1301" s="100" t="s">
        <v>2405</v>
      </c>
    </row>
    <row r="1302" spans="1:9">
      <c r="A1302" s="95" t="s">
        <v>2408</v>
      </c>
      <c r="B1302" s="96" t="s">
        <v>2404</v>
      </c>
      <c r="C1302" s="96" t="s">
        <v>1241</v>
      </c>
      <c r="D1302" s="96" t="s">
        <v>2584</v>
      </c>
      <c r="E1302" s="96" t="s">
        <v>2585</v>
      </c>
      <c r="F1302" s="96" t="s">
        <v>2586</v>
      </c>
      <c r="G1302" s="88">
        <v>2382416358088</v>
      </c>
      <c r="H1302" s="91">
        <v>2382.4163580879999</v>
      </c>
      <c r="I1302" s="100" t="s">
        <v>2405</v>
      </c>
    </row>
    <row r="1303" spans="1:9">
      <c r="A1303" s="95" t="s">
        <v>2408</v>
      </c>
      <c r="B1303" s="96" t="s">
        <v>2404</v>
      </c>
      <c r="C1303" s="96" t="s">
        <v>1241</v>
      </c>
      <c r="D1303" s="96" t="s">
        <v>2587</v>
      </c>
      <c r="E1303" s="96" t="s">
        <v>2588</v>
      </c>
      <c r="F1303" s="96" t="s">
        <v>2589</v>
      </c>
      <c r="G1303" s="88">
        <v>1073348310000</v>
      </c>
      <c r="H1303" s="91">
        <v>1073.3483100000001</v>
      </c>
      <c r="I1303" s="100" t="s">
        <v>2405</v>
      </c>
    </row>
    <row r="1304" spans="1:9">
      <c r="A1304" s="95" t="s">
        <v>2408</v>
      </c>
      <c r="B1304" s="96" t="s">
        <v>2404</v>
      </c>
      <c r="C1304" s="96" t="s">
        <v>1241</v>
      </c>
      <c r="D1304" s="96" t="s">
        <v>1900</v>
      </c>
      <c r="E1304" s="96" t="s">
        <v>2590</v>
      </c>
      <c r="F1304" s="96" t="s">
        <v>2591</v>
      </c>
      <c r="G1304" s="88">
        <v>159572337789</v>
      </c>
      <c r="H1304" s="91">
        <v>159.57233778899999</v>
      </c>
      <c r="I1304" s="100" t="s">
        <v>2405</v>
      </c>
    </row>
    <row r="1305" spans="1:9">
      <c r="A1305" s="95" t="s">
        <v>2408</v>
      </c>
      <c r="B1305" s="96" t="s">
        <v>2404</v>
      </c>
      <c r="C1305" s="96" t="s">
        <v>1241</v>
      </c>
      <c r="D1305" s="96" t="s">
        <v>2592</v>
      </c>
      <c r="E1305" s="96" t="s">
        <v>2593</v>
      </c>
      <c r="F1305" s="96" t="s">
        <v>2594</v>
      </c>
      <c r="G1305" s="88">
        <v>364615536105</v>
      </c>
      <c r="H1305" s="91">
        <v>364.61553610499999</v>
      </c>
      <c r="I1305" s="100" t="s">
        <v>2405</v>
      </c>
    </row>
    <row r="1306" spans="1:9">
      <c r="A1306" s="95" t="s">
        <v>2408</v>
      </c>
      <c r="B1306" s="96" t="s">
        <v>2404</v>
      </c>
      <c r="C1306" s="96" t="s">
        <v>1241</v>
      </c>
      <c r="D1306" s="96" t="s">
        <v>1906</v>
      </c>
      <c r="E1306" s="96" t="s">
        <v>2595</v>
      </c>
      <c r="F1306" s="96" t="s">
        <v>2596</v>
      </c>
      <c r="G1306" s="88">
        <v>-5427873108</v>
      </c>
      <c r="H1306" s="91">
        <v>-5.427873108</v>
      </c>
      <c r="I1306" s="100" t="s">
        <v>2405</v>
      </c>
    </row>
    <row r="1307" spans="1:9">
      <c r="A1307" s="95" t="s">
        <v>2408</v>
      </c>
      <c r="B1307" s="96" t="s">
        <v>2404</v>
      </c>
      <c r="C1307" s="96" t="s">
        <v>1241</v>
      </c>
      <c r="D1307" s="96" t="s">
        <v>2597</v>
      </c>
      <c r="E1307" s="96" t="s">
        <v>2598</v>
      </c>
      <c r="F1307" s="96" t="s">
        <v>2599</v>
      </c>
      <c r="G1307" s="88">
        <v>0</v>
      </c>
      <c r="H1307" s="91">
        <v>0</v>
      </c>
      <c r="I1307" s="100" t="s">
        <v>2405</v>
      </c>
    </row>
    <row r="1308" spans="1:9">
      <c r="A1308" s="95" t="s">
        <v>2408</v>
      </c>
      <c r="B1308" s="96" t="s">
        <v>2404</v>
      </c>
      <c r="C1308" s="96" t="s">
        <v>1241</v>
      </c>
      <c r="D1308" s="96" t="s">
        <v>1910</v>
      </c>
      <c r="E1308" s="96" t="s">
        <v>2600</v>
      </c>
      <c r="F1308" s="96" t="s">
        <v>2601</v>
      </c>
      <c r="G1308" s="88">
        <v>0</v>
      </c>
      <c r="H1308" s="91">
        <v>0</v>
      </c>
      <c r="I1308" s="100" t="s">
        <v>2405</v>
      </c>
    </row>
    <row r="1309" spans="1:9">
      <c r="A1309" s="95" t="s">
        <v>2408</v>
      </c>
      <c r="B1309" s="96" t="s">
        <v>2404</v>
      </c>
      <c r="C1309" s="96" t="s">
        <v>1241</v>
      </c>
      <c r="D1309" s="96" t="s">
        <v>2602</v>
      </c>
      <c r="E1309" s="96" t="s">
        <v>2603</v>
      </c>
      <c r="F1309" s="96" t="s">
        <v>2604</v>
      </c>
      <c r="G1309" s="88">
        <v>271777466354</v>
      </c>
      <c r="H1309" s="91">
        <v>271.77746635400001</v>
      </c>
      <c r="I1309" s="100" t="s">
        <v>2405</v>
      </c>
    </row>
    <row r="1310" spans="1:9">
      <c r="A1310" s="95" t="s">
        <v>2408</v>
      </c>
      <c r="B1310" s="96" t="s">
        <v>2404</v>
      </c>
      <c r="C1310" s="96" t="s">
        <v>1241</v>
      </c>
      <c r="D1310" s="96" t="s">
        <v>2605</v>
      </c>
      <c r="E1310" s="96" t="s">
        <v>2606</v>
      </c>
      <c r="F1310" s="96" t="s">
        <v>2607</v>
      </c>
      <c r="G1310" s="88">
        <v>0</v>
      </c>
      <c r="H1310" s="91">
        <v>0</v>
      </c>
      <c r="I1310" s="100" t="s">
        <v>2405</v>
      </c>
    </row>
    <row r="1311" spans="1:9">
      <c r="A1311" s="95" t="s">
        <v>2408</v>
      </c>
      <c r="B1311" s="96" t="s">
        <v>2404</v>
      </c>
      <c r="C1311" s="96" t="s">
        <v>1241</v>
      </c>
      <c r="D1311" s="96" t="s">
        <v>2608</v>
      </c>
      <c r="E1311" s="96" t="s">
        <v>2609</v>
      </c>
      <c r="F1311" s="96" t="s">
        <v>2610</v>
      </c>
      <c r="G1311" s="88">
        <v>0</v>
      </c>
      <c r="H1311" s="91">
        <v>0</v>
      </c>
      <c r="I1311" s="100" t="s">
        <v>2405</v>
      </c>
    </row>
    <row r="1312" spans="1:9">
      <c r="A1312" s="95" t="s">
        <v>2408</v>
      </c>
      <c r="B1312" s="96" t="s">
        <v>2404</v>
      </c>
      <c r="C1312" s="96" t="s">
        <v>1241</v>
      </c>
      <c r="D1312" s="96" t="s">
        <v>2611</v>
      </c>
      <c r="E1312" s="96" t="s">
        <v>2612</v>
      </c>
      <c r="F1312" s="96" t="s">
        <v>2613</v>
      </c>
      <c r="G1312" s="88">
        <v>339636627636</v>
      </c>
      <c r="H1312" s="91">
        <v>339.63662763600001</v>
      </c>
      <c r="I1312" s="100" t="s">
        <v>2405</v>
      </c>
    </row>
    <row r="1313" spans="1:9">
      <c r="A1313" s="95" t="s">
        <v>2408</v>
      </c>
      <c r="B1313" s="96" t="s">
        <v>2404</v>
      </c>
      <c r="C1313" s="96" t="s">
        <v>1241</v>
      </c>
      <c r="D1313" s="96" t="s">
        <v>2614</v>
      </c>
      <c r="E1313" s="96" t="s">
        <v>2615</v>
      </c>
      <c r="F1313" s="96" t="s">
        <v>2616</v>
      </c>
      <c r="G1313" s="88">
        <v>0</v>
      </c>
      <c r="H1313" s="91">
        <v>0</v>
      </c>
      <c r="I1313" s="100" t="s">
        <v>2405</v>
      </c>
    </row>
    <row r="1314" spans="1:9">
      <c r="A1314" s="95" t="s">
        <v>2408</v>
      </c>
      <c r="B1314" s="96" t="s">
        <v>2404</v>
      </c>
      <c r="C1314" s="96" t="s">
        <v>1241</v>
      </c>
      <c r="D1314" s="96" t="s">
        <v>2617</v>
      </c>
      <c r="E1314" s="96" t="s">
        <v>2618</v>
      </c>
      <c r="F1314" s="96" t="s">
        <v>2619</v>
      </c>
      <c r="G1314" s="88">
        <v>0</v>
      </c>
      <c r="H1314" s="91">
        <v>0</v>
      </c>
      <c r="I1314" s="100" t="s">
        <v>2405</v>
      </c>
    </row>
    <row r="1315" spans="1:9">
      <c r="A1315" s="95" t="s">
        <v>2408</v>
      </c>
      <c r="B1315" s="96" t="s">
        <v>2404</v>
      </c>
      <c r="C1315" s="96" t="s">
        <v>1241</v>
      </c>
      <c r="D1315" s="96" t="s">
        <v>2620</v>
      </c>
      <c r="E1315" s="96" t="s">
        <v>2621</v>
      </c>
      <c r="F1315" s="96" t="s">
        <v>2622</v>
      </c>
      <c r="G1315" s="88">
        <v>0</v>
      </c>
      <c r="H1315" s="91">
        <v>0</v>
      </c>
      <c r="I1315" s="100" t="s">
        <v>2405</v>
      </c>
    </row>
    <row r="1316" spans="1:9">
      <c r="A1316" s="95" t="s">
        <v>2408</v>
      </c>
      <c r="B1316" s="96" t="s">
        <v>2404</v>
      </c>
      <c r="C1316" s="96" t="s">
        <v>1241</v>
      </c>
      <c r="D1316" s="96" t="s">
        <v>2617</v>
      </c>
      <c r="E1316" s="96" t="s">
        <v>2618</v>
      </c>
      <c r="F1316" s="96" t="s">
        <v>2623</v>
      </c>
      <c r="G1316" s="88">
        <v>0</v>
      </c>
      <c r="H1316" s="91">
        <v>0</v>
      </c>
      <c r="I1316" s="100" t="s">
        <v>2405</v>
      </c>
    </row>
    <row r="1317" spans="1:9">
      <c r="A1317" s="95" t="s">
        <v>2408</v>
      </c>
      <c r="B1317" s="96" t="s">
        <v>2404</v>
      </c>
      <c r="C1317" s="96" t="s">
        <v>1241</v>
      </c>
      <c r="D1317" s="96" t="s">
        <v>2624</v>
      </c>
      <c r="E1317" s="96" t="s">
        <v>2625</v>
      </c>
      <c r="F1317" s="96" t="s">
        <v>1631</v>
      </c>
      <c r="G1317" s="88">
        <v>0</v>
      </c>
      <c r="H1317" s="91">
        <v>0</v>
      </c>
      <c r="I1317" s="100" t="s">
        <v>2405</v>
      </c>
    </row>
    <row r="1318" spans="1:9">
      <c r="A1318" s="95" t="s">
        <v>2408</v>
      </c>
      <c r="B1318" s="96" t="s">
        <v>2404</v>
      </c>
      <c r="C1318" s="96" t="s">
        <v>1241</v>
      </c>
      <c r="D1318" s="96" t="s">
        <v>2626</v>
      </c>
      <c r="E1318" s="96" t="s">
        <v>2627</v>
      </c>
      <c r="F1318" s="96" t="s">
        <v>2628</v>
      </c>
      <c r="G1318" s="88">
        <v>10834641303800</v>
      </c>
      <c r="H1318" s="91">
        <v>10834.641303799999</v>
      </c>
      <c r="I1318" s="100" t="s">
        <v>2405</v>
      </c>
    </row>
    <row r="1319" spans="1:9">
      <c r="A1319" s="95" t="s">
        <v>2408</v>
      </c>
      <c r="B1319" s="96" t="s">
        <v>2404</v>
      </c>
      <c r="C1319" s="96" t="s">
        <v>1241</v>
      </c>
      <c r="D1319" s="96" t="s">
        <v>2629</v>
      </c>
      <c r="E1319" s="96" t="s">
        <v>2630</v>
      </c>
      <c r="F1319" s="96" t="s">
        <v>2631</v>
      </c>
      <c r="G1319" s="88">
        <v>0</v>
      </c>
      <c r="H1319" s="91">
        <v>0</v>
      </c>
      <c r="I1319" s="100" t="s">
        <v>2405</v>
      </c>
    </row>
    <row r="1320" spans="1:9">
      <c r="A1320" s="95" t="s">
        <v>2408</v>
      </c>
      <c r="B1320" s="96" t="s">
        <v>2404</v>
      </c>
      <c r="C1320" s="96" t="s">
        <v>1241</v>
      </c>
      <c r="D1320" s="96" t="s">
        <v>2632</v>
      </c>
      <c r="E1320" s="96" t="s">
        <v>2633</v>
      </c>
      <c r="F1320" s="96" t="s">
        <v>2634</v>
      </c>
      <c r="G1320" s="88">
        <v>3716111630218</v>
      </c>
      <c r="H1320" s="91">
        <v>3716.1116302179998</v>
      </c>
      <c r="I1320" s="100" t="s">
        <v>2405</v>
      </c>
    </row>
    <row r="1321" spans="1:9">
      <c r="A1321" s="95" t="s">
        <v>2408</v>
      </c>
      <c r="B1321" s="96" t="s">
        <v>2404</v>
      </c>
      <c r="C1321" s="96" t="s">
        <v>1241</v>
      </c>
      <c r="D1321" s="96" t="s">
        <v>2635</v>
      </c>
      <c r="E1321" s="96" t="s">
        <v>2636</v>
      </c>
      <c r="F1321" s="96" t="s">
        <v>2637</v>
      </c>
      <c r="G1321" s="88">
        <v>0</v>
      </c>
      <c r="H1321" s="91">
        <v>0</v>
      </c>
      <c r="I1321" s="100" t="s">
        <v>2405</v>
      </c>
    </row>
    <row r="1322" spans="1:9">
      <c r="A1322" s="95" t="s">
        <v>2408</v>
      </c>
      <c r="B1322" s="96" t="s">
        <v>2404</v>
      </c>
      <c r="C1322" s="96" t="s">
        <v>1241</v>
      </c>
      <c r="D1322" s="96" t="s">
        <v>2638</v>
      </c>
      <c r="E1322" s="96" t="s">
        <v>2639</v>
      </c>
      <c r="F1322" s="96" t="s">
        <v>2640</v>
      </c>
      <c r="G1322" s="88">
        <v>0</v>
      </c>
      <c r="H1322" s="91">
        <v>0</v>
      </c>
      <c r="I1322" s="100" t="s">
        <v>2405</v>
      </c>
    </row>
    <row r="1323" spans="1:9">
      <c r="A1323" s="95" t="s">
        <v>2408</v>
      </c>
      <c r="B1323" s="96" t="s">
        <v>2404</v>
      </c>
      <c r="C1323" s="96" t="s">
        <v>1241</v>
      </c>
      <c r="D1323" s="96" t="s">
        <v>2641</v>
      </c>
      <c r="E1323" s="96" t="s">
        <v>2642</v>
      </c>
      <c r="F1323" s="96" t="s">
        <v>2643</v>
      </c>
      <c r="G1323" s="88">
        <v>0</v>
      </c>
      <c r="H1323" s="91">
        <v>0</v>
      </c>
      <c r="I1323" s="100" t="s">
        <v>2405</v>
      </c>
    </row>
    <row r="1324" spans="1:9">
      <c r="A1324" s="95" t="s">
        <v>2408</v>
      </c>
      <c r="B1324" s="96" t="s">
        <v>2404</v>
      </c>
      <c r="C1324" s="96" t="s">
        <v>1241</v>
      </c>
      <c r="D1324" s="96" t="s">
        <v>2644</v>
      </c>
      <c r="E1324" s="96" t="s">
        <v>2645</v>
      </c>
      <c r="F1324" s="96" t="s">
        <v>2646</v>
      </c>
      <c r="G1324" s="88">
        <v>0</v>
      </c>
      <c r="H1324" s="91">
        <v>0</v>
      </c>
      <c r="I1324" s="100" t="s">
        <v>2405</v>
      </c>
    </row>
    <row r="1325" spans="1:9">
      <c r="A1325" s="95" t="s">
        <v>2408</v>
      </c>
      <c r="B1325" s="96" t="s">
        <v>2404</v>
      </c>
      <c r="C1325" s="96" t="s">
        <v>1241</v>
      </c>
      <c r="D1325" s="96" t="s">
        <v>1759</v>
      </c>
      <c r="E1325" s="96" t="s">
        <v>2647</v>
      </c>
      <c r="F1325" s="96" t="s">
        <v>2648</v>
      </c>
      <c r="G1325" s="88">
        <v>0</v>
      </c>
      <c r="H1325" s="91">
        <v>0</v>
      </c>
      <c r="I1325" s="100" t="s">
        <v>2405</v>
      </c>
    </row>
    <row r="1326" spans="1:9">
      <c r="A1326" s="95" t="s">
        <v>2408</v>
      </c>
      <c r="B1326" s="96" t="s">
        <v>2404</v>
      </c>
      <c r="C1326" s="96" t="s">
        <v>1241</v>
      </c>
      <c r="D1326" s="96" t="s">
        <v>2649</v>
      </c>
      <c r="E1326" s="96" t="s">
        <v>2650</v>
      </c>
      <c r="F1326" s="96" t="s">
        <v>2651</v>
      </c>
      <c r="G1326" s="88">
        <v>0</v>
      </c>
      <c r="H1326" s="91">
        <v>0</v>
      </c>
      <c r="I1326" s="100" t="s">
        <v>2405</v>
      </c>
    </row>
    <row r="1327" spans="1:9">
      <c r="A1327" s="95" t="s">
        <v>2408</v>
      </c>
      <c r="B1327" s="96" t="s">
        <v>2404</v>
      </c>
      <c r="C1327" s="96" t="s">
        <v>1241</v>
      </c>
      <c r="D1327" s="96" t="s">
        <v>2652</v>
      </c>
      <c r="E1327" s="96" t="s">
        <v>2653</v>
      </c>
      <c r="F1327" s="96" t="s">
        <v>2654</v>
      </c>
      <c r="G1327" s="88">
        <v>37509649278</v>
      </c>
      <c r="H1327" s="91">
        <v>37.509649277999998</v>
      </c>
      <c r="I1327" s="100" t="s">
        <v>2405</v>
      </c>
    </row>
    <row r="1328" spans="1:9">
      <c r="A1328" s="95" t="s">
        <v>2408</v>
      </c>
      <c r="B1328" s="96" t="s">
        <v>2404</v>
      </c>
      <c r="C1328" s="96" t="s">
        <v>1241</v>
      </c>
      <c r="D1328" s="96" t="s">
        <v>2655</v>
      </c>
      <c r="E1328" s="96" t="s">
        <v>2656</v>
      </c>
      <c r="F1328" s="96" t="s">
        <v>2657</v>
      </c>
      <c r="G1328" s="88">
        <v>0</v>
      </c>
      <c r="H1328" s="91">
        <v>0</v>
      </c>
      <c r="I1328" s="100" t="s">
        <v>2405</v>
      </c>
    </row>
    <row r="1329" spans="1:9">
      <c r="A1329" s="95" t="s">
        <v>2408</v>
      </c>
      <c r="B1329" s="96" t="s">
        <v>2404</v>
      </c>
      <c r="C1329" s="96" t="s">
        <v>1241</v>
      </c>
      <c r="D1329" s="96" t="s">
        <v>2632</v>
      </c>
      <c r="E1329" s="96" t="s">
        <v>2633</v>
      </c>
      <c r="F1329" s="96" t="s">
        <v>2634</v>
      </c>
      <c r="G1329" s="88">
        <v>2021872118</v>
      </c>
      <c r="H1329" s="91">
        <v>2.0218721180000001</v>
      </c>
      <c r="I1329" s="100" t="s">
        <v>2405</v>
      </c>
    </row>
    <row r="1330" spans="1:9">
      <c r="A1330" s="95" t="s">
        <v>2408</v>
      </c>
      <c r="B1330" s="96" t="s">
        <v>2404</v>
      </c>
      <c r="C1330" s="96" t="s">
        <v>1241</v>
      </c>
      <c r="D1330" s="96" t="s">
        <v>2658</v>
      </c>
      <c r="E1330" s="96" t="s">
        <v>2659</v>
      </c>
      <c r="F1330" s="96" t="s">
        <v>2660</v>
      </c>
      <c r="G1330" s="88">
        <v>0</v>
      </c>
      <c r="H1330" s="91">
        <v>0</v>
      </c>
      <c r="I1330" s="100" t="s">
        <v>2405</v>
      </c>
    </row>
    <row r="1331" spans="1:9">
      <c r="A1331" s="95" t="s">
        <v>2408</v>
      </c>
      <c r="B1331" s="96" t="s">
        <v>2404</v>
      </c>
      <c r="C1331" s="96" t="s">
        <v>1241</v>
      </c>
      <c r="D1331" s="96" t="s">
        <v>2661</v>
      </c>
      <c r="E1331" s="96" t="s">
        <v>2662</v>
      </c>
      <c r="F1331" s="96" t="s">
        <v>2663</v>
      </c>
      <c r="G1331" s="88">
        <v>404678477</v>
      </c>
      <c r="H1331" s="91">
        <v>0.40467847699999998</v>
      </c>
      <c r="I1331" s="100" t="s">
        <v>2405</v>
      </c>
    </row>
    <row r="1332" spans="1:9">
      <c r="A1332" s="95" t="s">
        <v>2408</v>
      </c>
      <c r="B1332" s="96" t="s">
        <v>2404</v>
      </c>
      <c r="C1332" s="96" t="s">
        <v>1241</v>
      </c>
      <c r="D1332" s="96" t="s">
        <v>1862</v>
      </c>
      <c r="E1332" s="96" t="s">
        <v>2664</v>
      </c>
      <c r="F1332" s="96" t="s">
        <v>2665</v>
      </c>
      <c r="G1332" s="88">
        <v>0</v>
      </c>
      <c r="H1332" s="91">
        <v>0</v>
      </c>
      <c r="I1332" s="100" t="s">
        <v>2405</v>
      </c>
    </row>
    <row r="1333" spans="1:9">
      <c r="A1333" s="95" t="s">
        <v>2408</v>
      </c>
      <c r="B1333" s="96" t="s">
        <v>2404</v>
      </c>
      <c r="C1333" s="96" t="s">
        <v>1241</v>
      </c>
      <c r="D1333" s="96" t="s">
        <v>2644</v>
      </c>
      <c r="E1333" s="96" t="s">
        <v>2645</v>
      </c>
      <c r="F1333" s="96" t="s">
        <v>2666</v>
      </c>
      <c r="G1333" s="88">
        <v>0</v>
      </c>
      <c r="H1333" s="91">
        <v>0</v>
      </c>
      <c r="I1333" s="100" t="s">
        <v>2405</v>
      </c>
    </row>
    <row r="1334" spans="1:9">
      <c r="A1334" s="95" t="s">
        <v>2408</v>
      </c>
      <c r="B1334" s="96" t="s">
        <v>2404</v>
      </c>
      <c r="C1334" s="96" t="s">
        <v>1241</v>
      </c>
      <c r="D1334" s="96" t="s">
        <v>1868</v>
      </c>
      <c r="E1334" s="96" t="s">
        <v>2667</v>
      </c>
      <c r="F1334" s="96" t="s">
        <v>2668</v>
      </c>
      <c r="G1334" s="88">
        <v>0</v>
      </c>
      <c r="H1334" s="91">
        <v>0</v>
      </c>
      <c r="I1334" s="100" t="s">
        <v>2405</v>
      </c>
    </row>
    <row r="1335" spans="1:9">
      <c r="A1335" s="95" t="s">
        <v>2408</v>
      </c>
      <c r="B1335" s="96" t="s">
        <v>2404</v>
      </c>
      <c r="C1335" s="96" t="s">
        <v>1241</v>
      </c>
      <c r="D1335" s="96" t="s">
        <v>1872</v>
      </c>
      <c r="E1335" s="96" t="s">
        <v>2669</v>
      </c>
      <c r="F1335" s="96" t="s">
        <v>2670</v>
      </c>
      <c r="G1335" s="88">
        <v>0</v>
      </c>
      <c r="H1335" s="91">
        <v>0</v>
      </c>
      <c r="I1335" s="100" t="s">
        <v>2405</v>
      </c>
    </row>
    <row r="1336" spans="1:9">
      <c r="A1336" s="95" t="s">
        <v>2408</v>
      </c>
      <c r="B1336" s="96" t="s">
        <v>2404</v>
      </c>
      <c r="C1336" s="96" t="s">
        <v>1241</v>
      </c>
      <c r="D1336" s="96" t="s">
        <v>2671</v>
      </c>
      <c r="E1336" s="96" t="s">
        <v>2672</v>
      </c>
      <c r="F1336" s="96" t="s">
        <v>2673</v>
      </c>
      <c r="G1336" s="88">
        <v>0</v>
      </c>
      <c r="H1336" s="91">
        <v>0</v>
      </c>
      <c r="I1336" s="100" t="s">
        <v>2405</v>
      </c>
    </row>
    <row r="1337" spans="1:9">
      <c r="A1337" s="95" t="s">
        <v>2408</v>
      </c>
      <c r="B1337" s="96" t="s">
        <v>2404</v>
      </c>
      <c r="C1337" s="96" t="s">
        <v>1241</v>
      </c>
      <c r="D1337" s="96" t="s">
        <v>1882</v>
      </c>
      <c r="E1337" s="96" t="s">
        <v>2674</v>
      </c>
      <c r="F1337" s="96" t="s">
        <v>2675</v>
      </c>
      <c r="G1337" s="88">
        <v>0</v>
      </c>
      <c r="H1337" s="91">
        <v>0</v>
      </c>
      <c r="I1337" s="100" t="s">
        <v>2405</v>
      </c>
    </row>
    <row r="1338" spans="1:9">
      <c r="A1338" s="95" t="s">
        <v>2408</v>
      </c>
      <c r="B1338" s="96" t="s">
        <v>2404</v>
      </c>
      <c r="C1338" s="96" t="s">
        <v>1241</v>
      </c>
      <c r="D1338" s="96" t="s">
        <v>2629</v>
      </c>
      <c r="E1338" s="96" t="s">
        <v>2630</v>
      </c>
      <c r="F1338" s="96" t="s">
        <v>2631</v>
      </c>
      <c r="G1338" s="88">
        <v>0</v>
      </c>
      <c r="H1338" s="91">
        <v>0</v>
      </c>
      <c r="I1338" s="100" t="s">
        <v>2405</v>
      </c>
    </row>
    <row r="1339" spans="1:9">
      <c r="A1339" s="95" t="s">
        <v>2408</v>
      </c>
      <c r="B1339" s="96" t="s">
        <v>2404</v>
      </c>
      <c r="C1339" s="96" t="s">
        <v>1241</v>
      </c>
      <c r="D1339" s="96" t="s">
        <v>2676</v>
      </c>
      <c r="E1339" s="96" t="s">
        <v>2677</v>
      </c>
      <c r="F1339" s="96" t="s">
        <v>2678</v>
      </c>
      <c r="G1339" s="88">
        <v>1073348310000</v>
      </c>
      <c r="H1339" s="91">
        <v>1073.3483100000001</v>
      </c>
      <c r="I1339" s="100" t="s">
        <v>2405</v>
      </c>
    </row>
    <row r="1340" spans="1:9">
      <c r="A1340" s="95" t="s">
        <v>2408</v>
      </c>
      <c r="B1340" s="96" t="s">
        <v>2404</v>
      </c>
      <c r="C1340" s="96" t="s">
        <v>1241</v>
      </c>
      <c r="D1340" s="96" t="s">
        <v>2679</v>
      </c>
      <c r="E1340" s="96" t="s">
        <v>2680</v>
      </c>
      <c r="F1340" s="96" t="s">
        <v>2681</v>
      </c>
      <c r="G1340" s="88">
        <v>0</v>
      </c>
      <c r="H1340" s="91">
        <v>0</v>
      </c>
      <c r="I1340" s="100" t="s">
        <v>2405</v>
      </c>
    </row>
    <row r="1341" spans="1:9">
      <c r="A1341" s="95" t="s">
        <v>2408</v>
      </c>
      <c r="B1341" s="96" t="s">
        <v>2404</v>
      </c>
      <c r="C1341" s="96" t="s">
        <v>1241</v>
      </c>
      <c r="D1341" s="96" t="s">
        <v>2682</v>
      </c>
      <c r="E1341" s="96" t="s">
        <v>2683</v>
      </c>
      <c r="F1341" s="96" t="s">
        <v>2684</v>
      </c>
      <c r="G1341" s="88">
        <v>305290194343</v>
      </c>
      <c r="H1341" s="91">
        <v>305.290194343</v>
      </c>
      <c r="I1341" s="100" t="s">
        <v>2405</v>
      </c>
    </row>
    <row r="1342" spans="1:9">
      <c r="A1342" s="95" t="s">
        <v>2408</v>
      </c>
      <c r="B1342" s="96" t="s">
        <v>2404</v>
      </c>
      <c r="C1342" s="96" t="s">
        <v>1241</v>
      </c>
      <c r="D1342" s="96" t="s">
        <v>2685</v>
      </c>
      <c r="E1342" s="96" t="s">
        <v>2686</v>
      </c>
      <c r="F1342" s="96" t="s">
        <v>2687</v>
      </c>
      <c r="G1342" s="88">
        <v>34346433293</v>
      </c>
      <c r="H1342" s="91">
        <v>34.346433292999997</v>
      </c>
      <c r="I1342" s="100" t="s">
        <v>2405</v>
      </c>
    </row>
    <row r="1343" spans="1:9">
      <c r="A1343" s="95" t="s">
        <v>2408</v>
      </c>
      <c r="B1343" s="96" t="s">
        <v>2404</v>
      </c>
      <c r="C1343" s="96" t="s">
        <v>1241</v>
      </c>
      <c r="D1343" s="96" t="s">
        <v>1810</v>
      </c>
      <c r="E1343" s="96" t="s">
        <v>2688</v>
      </c>
      <c r="F1343" s="96" t="s">
        <v>2689</v>
      </c>
      <c r="G1343" s="88">
        <v>37509649278</v>
      </c>
      <c r="H1343" s="91">
        <v>37.509649277999998</v>
      </c>
      <c r="I1343" s="100" t="s">
        <v>2405</v>
      </c>
    </row>
    <row r="1344" spans="1:9">
      <c r="A1344" s="95" t="s">
        <v>2408</v>
      </c>
      <c r="B1344" s="96" t="s">
        <v>2404</v>
      </c>
      <c r="C1344" s="96" t="s">
        <v>1241</v>
      </c>
      <c r="D1344" s="96" t="s">
        <v>1834</v>
      </c>
      <c r="E1344" s="96" t="s">
        <v>2690</v>
      </c>
      <c r="F1344" s="96" t="s">
        <v>2691</v>
      </c>
      <c r="G1344" s="88">
        <v>0</v>
      </c>
      <c r="H1344" s="91">
        <v>0</v>
      </c>
      <c r="I1344" s="100" t="s">
        <v>2405</v>
      </c>
    </row>
    <row r="1345" spans="1:9">
      <c r="A1345" s="95" t="s">
        <v>2408</v>
      </c>
      <c r="B1345" s="96" t="s">
        <v>2404</v>
      </c>
      <c r="C1345" s="96" t="s">
        <v>1241</v>
      </c>
      <c r="D1345" s="96" t="s">
        <v>2390</v>
      </c>
      <c r="E1345" s="96" t="s">
        <v>2391</v>
      </c>
      <c r="F1345" s="96" t="s">
        <v>2692</v>
      </c>
      <c r="G1345" s="88">
        <v>178893953312</v>
      </c>
      <c r="H1345" s="91">
        <v>178.89395331200001</v>
      </c>
      <c r="I1345" s="100" t="s">
        <v>2405</v>
      </c>
    </row>
    <row r="1346" spans="1:9">
      <c r="A1346" s="95" t="s">
        <v>2408</v>
      </c>
      <c r="B1346" s="96" t="s">
        <v>2404</v>
      </c>
      <c r="C1346" s="96" t="s">
        <v>1241</v>
      </c>
      <c r="D1346" s="96" t="s">
        <v>2693</v>
      </c>
      <c r="E1346" s="96" t="s">
        <v>2694</v>
      </c>
      <c r="F1346" s="96" t="s">
        <v>2695</v>
      </c>
      <c r="G1346" s="88">
        <v>0</v>
      </c>
      <c r="H1346" s="91">
        <v>0</v>
      </c>
      <c r="I1346" s="100" t="s">
        <v>2405</v>
      </c>
    </row>
    <row r="1347" spans="1:9">
      <c r="A1347" s="95" t="s">
        <v>2408</v>
      </c>
      <c r="B1347" s="96" t="s">
        <v>1034</v>
      </c>
      <c r="C1347" s="96" t="s">
        <v>1241</v>
      </c>
      <c r="D1347" s="96" t="s">
        <v>68</v>
      </c>
      <c r="E1347" s="96" t="s">
        <v>2411</v>
      </c>
      <c r="F1347" s="96" t="s">
        <v>2412</v>
      </c>
      <c r="G1347" s="88">
        <v>12426437954480</v>
      </c>
      <c r="H1347" s="91">
        <v>12426.437954479999</v>
      </c>
      <c r="I1347" s="100" t="s">
        <v>2405</v>
      </c>
    </row>
    <row r="1348" spans="1:9">
      <c r="A1348" s="95" t="s">
        <v>2408</v>
      </c>
      <c r="B1348" s="96" t="s">
        <v>1034</v>
      </c>
      <c r="C1348" s="96" t="s">
        <v>1241</v>
      </c>
      <c r="D1348" s="96" t="s">
        <v>58</v>
      </c>
      <c r="E1348" s="96" t="s">
        <v>2413</v>
      </c>
      <c r="F1348" s="96" t="s">
        <v>2414</v>
      </c>
      <c r="G1348" s="88">
        <v>616937115284</v>
      </c>
      <c r="H1348" s="91">
        <v>616.93711528400001</v>
      </c>
      <c r="I1348" s="100" t="s">
        <v>2405</v>
      </c>
    </row>
    <row r="1349" spans="1:9">
      <c r="A1349" s="95" t="s">
        <v>2408</v>
      </c>
      <c r="B1349" s="96" t="s">
        <v>1034</v>
      </c>
      <c r="C1349" s="96" t="s">
        <v>1241</v>
      </c>
      <c r="D1349" s="96" t="s">
        <v>1699</v>
      </c>
      <c r="E1349" s="96" t="s">
        <v>2415</v>
      </c>
      <c r="F1349" s="96" t="s">
        <v>2416</v>
      </c>
      <c r="G1349" s="88">
        <v>608654445133</v>
      </c>
      <c r="H1349" s="91">
        <v>608.65444513299997</v>
      </c>
      <c r="I1349" s="100" t="s">
        <v>2405</v>
      </c>
    </row>
    <row r="1350" spans="1:9">
      <c r="A1350" s="95" t="s">
        <v>2408</v>
      </c>
      <c r="B1350" s="96" t="s">
        <v>1034</v>
      </c>
      <c r="C1350" s="96" t="s">
        <v>1241</v>
      </c>
      <c r="D1350" s="96" t="s">
        <v>1701</v>
      </c>
      <c r="E1350" s="96" t="s">
        <v>2417</v>
      </c>
      <c r="F1350" s="96" t="s">
        <v>2418</v>
      </c>
      <c r="G1350" s="88">
        <v>8282670151</v>
      </c>
      <c r="H1350" s="91">
        <v>8.2826701509999996</v>
      </c>
      <c r="I1350" s="100" t="s">
        <v>2405</v>
      </c>
    </row>
    <row r="1351" spans="1:9">
      <c r="A1351" s="95" t="s">
        <v>2408</v>
      </c>
      <c r="B1351" s="96" t="s">
        <v>1034</v>
      </c>
      <c r="C1351" s="96" t="s">
        <v>1241</v>
      </c>
      <c r="D1351" s="96" t="s">
        <v>2053</v>
      </c>
      <c r="E1351" s="96" t="s">
        <v>2419</v>
      </c>
      <c r="F1351" s="96" t="s">
        <v>2420</v>
      </c>
      <c r="G1351" s="88">
        <v>4499636917481</v>
      </c>
      <c r="H1351" s="91">
        <v>4499.6369174809997</v>
      </c>
      <c r="I1351" s="100" t="s">
        <v>2405</v>
      </c>
    </row>
    <row r="1352" spans="1:9">
      <c r="A1352" s="95" t="s">
        <v>2408</v>
      </c>
      <c r="B1352" s="96" t="s">
        <v>1034</v>
      </c>
      <c r="C1352" s="96" t="s">
        <v>1241</v>
      </c>
      <c r="D1352" s="96" t="s">
        <v>2053</v>
      </c>
      <c r="E1352" s="96" t="s">
        <v>2419</v>
      </c>
      <c r="F1352" s="96" t="s">
        <v>2420</v>
      </c>
      <c r="G1352" s="88">
        <v>404807592401</v>
      </c>
      <c r="H1352" s="91">
        <v>404.80759240100002</v>
      </c>
      <c r="I1352" s="100" t="s">
        <v>2405</v>
      </c>
    </row>
    <row r="1353" spans="1:9">
      <c r="A1353" s="95" t="s">
        <v>2408</v>
      </c>
      <c r="B1353" s="96" t="s">
        <v>1034</v>
      </c>
      <c r="C1353" s="96" t="s">
        <v>1241</v>
      </c>
      <c r="D1353" s="96" t="s">
        <v>2421</v>
      </c>
      <c r="E1353" s="96" t="s">
        <v>2422</v>
      </c>
      <c r="F1353" s="96" t="s">
        <v>2423</v>
      </c>
      <c r="G1353" s="88">
        <v>-30978259729</v>
      </c>
      <c r="H1353" s="91">
        <v>-30.978259729000001</v>
      </c>
      <c r="I1353" s="100" t="s">
        <v>2405</v>
      </c>
    </row>
    <row r="1354" spans="1:9">
      <c r="A1354" s="95" t="s">
        <v>2408</v>
      </c>
      <c r="B1354" s="96" t="s">
        <v>1034</v>
      </c>
      <c r="C1354" s="96" t="s">
        <v>1241</v>
      </c>
      <c r="D1354" s="96" t="s">
        <v>2424</v>
      </c>
      <c r="E1354" s="96" t="s">
        <v>2425</v>
      </c>
      <c r="F1354" s="96" t="s">
        <v>2426</v>
      </c>
      <c r="G1354" s="88">
        <v>5504942315494</v>
      </c>
      <c r="H1354" s="91">
        <v>5504.9423154939996</v>
      </c>
      <c r="I1354" s="100" t="s">
        <v>2405</v>
      </c>
    </row>
    <row r="1355" spans="1:9">
      <c r="A1355" s="95" t="s">
        <v>2408</v>
      </c>
      <c r="B1355" s="96" t="s">
        <v>1034</v>
      </c>
      <c r="C1355" s="96" t="s">
        <v>1241</v>
      </c>
      <c r="D1355" s="96" t="s">
        <v>2427</v>
      </c>
      <c r="E1355" s="96" t="s">
        <v>2428</v>
      </c>
      <c r="F1355" s="96" t="s">
        <v>2429</v>
      </c>
      <c r="G1355" s="88">
        <v>3946837384900</v>
      </c>
      <c r="H1355" s="91">
        <v>3946.8373849</v>
      </c>
      <c r="I1355" s="100" t="s">
        <v>2405</v>
      </c>
    </row>
    <row r="1356" spans="1:9">
      <c r="A1356" s="95" t="s">
        <v>2408</v>
      </c>
      <c r="B1356" s="96" t="s">
        <v>1034</v>
      </c>
      <c r="C1356" s="96" t="s">
        <v>1241</v>
      </c>
      <c r="D1356" s="96" t="s">
        <v>2430</v>
      </c>
      <c r="E1356" s="96" t="s">
        <v>2431</v>
      </c>
      <c r="F1356" s="96" t="s">
        <v>2432</v>
      </c>
      <c r="G1356" s="88">
        <v>1418373758163</v>
      </c>
      <c r="H1356" s="91">
        <v>1418.373758163</v>
      </c>
      <c r="I1356" s="100" t="s">
        <v>2405</v>
      </c>
    </row>
    <row r="1357" spans="1:9">
      <c r="A1357" s="95" t="s">
        <v>2408</v>
      </c>
      <c r="B1357" s="96" t="s">
        <v>1034</v>
      </c>
      <c r="C1357" s="96" t="s">
        <v>1241</v>
      </c>
      <c r="D1357" s="96" t="s">
        <v>2433</v>
      </c>
      <c r="E1357" s="96" t="s">
        <v>2434</v>
      </c>
      <c r="F1357" s="96" t="s">
        <v>2435</v>
      </c>
      <c r="G1357" s="88">
        <v>0</v>
      </c>
      <c r="H1357" s="91">
        <v>0</v>
      </c>
      <c r="I1357" s="100" t="s">
        <v>2405</v>
      </c>
    </row>
    <row r="1358" spans="1:9">
      <c r="A1358" s="95" t="s">
        <v>2408</v>
      </c>
      <c r="B1358" s="96" t="s">
        <v>1034</v>
      </c>
      <c r="C1358" s="96" t="s">
        <v>1241</v>
      </c>
      <c r="D1358" s="96" t="s">
        <v>2436</v>
      </c>
      <c r="E1358" s="96" t="s">
        <v>2437</v>
      </c>
      <c r="F1358" s="96" t="s">
        <v>2438</v>
      </c>
      <c r="G1358" s="88">
        <v>0</v>
      </c>
      <c r="H1358" s="91">
        <v>0</v>
      </c>
      <c r="I1358" s="100" t="s">
        <v>2405</v>
      </c>
    </row>
    <row r="1359" spans="1:9">
      <c r="A1359" s="95" t="s">
        <v>2408</v>
      </c>
      <c r="B1359" s="96" t="s">
        <v>1034</v>
      </c>
      <c r="C1359" s="96" t="s">
        <v>1241</v>
      </c>
      <c r="D1359" s="96" t="s">
        <v>2439</v>
      </c>
      <c r="E1359" s="96" t="s">
        <v>2440</v>
      </c>
      <c r="F1359" s="96" t="s">
        <v>2441</v>
      </c>
      <c r="G1359" s="88">
        <v>484482982692</v>
      </c>
      <c r="H1359" s="91">
        <v>484.48298269200001</v>
      </c>
      <c r="I1359" s="100" t="s">
        <v>2405</v>
      </c>
    </row>
    <row r="1360" spans="1:9">
      <c r="A1360" s="95" t="s">
        <v>2408</v>
      </c>
      <c r="B1360" s="96" t="s">
        <v>1034</v>
      </c>
      <c r="C1360" s="96" t="s">
        <v>1241</v>
      </c>
      <c r="D1360" s="96" t="s">
        <v>2442</v>
      </c>
      <c r="E1360" s="96" t="s">
        <v>2443</v>
      </c>
      <c r="F1360" s="96" t="s">
        <v>2444</v>
      </c>
      <c r="G1360" s="88">
        <v>-344751810261</v>
      </c>
      <c r="H1360" s="91">
        <v>-344.751810261</v>
      </c>
      <c r="I1360" s="100" t="s">
        <v>2405</v>
      </c>
    </row>
    <row r="1361" spans="1:9">
      <c r="A1361" s="95" t="s">
        <v>2408</v>
      </c>
      <c r="B1361" s="96" t="s">
        <v>1034</v>
      </c>
      <c r="C1361" s="96" t="s">
        <v>1241</v>
      </c>
      <c r="D1361" s="96" t="s">
        <v>2445</v>
      </c>
      <c r="E1361" s="96" t="s">
        <v>2446</v>
      </c>
      <c r="F1361" s="96" t="s">
        <v>2447</v>
      </c>
      <c r="G1361" s="88">
        <v>1462078255404</v>
      </c>
      <c r="H1361" s="91">
        <v>1462.0782554039999</v>
      </c>
      <c r="I1361" s="100" t="s">
        <v>2405</v>
      </c>
    </row>
    <row r="1362" spans="1:9">
      <c r="A1362" s="95" t="s">
        <v>2408</v>
      </c>
      <c r="B1362" s="96" t="s">
        <v>1034</v>
      </c>
      <c r="C1362" s="96" t="s">
        <v>1241</v>
      </c>
      <c r="D1362" s="96" t="s">
        <v>64</v>
      </c>
      <c r="E1362" s="96" t="s">
        <v>2448</v>
      </c>
      <c r="F1362" s="96" t="s">
        <v>2449</v>
      </c>
      <c r="G1362" s="88">
        <v>1507558290828</v>
      </c>
      <c r="H1362" s="91">
        <v>1507.5582908280001</v>
      </c>
      <c r="I1362" s="100" t="s">
        <v>2405</v>
      </c>
    </row>
    <row r="1363" spans="1:9">
      <c r="A1363" s="95" t="s">
        <v>2408</v>
      </c>
      <c r="B1363" s="96" t="s">
        <v>1034</v>
      </c>
      <c r="C1363" s="96" t="s">
        <v>1241</v>
      </c>
      <c r="D1363" s="96" t="s">
        <v>2450</v>
      </c>
      <c r="E1363" s="96" t="s">
        <v>2451</v>
      </c>
      <c r="F1363" s="96" t="s">
        <v>2452</v>
      </c>
      <c r="G1363" s="88">
        <v>-45480035424</v>
      </c>
      <c r="H1363" s="91">
        <v>-45.480035424</v>
      </c>
      <c r="I1363" s="100" t="s">
        <v>2405</v>
      </c>
    </row>
    <row r="1364" spans="1:9">
      <c r="A1364" s="95" t="s">
        <v>2408</v>
      </c>
      <c r="B1364" s="96" t="s">
        <v>1034</v>
      </c>
      <c r="C1364" s="96" t="s">
        <v>1241</v>
      </c>
      <c r="D1364" s="96" t="s">
        <v>2059</v>
      </c>
      <c r="E1364" s="96" t="s">
        <v>2453</v>
      </c>
      <c r="F1364" s="96" t="s">
        <v>2454</v>
      </c>
      <c r="G1364" s="88">
        <v>342843350817</v>
      </c>
      <c r="H1364" s="91">
        <v>342.84335081699999</v>
      </c>
      <c r="I1364" s="100" t="s">
        <v>2405</v>
      </c>
    </row>
    <row r="1365" spans="1:9">
      <c r="A1365" s="95" t="s">
        <v>2408</v>
      </c>
      <c r="B1365" s="96" t="s">
        <v>1034</v>
      </c>
      <c r="C1365" s="96" t="s">
        <v>1241</v>
      </c>
      <c r="D1365" s="96" t="s">
        <v>2455</v>
      </c>
      <c r="E1365" s="96" t="s">
        <v>2456</v>
      </c>
      <c r="F1365" s="96" t="s">
        <v>2457</v>
      </c>
      <c r="G1365" s="88">
        <v>16714436558</v>
      </c>
      <c r="H1365" s="91">
        <v>16.714436557999999</v>
      </c>
      <c r="I1365" s="100" t="s">
        <v>2405</v>
      </c>
    </row>
    <row r="1366" spans="1:9">
      <c r="A1366" s="95" t="s">
        <v>2408</v>
      </c>
      <c r="B1366" s="96" t="s">
        <v>1034</v>
      </c>
      <c r="C1366" s="96" t="s">
        <v>1241</v>
      </c>
      <c r="D1366" s="96" t="s">
        <v>2458</v>
      </c>
      <c r="E1366" s="96" t="s">
        <v>2459</v>
      </c>
      <c r="F1366" s="96" t="s">
        <v>2460</v>
      </c>
      <c r="G1366" s="88">
        <v>318102218960</v>
      </c>
      <c r="H1366" s="91">
        <v>318.10221896000002</v>
      </c>
      <c r="I1366" s="100" t="s">
        <v>2405</v>
      </c>
    </row>
    <row r="1367" spans="1:9">
      <c r="A1367" s="95" t="s">
        <v>2408</v>
      </c>
      <c r="B1367" s="96" t="s">
        <v>1034</v>
      </c>
      <c r="C1367" s="96" t="s">
        <v>1241</v>
      </c>
      <c r="D1367" s="96" t="s">
        <v>2461</v>
      </c>
      <c r="E1367" s="96" t="s">
        <v>2462</v>
      </c>
      <c r="F1367" s="96" t="s">
        <v>2463</v>
      </c>
      <c r="G1367" s="88">
        <v>8026695299</v>
      </c>
      <c r="H1367" s="91">
        <v>8.026695299</v>
      </c>
      <c r="I1367" s="100" t="s">
        <v>2405</v>
      </c>
    </row>
    <row r="1368" spans="1:9">
      <c r="A1368" s="95" t="s">
        <v>2408</v>
      </c>
      <c r="B1368" s="96" t="s">
        <v>1034</v>
      </c>
      <c r="C1368" s="96" t="s">
        <v>1241</v>
      </c>
      <c r="D1368" s="96" t="s">
        <v>2059</v>
      </c>
      <c r="E1368" s="96" t="s">
        <v>2453</v>
      </c>
      <c r="F1368" s="96" t="s">
        <v>2454</v>
      </c>
      <c r="G1368" s="88">
        <v>0</v>
      </c>
      <c r="H1368" s="91">
        <v>0</v>
      </c>
      <c r="I1368" s="100" t="s">
        <v>2405</v>
      </c>
    </row>
    <row r="1369" spans="1:9">
      <c r="A1369" s="95" t="s">
        <v>2408</v>
      </c>
      <c r="B1369" s="96" t="s">
        <v>1034</v>
      </c>
      <c r="C1369" s="96" t="s">
        <v>1241</v>
      </c>
      <c r="D1369" s="96" t="s">
        <v>1753</v>
      </c>
      <c r="E1369" s="96" t="s">
        <v>2464</v>
      </c>
      <c r="F1369" s="96" t="s">
        <v>2465</v>
      </c>
      <c r="G1369" s="88">
        <v>1083954578968</v>
      </c>
      <c r="H1369" s="91">
        <v>1083.9545789680001</v>
      </c>
      <c r="I1369" s="100" t="s">
        <v>2405</v>
      </c>
    </row>
    <row r="1370" spans="1:9">
      <c r="A1370" s="95" t="s">
        <v>2408</v>
      </c>
      <c r="B1370" s="96" t="s">
        <v>1034</v>
      </c>
      <c r="C1370" s="96" t="s">
        <v>1241</v>
      </c>
      <c r="D1370" s="96" t="s">
        <v>1757</v>
      </c>
      <c r="E1370" s="96" t="s">
        <v>2466</v>
      </c>
      <c r="F1370" s="96" t="s">
        <v>2467</v>
      </c>
      <c r="G1370" s="88">
        <v>38979687362</v>
      </c>
      <c r="H1370" s="91">
        <v>38.979687362</v>
      </c>
      <c r="I1370" s="100" t="s">
        <v>2405</v>
      </c>
    </row>
    <row r="1371" spans="1:9">
      <c r="A1371" s="95" t="s">
        <v>2408</v>
      </c>
      <c r="B1371" s="96" t="s">
        <v>1034</v>
      </c>
      <c r="C1371" s="96" t="s">
        <v>1241</v>
      </c>
      <c r="D1371" s="96" t="s">
        <v>2468</v>
      </c>
      <c r="E1371" s="96" t="s">
        <v>2469</v>
      </c>
      <c r="F1371" s="96" t="s">
        <v>2470</v>
      </c>
      <c r="G1371" s="88">
        <v>0</v>
      </c>
      <c r="H1371" s="91">
        <v>0</v>
      </c>
      <c r="I1371" s="100" t="s">
        <v>2405</v>
      </c>
    </row>
    <row r="1372" spans="1:9">
      <c r="A1372" s="95" t="s">
        <v>2408</v>
      </c>
      <c r="B1372" s="96" t="s">
        <v>1034</v>
      </c>
      <c r="C1372" s="96" t="s">
        <v>1241</v>
      </c>
      <c r="D1372" s="96" t="s">
        <v>2471</v>
      </c>
      <c r="E1372" s="96" t="s">
        <v>2472</v>
      </c>
      <c r="F1372" s="96" t="s">
        <v>2473</v>
      </c>
      <c r="G1372" s="88">
        <v>0</v>
      </c>
      <c r="H1372" s="91">
        <v>0</v>
      </c>
      <c r="I1372" s="100" t="s">
        <v>2405</v>
      </c>
    </row>
    <row r="1373" spans="1:9">
      <c r="A1373" s="95" t="s">
        <v>2408</v>
      </c>
      <c r="B1373" s="96" t="s">
        <v>1034</v>
      </c>
      <c r="C1373" s="96" t="s">
        <v>1241</v>
      </c>
      <c r="D1373" s="96" t="s">
        <v>1767</v>
      </c>
      <c r="E1373" s="96" t="s">
        <v>2474</v>
      </c>
      <c r="F1373" s="96" t="s">
        <v>2475</v>
      </c>
      <c r="G1373" s="88">
        <v>38979687362</v>
      </c>
      <c r="H1373" s="91">
        <v>38.979687362</v>
      </c>
      <c r="I1373" s="100" t="s">
        <v>2405</v>
      </c>
    </row>
    <row r="1374" spans="1:9">
      <c r="A1374" s="95" t="s">
        <v>2408</v>
      </c>
      <c r="B1374" s="96" t="s">
        <v>1034</v>
      </c>
      <c r="C1374" s="96" t="s">
        <v>1241</v>
      </c>
      <c r="D1374" s="96" t="s">
        <v>2476</v>
      </c>
      <c r="E1374" s="96" t="s">
        <v>2477</v>
      </c>
      <c r="F1374" s="96" t="s">
        <v>2478</v>
      </c>
      <c r="G1374" s="88">
        <v>0</v>
      </c>
      <c r="H1374" s="91">
        <v>0</v>
      </c>
      <c r="I1374" s="100" t="s">
        <v>2405</v>
      </c>
    </row>
    <row r="1375" spans="1:9">
      <c r="A1375" s="95" t="s">
        <v>2408</v>
      </c>
      <c r="B1375" s="96" t="s">
        <v>1034</v>
      </c>
      <c r="C1375" s="96" t="s">
        <v>1241</v>
      </c>
      <c r="D1375" s="96" t="s">
        <v>70</v>
      </c>
      <c r="E1375" s="96" t="s">
        <v>2061</v>
      </c>
      <c r="F1375" s="96" t="s">
        <v>2479</v>
      </c>
      <c r="G1375" s="88">
        <v>278557281855</v>
      </c>
      <c r="H1375" s="91">
        <v>278.55728185499999</v>
      </c>
      <c r="I1375" s="100" t="s">
        <v>2405</v>
      </c>
    </row>
    <row r="1376" spans="1:9">
      <c r="A1376" s="95" t="s">
        <v>2408</v>
      </c>
      <c r="B1376" s="96" t="s">
        <v>1034</v>
      </c>
      <c r="C1376" s="96" t="s">
        <v>1241</v>
      </c>
      <c r="D1376" s="96" t="s">
        <v>1771</v>
      </c>
      <c r="E1376" s="96" t="s">
        <v>2480</v>
      </c>
      <c r="F1376" s="96" t="s">
        <v>2481</v>
      </c>
      <c r="G1376" s="88">
        <v>113540081348</v>
      </c>
      <c r="H1376" s="91">
        <v>113.540081348</v>
      </c>
      <c r="I1376" s="100" t="s">
        <v>2405</v>
      </c>
    </row>
    <row r="1377" spans="1:9">
      <c r="A1377" s="95" t="s">
        <v>2408</v>
      </c>
      <c r="B1377" s="96" t="s">
        <v>1034</v>
      </c>
      <c r="C1377" s="96" t="s">
        <v>1241</v>
      </c>
      <c r="D1377" s="96" t="s">
        <v>1773</v>
      </c>
      <c r="E1377" s="96" t="s">
        <v>2482</v>
      </c>
      <c r="F1377" s="96" t="s">
        <v>2483</v>
      </c>
      <c r="G1377" s="88">
        <v>440865391068</v>
      </c>
      <c r="H1377" s="91">
        <v>440.86539106800001</v>
      </c>
      <c r="I1377" s="100" t="s">
        <v>2405</v>
      </c>
    </row>
    <row r="1378" spans="1:9">
      <c r="A1378" s="95" t="s">
        <v>2408</v>
      </c>
      <c r="B1378" s="96" t="s">
        <v>1034</v>
      </c>
      <c r="C1378" s="96" t="s">
        <v>1241</v>
      </c>
      <c r="D1378" s="96" t="s">
        <v>1775</v>
      </c>
      <c r="E1378" s="96" t="s">
        <v>2484</v>
      </c>
      <c r="F1378" s="96" t="s">
        <v>2485</v>
      </c>
      <c r="G1378" s="88">
        <v>-327325309720</v>
      </c>
      <c r="H1378" s="91">
        <v>-327.32530972000001</v>
      </c>
      <c r="I1378" s="100" t="s">
        <v>2405</v>
      </c>
    </row>
    <row r="1379" spans="1:9">
      <c r="A1379" s="95" t="s">
        <v>2408</v>
      </c>
      <c r="B1379" s="96" t="s">
        <v>1034</v>
      </c>
      <c r="C1379" s="96" t="s">
        <v>1241</v>
      </c>
      <c r="D1379" s="96" t="s">
        <v>2486</v>
      </c>
      <c r="E1379" s="96" t="s">
        <v>2487</v>
      </c>
      <c r="F1379" s="96" t="s">
        <v>2488</v>
      </c>
      <c r="G1379" s="88">
        <v>0</v>
      </c>
      <c r="H1379" s="91">
        <v>0</v>
      </c>
      <c r="I1379" s="100" t="s">
        <v>2405</v>
      </c>
    </row>
    <row r="1380" spans="1:9">
      <c r="A1380" s="95" t="s">
        <v>2408</v>
      </c>
      <c r="B1380" s="96" t="s">
        <v>1034</v>
      </c>
      <c r="C1380" s="96" t="s">
        <v>1241</v>
      </c>
      <c r="D1380" s="96" t="s">
        <v>1773</v>
      </c>
      <c r="E1380" s="96" t="s">
        <v>2482</v>
      </c>
      <c r="F1380" s="96" t="s">
        <v>2489</v>
      </c>
      <c r="G1380" s="88">
        <v>0</v>
      </c>
      <c r="H1380" s="91">
        <v>0</v>
      </c>
      <c r="I1380" s="100" t="s">
        <v>2405</v>
      </c>
    </row>
    <row r="1381" spans="1:9">
      <c r="A1381" s="95" t="s">
        <v>2408</v>
      </c>
      <c r="B1381" s="96" t="s">
        <v>1034</v>
      </c>
      <c r="C1381" s="96" t="s">
        <v>1241</v>
      </c>
      <c r="D1381" s="96" t="s">
        <v>1775</v>
      </c>
      <c r="E1381" s="96" t="s">
        <v>2484</v>
      </c>
      <c r="F1381" s="96" t="s">
        <v>2490</v>
      </c>
      <c r="G1381" s="88">
        <v>0</v>
      </c>
      <c r="H1381" s="91">
        <v>0</v>
      </c>
      <c r="I1381" s="100" t="s">
        <v>2405</v>
      </c>
    </row>
    <row r="1382" spans="1:9">
      <c r="A1382" s="95" t="s">
        <v>2408</v>
      </c>
      <c r="B1382" s="96" t="s">
        <v>1034</v>
      </c>
      <c r="C1382" s="96" t="s">
        <v>1241</v>
      </c>
      <c r="D1382" s="96" t="s">
        <v>1781</v>
      </c>
      <c r="E1382" s="96" t="s">
        <v>2491</v>
      </c>
      <c r="F1382" s="96" t="s">
        <v>2492</v>
      </c>
      <c r="G1382" s="88">
        <v>165017200507</v>
      </c>
      <c r="H1382" s="91">
        <v>165.01720050700001</v>
      </c>
      <c r="I1382" s="100" t="s">
        <v>2405</v>
      </c>
    </row>
    <row r="1383" spans="1:9">
      <c r="A1383" s="95" t="s">
        <v>2408</v>
      </c>
      <c r="B1383" s="96" t="s">
        <v>1034</v>
      </c>
      <c r="C1383" s="96" t="s">
        <v>1241</v>
      </c>
      <c r="D1383" s="96" t="s">
        <v>1773</v>
      </c>
      <c r="E1383" s="96" t="s">
        <v>2482</v>
      </c>
      <c r="F1383" s="96" t="s">
        <v>2493</v>
      </c>
      <c r="G1383" s="88">
        <v>184820337312</v>
      </c>
      <c r="H1383" s="91">
        <v>184.82033731199999</v>
      </c>
      <c r="I1383" s="100" t="s">
        <v>2405</v>
      </c>
    </row>
    <row r="1384" spans="1:9">
      <c r="A1384" s="95" t="s">
        <v>2408</v>
      </c>
      <c r="B1384" s="96" t="s">
        <v>1034</v>
      </c>
      <c r="C1384" s="96" t="s">
        <v>1241</v>
      </c>
      <c r="D1384" s="96" t="s">
        <v>1775</v>
      </c>
      <c r="E1384" s="96" t="s">
        <v>2484</v>
      </c>
      <c r="F1384" s="96" t="s">
        <v>2494</v>
      </c>
      <c r="G1384" s="88">
        <v>-19803136805</v>
      </c>
      <c r="H1384" s="91">
        <v>-19.803136805000001</v>
      </c>
      <c r="I1384" s="100" t="s">
        <v>2405</v>
      </c>
    </row>
    <row r="1385" spans="1:9">
      <c r="A1385" s="95" t="s">
        <v>2408</v>
      </c>
      <c r="B1385" s="96" t="s">
        <v>1034</v>
      </c>
      <c r="C1385" s="96" t="s">
        <v>1241</v>
      </c>
      <c r="D1385" s="96" t="s">
        <v>2495</v>
      </c>
      <c r="E1385" s="96" t="s">
        <v>2496</v>
      </c>
      <c r="F1385" s="96" t="s">
        <v>2497</v>
      </c>
      <c r="G1385" s="88">
        <v>0</v>
      </c>
      <c r="H1385" s="91">
        <v>0</v>
      </c>
      <c r="I1385" s="100" t="s">
        <v>2405</v>
      </c>
    </row>
    <row r="1386" spans="1:9">
      <c r="A1386" s="95" t="s">
        <v>2408</v>
      </c>
      <c r="B1386" s="96" t="s">
        <v>1034</v>
      </c>
      <c r="C1386" s="96" t="s">
        <v>1241</v>
      </c>
      <c r="D1386" s="96" t="s">
        <v>1802</v>
      </c>
      <c r="E1386" s="96" t="s">
        <v>2498</v>
      </c>
      <c r="F1386" s="96" t="s">
        <v>2499</v>
      </c>
      <c r="G1386" s="88">
        <v>466237022429</v>
      </c>
      <c r="H1386" s="91">
        <v>466.23702242899998</v>
      </c>
      <c r="I1386" s="100" t="s">
        <v>2405</v>
      </c>
    </row>
    <row r="1387" spans="1:9">
      <c r="A1387" s="95" t="s">
        <v>2408</v>
      </c>
      <c r="B1387" s="96" t="s">
        <v>1034</v>
      </c>
      <c r="C1387" s="96" t="s">
        <v>1241</v>
      </c>
      <c r="D1387" s="96" t="s">
        <v>1773</v>
      </c>
      <c r="E1387" s="96" t="s">
        <v>2482</v>
      </c>
      <c r="F1387" s="96" t="s">
        <v>2500</v>
      </c>
      <c r="G1387" s="88">
        <v>852074158578</v>
      </c>
      <c r="H1387" s="91">
        <v>852.07415857800004</v>
      </c>
      <c r="I1387" s="100" t="s">
        <v>2405</v>
      </c>
    </row>
    <row r="1388" spans="1:9">
      <c r="A1388" s="95" t="s">
        <v>2408</v>
      </c>
      <c r="B1388" s="96" t="s">
        <v>1034</v>
      </c>
      <c r="C1388" s="96" t="s">
        <v>1241</v>
      </c>
      <c r="D1388" s="96" t="s">
        <v>1775</v>
      </c>
      <c r="E1388" s="96" t="s">
        <v>2484</v>
      </c>
      <c r="F1388" s="96" t="s">
        <v>2501</v>
      </c>
      <c r="G1388" s="88">
        <v>-385837136149</v>
      </c>
      <c r="H1388" s="91">
        <v>-385.837136149</v>
      </c>
      <c r="I1388" s="100" t="s">
        <v>2405</v>
      </c>
    </row>
    <row r="1389" spans="1:9">
      <c r="A1389" s="95" t="s">
        <v>2408</v>
      </c>
      <c r="B1389" s="96" t="s">
        <v>1034</v>
      </c>
      <c r="C1389" s="96" t="s">
        <v>1241</v>
      </c>
      <c r="D1389" s="96" t="s">
        <v>2063</v>
      </c>
      <c r="E1389" s="96" t="s">
        <v>2502</v>
      </c>
      <c r="F1389" s="96" t="s">
        <v>2503</v>
      </c>
      <c r="G1389" s="88">
        <v>84534032256</v>
      </c>
      <c r="H1389" s="91">
        <v>84.534032256000003</v>
      </c>
      <c r="I1389" s="100" t="s">
        <v>2405</v>
      </c>
    </row>
    <row r="1390" spans="1:9">
      <c r="A1390" s="95" t="s">
        <v>2408</v>
      </c>
      <c r="B1390" s="96" t="s">
        <v>1034</v>
      </c>
      <c r="C1390" s="96" t="s">
        <v>1241</v>
      </c>
      <c r="D1390" s="96" t="s">
        <v>1812</v>
      </c>
      <c r="E1390" s="96" t="s">
        <v>2504</v>
      </c>
      <c r="F1390" s="96" t="s">
        <v>2505</v>
      </c>
      <c r="G1390" s="88">
        <v>0</v>
      </c>
      <c r="H1390" s="91">
        <v>0</v>
      </c>
      <c r="I1390" s="100" t="s">
        <v>2405</v>
      </c>
    </row>
    <row r="1391" spans="1:9">
      <c r="A1391" s="95" t="s">
        <v>2408</v>
      </c>
      <c r="B1391" s="96" t="s">
        <v>1034</v>
      </c>
      <c r="C1391" s="96" t="s">
        <v>1241</v>
      </c>
      <c r="D1391" s="96" t="s">
        <v>2506</v>
      </c>
      <c r="E1391" s="96" t="s">
        <v>2507</v>
      </c>
      <c r="F1391" s="96" t="s">
        <v>2508</v>
      </c>
      <c r="G1391" s="88">
        <v>81942807990</v>
      </c>
      <c r="H1391" s="91">
        <v>81.942807990000006</v>
      </c>
      <c r="I1391" s="100" t="s">
        <v>2405</v>
      </c>
    </row>
    <row r="1392" spans="1:9">
      <c r="A1392" s="95" t="s">
        <v>2408</v>
      </c>
      <c r="B1392" s="96" t="s">
        <v>1034</v>
      </c>
      <c r="C1392" s="96" t="s">
        <v>1241</v>
      </c>
      <c r="D1392" s="96" t="s">
        <v>1824</v>
      </c>
      <c r="E1392" s="96" t="s">
        <v>2509</v>
      </c>
      <c r="F1392" s="96" t="s">
        <v>2510</v>
      </c>
      <c r="G1392" s="88">
        <v>22465000000</v>
      </c>
      <c r="H1392" s="91">
        <v>22.465</v>
      </c>
      <c r="I1392" s="100" t="s">
        <v>2405</v>
      </c>
    </row>
    <row r="1393" spans="1:9">
      <c r="A1393" s="95" t="s">
        <v>2408</v>
      </c>
      <c r="B1393" s="96" t="s">
        <v>1034</v>
      </c>
      <c r="C1393" s="96" t="s">
        <v>1241</v>
      </c>
      <c r="D1393" s="96" t="s">
        <v>2511</v>
      </c>
      <c r="E1393" s="96" t="s">
        <v>2512</v>
      </c>
      <c r="F1393" s="96" t="s">
        <v>2513</v>
      </c>
      <c r="G1393" s="88">
        <v>-22465000000</v>
      </c>
      <c r="H1393" s="91">
        <v>-22.465</v>
      </c>
      <c r="I1393" s="100" t="s">
        <v>2405</v>
      </c>
    </row>
    <row r="1394" spans="1:9">
      <c r="A1394" s="95" t="s">
        <v>2408</v>
      </c>
      <c r="B1394" s="96" t="s">
        <v>1034</v>
      </c>
      <c r="C1394" s="96" t="s">
        <v>1241</v>
      </c>
      <c r="D1394" s="96" t="s">
        <v>1836</v>
      </c>
      <c r="E1394" s="96" t="s">
        <v>2514</v>
      </c>
      <c r="F1394" s="96" t="s">
        <v>2515</v>
      </c>
      <c r="G1394" s="88">
        <v>0</v>
      </c>
      <c r="H1394" s="91">
        <v>0</v>
      </c>
      <c r="I1394" s="100" t="s">
        <v>2405</v>
      </c>
    </row>
    <row r="1395" spans="1:9">
      <c r="A1395" s="95" t="s">
        <v>2408</v>
      </c>
      <c r="B1395" s="96" t="s">
        <v>1034</v>
      </c>
      <c r="C1395" s="96" t="s">
        <v>1241</v>
      </c>
      <c r="D1395" s="96" t="s">
        <v>74</v>
      </c>
      <c r="E1395" s="96" t="s">
        <v>2064</v>
      </c>
      <c r="F1395" s="96" t="s">
        <v>2516</v>
      </c>
      <c r="G1395" s="88">
        <v>177577805788</v>
      </c>
      <c r="H1395" s="91">
        <v>177.57780578800001</v>
      </c>
      <c r="I1395" s="100" t="s">
        <v>2405</v>
      </c>
    </row>
    <row r="1396" spans="1:9">
      <c r="A1396" s="95" t="s">
        <v>2408</v>
      </c>
      <c r="B1396" s="96" t="s">
        <v>1034</v>
      </c>
      <c r="C1396" s="96" t="s">
        <v>1241</v>
      </c>
      <c r="D1396" s="96" t="s">
        <v>2517</v>
      </c>
      <c r="E1396" s="96" t="s">
        <v>2518</v>
      </c>
      <c r="F1396" s="96" t="s">
        <v>2519</v>
      </c>
      <c r="G1396" s="88">
        <v>177572053418</v>
      </c>
      <c r="H1396" s="91">
        <v>177.572053418</v>
      </c>
      <c r="I1396" s="100" t="s">
        <v>2405</v>
      </c>
    </row>
    <row r="1397" spans="1:9">
      <c r="A1397" s="95" t="s">
        <v>2408</v>
      </c>
      <c r="B1397" s="96" t="s">
        <v>1034</v>
      </c>
      <c r="C1397" s="96" t="s">
        <v>1241</v>
      </c>
      <c r="D1397" s="96" t="s">
        <v>1828</v>
      </c>
      <c r="E1397" s="96" t="s">
        <v>2520</v>
      </c>
      <c r="F1397" s="96" t="s">
        <v>2521</v>
      </c>
      <c r="G1397" s="88">
        <v>5752370</v>
      </c>
      <c r="H1397" s="91">
        <v>5.7523699999999997E-3</v>
      </c>
      <c r="I1397" s="100" t="s">
        <v>2405</v>
      </c>
    </row>
    <row r="1398" spans="1:9">
      <c r="A1398" s="95" t="s">
        <v>2408</v>
      </c>
      <c r="B1398" s="96" t="s">
        <v>1034</v>
      </c>
      <c r="C1398" s="96" t="s">
        <v>1241</v>
      </c>
      <c r="D1398" s="96" t="s">
        <v>74</v>
      </c>
      <c r="E1398" s="96" t="s">
        <v>2064</v>
      </c>
      <c r="F1398" s="96" t="s">
        <v>2522</v>
      </c>
      <c r="G1398" s="88">
        <v>0</v>
      </c>
      <c r="H1398" s="91">
        <v>0</v>
      </c>
      <c r="I1398" s="100" t="s">
        <v>2405</v>
      </c>
    </row>
    <row r="1399" spans="1:9">
      <c r="A1399" s="95" t="s">
        <v>2408</v>
      </c>
      <c r="B1399" s="96" t="s">
        <v>1034</v>
      </c>
      <c r="C1399" s="96" t="s">
        <v>1241</v>
      </c>
      <c r="D1399" s="96" t="s">
        <v>76</v>
      </c>
      <c r="E1399" s="96" t="s">
        <v>75</v>
      </c>
      <c r="F1399" s="96" t="s">
        <v>1643</v>
      </c>
      <c r="G1399" s="88">
        <v>13510392533448</v>
      </c>
      <c r="H1399" s="91">
        <v>13510.392533448001</v>
      </c>
      <c r="I1399" s="100" t="s">
        <v>2405</v>
      </c>
    </row>
    <row r="1400" spans="1:9">
      <c r="A1400" s="95" t="s">
        <v>2408</v>
      </c>
      <c r="B1400" s="96" t="s">
        <v>1034</v>
      </c>
      <c r="C1400" s="96" t="s">
        <v>1241</v>
      </c>
      <c r="D1400" s="96" t="s">
        <v>2523</v>
      </c>
      <c r="E1400" s="96" t="s">
        <v>487</v>
      </c>
      <c r="F1400" s="96" t="s">
        <v>2524</v>
      </c>
      <c r="G1400" s="88">
        <v>10802771310964</v>
      </c>
      <c r="H1400" s="91">
        <v>10802.771310964001</v>
      </c>
      <c r="I1400" s="100" t="s">
        <v>2405</v>
      </c>
    </row>
    <row r="1401" spans="1:9">
      <c r="A1401" s="95" t="s">
        <v>2408</v>
      </c>
      <c r="B1401" s="96" t="s">
        <v>1034</v>
      </c>
      <c r="C1401" s="96" t="s">
        <v>1241</v>
      </c>
      <c r="D1401" s="96" t="s">
        <v>82</v>
      </c>
      <c r="E1401" s="96" t="s">
        <v>2070</v>
      </c>
      <c r="F1401" s="96" t="s">
        <v>2525</v>
      </c>
      <c r="G1401" s="88">
        <v>10745294823957</v>
      </c>
      <c r="H1401" s="91">
        <v>10745.294823957</v>
      </c>
      <c r="I1401" s="100" t="s">
        <v>2405</v>
      </c>
    </row>
    <row r="1402" spans="1:9">
      <c r="A1402" s="95" t="s">
        <v>2408</v>
      </c>
      <c r="B1402" s="96" t="s">
        <v>1034</v>
      </c>
      <c r="C1402" s="96" t="s">
        <v>1241</v>
      </c>
      <c r="D1402" s="96" t="s">
        <v>2526</v>
      </c>
      <c r="E1402" s="96" t="s">
        <v>2527</v>
      </c>
      <c r="F1402" s="96" t="s">
        <v>2528</v>
      </c>
      <c r="G1402" s="88">
        <v>7222314338324</v>
      </c>
      <c r="H1402" s="91">
        <v>7222.3143383240003</v>
      </c>
      <c r="I1402" s="100" t="s">
        <v>2405</v>
      </c>
    </row>
    <row r="1403" spans="1:9">
      <c r="A1403" s="95" t="s">
        <v>2408</v>
      </c>
      <c r="B1403" s="96" t="s">
        <v>1034</v>
      </c>
      <c r="C1403" s="96" t="s">
        <v>1241</v>
      </c>
      <c r="D1403" s="96" t="s">
        <v>2529</v>
      </c>
      <c r="E1403" s="96" t="s">
        <v>2530</v>
      </c>
      <c r="F1403" s="96" t="s">
        <v>2531</v>
      </c>
      <c r="G1403" s="88">
        <v>1680085671872</v>
      </c>
      <c r="H1403" s="91">
        <v>1680.0856718719999</v>
      </c>
      <c r="I1403" s="100" t="s">
        <v>2405</v>
      </c>
    </row>
    <row r="1404" spans="1:9">
      <c r="A1404" s="95" t="s">
        <v>2408</v>
      </c>
      <c r="B1404" s="96" t="s">
        <v>1034</v>
      </c>
      <c r="C1404" s="96" t="s">
        <v>1241</v>
      </c>
      <c r="D1404" s="96" t="s">
        <v>2532</v>
      </c>
      <c r="E1404" s="96" t="s">
        <v>2533</v>
      </c>
      <c r="F1404" s="96" t="s">
        <v>2534</v>
      </c>
      <c r="G1404" s="88">
        <v>84773215810</v>
      </c>
      <c r="H1404" s="91">
        <v>84.773215809999996</v>
      </c>
      <c r="I1404" s="100" t="s">
        <v>2405</v>
      </c>
    </row>
    <row r="1405" spans="1:9">
      <c r="A1405" s="95" t="s">
        <v>2408</v>
      </c>
      <c r="B1405" s="96" t="s">
        <v>1034</v>
      </c>
      <c r="C1405" s="96" t="s">
        <v>1241</v>
      </c>
      <c r="D1405" s="96" t="s">
        <v>2535</v>
      </c>
      <c r="E1405" s="96" t="s">
        <v>2536</v>
      </c>
      <c r="F1405" s="96" t="s">
        <v>2537</v>
      </c>
      <c r="G1405" s="88">
        <v>117188673310</v>
      </c>
      <c r="H1405" s="91">
        <v>117.18867331</v>
      </c>
      <c r="I1405" s="100" t="s">
        <v>2405</v>
      </c>
    </row>
    <row r="1406" spans="1:9">
      <c r="A1406" s="95" t="s">
        <v>2408</v>
      </c>
      <c r="B1406" s="96" t="s">
        <v>1034</v>
      </c>
      <c r="C1406" s="96" t="s">
        <v>1241</v>
      </c>
      <c r="D1406" s="96" t="s">
        <v>1846</v>
      </c>
      <c r="E1406" s="96" t="s">
        <v>2538</v>
      </c>
      <c r="F1406" s="96" t="s">
        <v>2539</v>
      </c>
      <c r="G1406" s="88">
        <v>134683572965</v>
      </c>
      <c r="H1406" s="91">
        <v>134.683572965</v>
      </c>
      <c r="I1406" s="100" t="s">
        <v>2405</v>
      </c>
    </row>
    <row r="1407" spans="1:9">
      <c r="A1407" s="95" t="s">
        <v>2408</v>
      </c>
      <c r="B1407" s="96" t="s">
        <v>1034</v>
      </c>
      <c r="C1407" s="96" t="s">
        <v>1241</v>
      </c>
      <c r="D1407" s="96" t="s">
        <v>2540</v>
      </c>
      <c r="E1407" s="96" t="s">
        <v>2541</v>
      </c>
      <c r="F1407" s="96" t="s">
        <v>2542</v>
      </c>
      <c r="G1407" s="88">
        <v>169423803141</v>
      </c>
      <c r="H1407" s="91">
        <v>169.42380314100001</v>
      </c>
      <c r="I1407" s="100" t="s">
        <v>2405</v>
      </c>
    </row>
    <row r="1408" spans="1:9">
      <c r="A1408" s="95" t="s">
        <v>2408</v>
      </c>
      <c r="B1408" s="96" t="s">
        <v>1034</v>
      </c>
      <c r="C1408" s="96" t="s">
        <v>1241</v>
      </c>
      <c r="D1408" s="96" t="s">
        <v>2543</v>
      </c>
      <c r="E1408" s="96" t="s">
        <v>2544</v>
      </c>
      <c r="F1408" s="96" t="s">
        <v>2545</v>
      </c>
      <c r="G1408" s="88">
        <v>0</v>
      </c>
      <c r="H1408" s="91">
        <v>0</v>
      </c>
      <c r="I1408" s="100" t="s">
        <v>2405</v>
      </c>
    </row>
    <row r="1409" spans="1:9">
      <c r="A1409" s="95" t="s">
        <v>2408</v>
      </c>
      <c r="B1409" s="96" t="s">
        <v>1034</v>
      </c>
      <c r="C1409" s="96" t="s">
        <v>1241</v>
      </c>
      <c r="D1409" s="96" t="s">
        <v>2546</v>
      </c>
      <c r="E1409" s="96" t="s">
        <v>2547</v>
      </c>
      <c r="F1409" s="96" t="s">
        <v>2548</v>
      </c>
      <c r="G1409" s="88">
        <v>0</v>
      </c>
      <c r="H1409" s="91">
        <v>0</v>
      </c>
      <c r="I1409" s="100" t="s">
        <v>2405</v>
      </c>
    </row>
    <row r="1410" spans="1:9">
      <c r="A1410" s="95" t="s">
        <v>2408</v>
      </c>
      <c r="B1410" s="96" t="s">
        <v>1034</v>
      </c>
      <c r="C1410" s="96" t="s">
        <v>1241</v>
      </c>
      <c r="D1410" s="96" t="s">
        <v>2549</v>
      </c>
      <c r="E1410" s="96" t="s">
        <v>2550</v>
      </c>
      <c r="F1410" s="96" t="s">
        <v>2551</v>
      </c>
      <c r="G1410" s="88">
        <v>1289898974696</v>
      </c>
      <c r="H1410" s="91">
        <v>1289.8989746960001</v>
      </c>
      <c r="I1410" s="100" t="s">
        <v>2405</v>
      </c>
    </row>
    <row r="1411" spans="1:9">
      <c r="A1411" s="95" t="s">
        <v>2408</v>
      </c>
      <c r="B1411" s="96" t="s">
        <v>1034</v>
      </c>
      <c r="C1411" s="96" t="s">
        <v>1241</v>
      </c>
      <c r="D1411" s="96" t="s">
        <v>2552</v>
      </c>
      <c r="E1411" s="96" t="s">
        <v>2553</v>
      </c>
      <c r="F1411" s="96" t="s">
        <v>2554</v>
      </c>
      <c r="G1411" s="88">
        <v>0</v>
      </c>
      <c r="H1411" s="91">
        <v>0</v>
      </c>
      <c r="I1411" s="100" t="s">
        <v>2405</v>
      </c>
    </row>
    <row r="1412" spans="1:9">
      <c r="A1412" s="95" t="s">
        <v>2408</v>
      </c>
      <c r="B1412" s="96" t="s">
        <v>1034</v>
      </c>
      <c r="C1412" s="96" t="s">
        <v>1241</v>
      </c>
      <c r="D1412" s="96" t="s">
        <v>2555</v>
      </c>
      <c r="E1412" s="96" t="s">
        <v>2556</v>
      </c>
      <c r="F1412" s="96" t="s">
        <v>2557</v>
      </c>
      <c r="G1412" s="88">
        <v>35110416615</v>
      </c>
      <c r="H1412" s="91">
        <v>35.110416614999998</v>
      </c>
      <c r="I1412" s="100" t="s">
        <v>2405</v>
      </c>
    </row>
    <row r="1413" spans="1:9">
      <c r="A1413" s="95" t="s">
        <v>2408</v>
      </c>
      <c r="B1413" s="96" t="s">
        <v>1034</v>
      </c>
      <c r="C1413" s="96" t="s">
        <v>1241</v>
      </c>
      <c r="D1413" s="96" t="s">
        <v>86</v>
      </c>
      <c r="E1413" s="96" t="s">
        <v>2073</v>
      </c>
      <c r="F1413" s="96" t="s">
        <v>2558</v>
      </c>
      <c r="G1413" s="88">
        <v>57476487007</v>
      </c>
      <c r="H1413" s="91">
        <v>57.476487007000003</v>
      </c>
      <c r="I1413" s="100" t="s">
        <v>2405</v>
      </c>
    </row>
    <row r="1414" spans="1:9">
      <c r="A1414" s="95" t="s">
        <v>2408</v>
      </c>
      <c r="B1414" s="96" t="s">
        <v>1034</v>
      </c>
      <c r="C1414" s="96" t="s">
        <v>1241</v>
      </c>
      <c r="D1414" s="96" t="s">
        <v>1866</v>
      </c>
      <c r="E1414" s="96" t="s">
        <v>2559</v>
      </c>
      <c r="F1414" s="96" t="s">
        <v>2560</v>
      </c>
      <c r="G1414" s="88">
        <v>0</v>
      </c>
      <c r="H1414" s="91">
        <v>0</v>
      </c>
      <c r="I1414" s="100" t="s">
        <v>2405</v>
      </c>
    </row>
    <row r="1415" spans="1:9">
      <c r="A1415" s="95" t="s">
        <v>2408</v>
      </c>
      <c r="B1415" s="96" t="s">
        <v>1034</v>
      </c>
      <c r="C1415" s="96" t="s">
        <v>1241</v>
      </c>
      <c r="D1415" s="96" t="s">
        <v>2561</v>
      </c>
      <c r="E1415" s="96" t="s">
        <v>2562</v>
      </c>
      <c r="F1415" s="96" t="s">
        <v>2563</v>
      </c>
      <c r="G1415" s="88">
        <v>0</v>
      </c>
      <c r="H1415" s="91">
        <v>0</v>
      </c>
      <c r="I1415" s="100" t="s">
        <v>2405</v>
      </c>
    </row>
    <row r="1416" spans="1:9">
      <c r="A1416" s="95" t="s">
        <v>2408</v>
      </c>
      <c r="B1416" s="96" t="s">
        <v>1034</v>
      </c>
      <c r="C1416" s="96" t="s">
        <v>1241</v>
      </c>
      <c r="D1416" s="96" t="s">
        <v>2564</v>
      </c>
      <c r="E1416" s="96" t="s">
        <v>2565</v>
      </c>
      <c r="F1416" s="96" t="s">
        <v>2566</v>
      </c>
      <c r="G1416" s="88">
        <v>53045907646</v>
      </c>
      <c r="H1416" s="91">
        <v>53.045907646000003</v>
      </c>
      <c r="I1416" s="100" t="s">
        <v>2405</v>
      </c>
    </row>
    <row r="1417" spans="1:9">
      <c r="A1417" s="95" t="s">
        <v>2408</v>
      </c>
      <c r="B1417" s="96" t="s">
        <v>1034</v>
      </c>
      <c r="C1417" s="96" t="s">
        <v>1241</v>
      </c>
      <c r="D1417" s="96" t="s">
        <v>2567</v>
      </c>
      <c r="E1417" s="96" t="s">
        <v>2568</v>
      </c>
      <c r="F1417" s="96" t="s">
        <v>2569</v>
      </c>
      <c r="G1417" s="88">
        <v>0</v>
      </c>
      <c r="H1417" s="91">
        <v>0</v>
      </c>
      <c r="I1417" s="100" t="s">
        <v>2405</v>
      </c>
    </row>
    <row r="1418" spans="1:9">
      <c r="A1418" s="95" t="s">
        <v>2408</v>
      </c>
      <c r="B1418" s="96" t="s">
        <v>1034</v>
      </c>
      <c r="C1418" s="96" t="s">
        <v>1241</v>
      </c>
      <c r="D1418" s="96" t="s">
        <v>1886</v>
      </c>
      <c r="E1418" s="96" t="s">
        <v>2570</v>
      </c>
      <c r="F1418" s="96" t="s">
        <v>2521</v>
      </c>
      <c r="G1418" s="88">
        <v>4430579361</v>
      </c>
      <c r="H1418" s="91">
        <v>4.4305793610000004</v>
      </c>
      <c r="I1418" s="100" t="s">
        <v>2405</v>
      </c>
    </row>
    <row r="1419" spans="1:9">
      <c r="A1419" s="95" t="s">
        <v>2408</v>
      </c>
      <c r="B1419" s="96" t="s">
        <v>1034</v>
      </c>
      <c r="C1419" s="96" t="s">
        <v>1241</v>
      </c>
      <c r="D1419" s="96" t="s">
        <v>1892</v>
      </c>
      <c r="E1419" s="96" t="s">
        <v>2571</v>
      </c>
      <c r="F1419" s="96" t="s">
        <v>2572</v>
      </c>
      <c r="G1419" s="88">
        <v>0</v>
      </c>
      <c r="H1419" s="91">
        <v>0</v>
      </c>
      <c r="I1419" s="100" t="s">
        <v>2405</v>
      </c>
    </row>
    <row r="1420" spans="1:9">
      <c r="A1420" s="95" t="s">
        <v>2408</v>
      </c>
      <c r="B1420" s="96" t="s">
        <v>1034</v>
      </c>
      <c r="C1420" s="96" t="s">
        <v>1241</v>
      </c>
      <c r="D1420" s="96" t="s">
        <v>1888</v>
      </c>
      <c r="E1420" s="96" t="s">
        <v>2573</v>
      </c>
      <c r="F1420" s="96" t="s">
        <v>2574</v>
      </c>
      <c r="G1420" s="88">
        <v>0</v>
      </c>
      <c r="H1420" s="91">
        <v>0</v>
      </c>
      <c r="I1420" s="100" t="s">
        <v>2405</v>
      </c>
    </row>
    <row r="1421" spans="1:9">
      <c r="A1421" s="95" t="s">
        <v>2408</v>
      </c>
      <c r="B1421" s="96" t="s">
        <v>1034</v>
      </c>
      <c r="C1421" s="96" t="s">
        <v>1241</v>
      </c>
      <c r="D1421" s="96" t="s">
        <v>2575</v>
      </c>
      <c r="E1421" s="96" t="s">
        <v>2576</v>
      </c>
      <c r="F1421" s="96" t="s">
        <v>2577</v>
      </c>
      <c r="G1421" s="88">
        <v>0</v>
      </c>
      <c r="H1421" s="91">
        <v>0</v>
      </c>
      <c r="I1421" s="100" t="s">
        <v>2405</v>
      </c>
    </row>
    <row r="1422" spans="1:9">
      <c r="A1422" s="95" t="s">
        <v>2408</v>
      </c>
      <c r="B1422" s="96" t="s">
        <v>1034</v>
      </c>
      <c r="C1422" s="96" t="s">
        <v>1241</v>
      </c>
      <c r="D1422" s="96" t="s">
        <v>2578</v>
      </c>
      <c r="E1422" s="96" t="s">
        <v>2579</v>
      </c>
      <c r="F1422" s="96" t="s">
        <v>2580</v>
      </c>
      <c r="G1422" s="88">
        <v>0</v>
      </c>
      <c r="H1422" s="91">
        <v>0</v>
      </c>
      <c r="I1422" s="100" t="s">
        <v>2405</v>
      </c>
    </row>
    <row r="1423" spans="1:9">
      <c r="A1423" s="95" t="s">
        <v>2408</v>
      </c>
      <c r="B1423" s="96" t="s">
        <v>1034</v>
      </c>
      <c r="C1423" s="96" t="s">
        <v>1241</v>
      </c>
      <c r="D1423" s="96" t="s">
        <v>2581</v>
      </c>
      <c r="E1423" s="96" t="s">
        <v>2582</v>
      </c>
      <c r="F1423" s="96" t="s">
        <v>2583</v>
      </c>
      <c r="G1423" s="88">
        <v>2707621222484</v>
      </c>
      <c r="H1423" s="91">
        <v>2707.6212224840001</v>
      </c>
      <c r="I1423" s="100" t="s">
        <v>2405</v>
      </c>
    </row>
    <row r="1424" spans="1:9">
      <c r="A1424" s="95" t="s">
        <v>2408</v>
      </c>
      <c r="B1424" s="96" t="s">
        <v>1034</v>
      </c>
      <c r="C1424" s="96" t="s">
        <v>1241</v>
      </c>
      <c r="D1424" s="96" t="s">
        <v>2584</v>
      </c>
      <c r="E1424" s="96" t="s">
        <v>2585</v>
      </c>
      <c r="F1424" s="96" t="s">
        <v>2586</v>
      </c>
      <c r="G1424" s="88">
        <v>2707621222484</v>
      </c>
      <c r="H1424" s="91">
        <v>2707.6212224840001</v>
      </c>
      <c r="I1424" s="100" t="s">
        <v>2405</v>
      </c>
    </row>
    <row r="1425" spans="1:9">
      <c r="A1425" s="95" t="s">
        <v>2408</v>
      </c>
      <c r="B1425" s="96" t="s">
        <v>1034</v>
      </c>
      <c r="C1425" s="96" t="s">
        <v>1241</v>
      </c>
      <c r="D1425" s="96" t="s">
        <v>2587</v>
      </c>
      <c r="E1425" s="96" t="s">
        <v>2588</v>
      </c>
      <c r="F1425" s="96" t="s">
        <v>2589</v>
      </c>
      <c r="G1425" s="88">
        <v>1073348310000</v>
      </c>
      <c r="H1425" s="91">
        <v>1073.3483100000001</v>
      </c>
      <c r="I1425" s="100" t="s">
        <v>2405</v>
      </c>
    </row>
    <row r="1426" spans="1:9">
      <c r="A1426" s="95" t="s">
        <v>2408</v>
      </c>
      <c r="B1426" s="96" t="s">
        <v>1034</v>
      </c>
      <c r="C1426" s="96" t="s">
        <v>1241</v>
      </c>
      <c r="D1426" s="96" t="s">
        <v>1900</v>
      </c>
      <c r="E1426" s="96" t="s">
        <v>2590</v>
      </c>
      <c r="F1426" s="96" t="s">
        <v>2591</v>
      </c>
      <c r="G1426" s="88">
        <v>159572337789</v>
      </c>
      <c r="H1426" s="91">
        <v>159.57233778899999</v>
      </c>
      <c r="I1426" s="100" t="s">
        <v>2405</v>
      </c>
    </row>
    <row r="1427" spans="1:9">
      <c r="A1427" s="95" t="s">
        <v>2408</v>
      </c>
      <c r="B1427" s="96" t="s">
        <v>1034</v>
      </c>
      <c r="C1427" s="96" t="s">
        <v>1241</v>
      </c>
      <c r="D1427" s="96" t="s">
        <v>2592</v>
      </c>
      <c r="E1427" s="96" t="s">
        <v>2593</v>
      </c>
      <c r="F1427" s="96" t="s">
        <v>2594</v>
      </c>
      <c r="G1427" s="88">
        <v>364615536105</v>
      </c>
      <c r="H1427" s="91">
        <v>364.61553610499999</v>
      </c>
      <c r="I1427" s="100" t="s">
        <v>2405</v>
      </c>
    </row>
    <row r="1428" spans="1:9">
      <c r="A1428" s="95" t="s">
        <v>2408</v>
      </c>
      <c r="B1428" s="96" t="s">
        <v>1034</v>
      </c>
      <c r="C1428" s="96" t="s">
        <v>1241</v>
      </c>
      <c r="D1428" s="96" t="s">
        <v>1906</v>
      </c>
      <c r="E1428" s="96" t="s">
        <v>2595</v>
      </c>
      <c r="F1428" s="96" t="s">
        <v>2596</v>
      </c>
      <c r="G1428" s="88">
        <v>-5427873108</v>
      </c>
      <c r="H1428" s="91">
        <v>-5.427873108</v>
      </c>
      <c r="I1428" s="100" t="s">
        <v>2405</v>
      </c>
    </row>
    <row r="1429" spans="1:9">
      <c r="A1429" s="95" t="s">
        <v>2408</v>
      </c>
      <c r="B1429" s="96" t="s">
        <v>1034</v>
      </c>
      <c r="C1429" s="96" t="s">
        <v>1241</v>
      </c>
      <c r="D1429" s="96" t="s">
        <v>2597</v>
      </c>
      <c r="E1429" s="96" t="s">
        <v>2598</v>
      </c>
      <c r="F1429" s="96" t="s">
        <v>2599</v>
      </c>
      <c r="G1429" s="88">
        <v>0</v>
      </c>
      <c r="H1429" s="91">
        <v>0</v>
      </c>
      <c r="I1429" s="100" t="s">
        <v>2405</v>
      </c>
    </row>
    <row r="1430" spans="1:9">
      <c r="A1430" s="95" t="s">
        <v>2408</v>
      </c>
      <c r="B1430" s="96" t="s">
        <v>1034</v>
      </c>
      <c r="C1430" s="96" t="s">
        <v>1241</v>
      </c>
      <c r="D1430" s="96" t="s">
        <v>1910</v>
      </c>
      <c r="E1430" s="96" t="s">
        <v>2600</v>
      </c>
      <c r="F1430" s="96" t="s">
        <v>2601</v>
      </c>
      <c r="G1430" s="88">
        <v>0</v>
      </c>
      <c r="H1430" s="91">
        <v>0</v>
      </c>
      <c r="I1430" s="100" t="s">
        <v>2405</v>
      </c>
    </row>
    <row r="1431" spans="1:9">
      <c r="A1431" s="95" t="s">
        <v>2408</v>
      </c>
      <c r="B1431" s="96" t="s">
        <v>1034</v>
      </c>
      <c r="C1431" s="96" t="s">
        <v>1241</v>
      </c>
      <c r="D1431" s="96" t="s">
        <v>2602</v>
      </c>
      <c r="E1431" s="96" t="s">
        <v>2603</v>
      </c>
      <c r="F1431" s="96" t="s">
        <v>2604</v>
      </c>
      <c r="G1431" s="88">
        <v>271777466354</v>
      </c>
      <c r="H1431" s="91">
        <v>271.77746635400001</v>
      </c>
      <c r="I1431" s="100" t="s">
        <v>2405</v>
      </c>
    </row>
    <row r="1432" spans="1:9">
      <c r="A1432" s="95" t="s">
        <v>2408</v>
      </c>
      <c r="B1432" s="96" t="s">
        <v>1034</v>
      </c>
      <c r="C1432" s="96" t="s">
        <v>1241</v>
      </c>
      <c r="D1432" s="96" t="s">
        <v>2605</v>
      </c>
      <c r="E1432" s="96" t="s">
        <v>2606</v>
      </c>
      <c r="F1432" s="96" t="s">
        <v>2607</v>
      </c>
      <c r="G1432" s="88">
        <v>0</v>
      </c>
      <c r="H1432" s="91">
        <v>0</v>
      </c>
      <c r="I1432" s="100" t="s">
        <v>2405</v>
      </c>
    </row>
    <row r="1433" spans="1:9">
      <c r="A1433" s="95" t="s">
        <v>2408</v>
      </c>
      <c r="B1433" s="96" t="s">
        <v>1034</v>
      </c>
      <c r="C1433" s="96" t="s">
        <v>1241</v>
      </c>
      <c r="D1433" s="96" t="s">
        <v>2608</v>
      </c>
      <c r="E1433" s="96" t="s">
        <v>2609</v>
      </c>
      <c r="F1433" s="96" t="s">
        <v>2610</v>
      </c>
      <c r="G1433" s="88">
        <v>0</v>
      </c>
      <c r="H1433" s="91">
        <v>0</v>
      </c>
      <c r="I1433" s="100" t="s">
        <v>2405</v>
      </c>
    </row>
    <row r="1434" spans="1:9">
      <c r="A1434" s="95" t="s">
        <v>2408</v>
      </c>
      <c r="B1434" s="96" t="s">
        <v>1034</v>
      </c>
      <c r="C1434" s="96" t="s">
        <v>1241</v>
      </c>
      <c r="D1434" s="96" t="s">
        <v>2611</v>
      </c>
      <c r="E1434" s="96" t="s">
        <v>2612</v>
      </c>
      <c r="F1434" s="96" t="s">
        <v>2613</v>
      </c>
      <c r="G1434" s="88">
        <v>571926197292</v>
      </c>
      <c r="H1434" s="91">
        <v>571.92619729199998</v>
      </c>
      <c r="I1434" s="100" t="s">
        <v>2405</v>
      </c>
    </row>
    <row r="1435" spans="1:9">
      <c r="A1435" s="95" t="s">
        <v>2408</v>
      </c>
      <c r="B1435" s="96" t="s">
        <v>1034</v>
      </c>
      <c r="C1435" s="96" t="s">
        <v>1241</v>
      </c>
      <c r="D1435" s="96" t="s">
        <v>2614</v>
      </c>
      <c r="E1435" s="96" t="s">
        <v>2615</v>
      </c>
      <c r="F1435" s="96" t="s">
        <v>2616</v>
      </c>
      <c r="G1435" s="88">
        <v>0</v>
      </c>
      <c r="H1435" s="91">
        <v>0</v>
      </c>
      <c r="I1435" s="100" t="s">
        <v>2405</v>
      </c>
    </row>
    <row r="1436" spans="1:9">
      <c r="A1436" s="95" t="s">
        <v>2408</v>
      </c>
      <c r="B1436" s="96" t="s">
        <v>1034</v>
      </c>
      <c r="C1436" s="96" t="s">
        <v>1241</v>
      </c>
      <c r="D1436" s="96" t="s">
        <v>2617</v>
      </c>
      <c r="E1436" s="96" t="s">
        <v>2618</v>
      </c>
      <c r="F1436" s="96" t="s">
        <v>2619</v>
      </c>
      <c r="G1436" s="88">
        <v>0</v>
      </c>
      <c r="H1436" s="91">
        <v>0</v>
      </c>
      <c r="I1436" s="100" t="s">
        <v>2405</v>
      </c>
    </row>
    <row r="1437" spans="1:9">
      <c r="A1437" s="95" t="s">
        <v>2408</v>
      </c>
      <c r="B1437" s="96" t="s">
        <v>1034</v>
      </c>
      <c r="C1437" s="96" t="s">
        <v>1241</v>
      </c>
      <c r="D1437" s="96" t="s">
        <v>2620</v>
      </c>
      <c r="E1437" s="96" t="s">
        <v>2621</v>
      </c>
      <c r="F1437" s="96" t="s">
        <v>2622</v>
      </c>
      <c r="G1437" s="88">
        <v>0</v>
      </c>
      <c r="H1437" s="91">
        <v>0</v>
      </c>
      <c r="I1437" s="100" t="s">
        <v>2405</v>
      </c>
    </row>
    <row r="1438" spans="1:9">
      <c r="A1438" s="95" t="s">
        <v>2408</v>
      </c>
      <c r="B1438" s="96" t="s">
        <v>1034</v>
      </c>
      <c r="C1438" s="96" t="s">
        <v>1241</v>
      </c>
      <c r="D1438" s="96" t="s">
        <v>2617</v>
      </c>
      <c r="E1438" s="96" t="s">
        <v>2618</v>
      </c>
      <c r="F1438" s="96" t="s">
        <v>2623</v>
      </c>
      <c r="G1438" s="88">
        <v>0</v>
      </c>
      <c r="H1438" s="91">
        <v>0</v>
      </c>
      <c r="I1438" s="100" t="s">
        <v>2405</v>
      </c>
    </row>
    <row r="1439" spans="1:9">
      <c r="A1439" s="95" t="s">
        <v>2408</v>
      </c>
      <c r="B1439" s="96" t="s">
        <v>1034</v>
      </c>
      <c r="C1439" s="96" t="s">
        <v>1241</v>
      </c>
      <c r="D1439" s="96" t="s">
        <v>2624</v>
      </c>
      <c r="E1439" s="96" t="s">
        <v>2625</v>
      </c>
      <c r="F1439" s="96" t="s">
        <v>1631</v>
      </c>
      <c r="G1439" s="88">
        <v>0</v>
      </c>
      <c r="H1439" s="91">
        <v>0</v>
      </c>
      <c r="I1439" s="100" t="s">
        <v>2405</v>
      </c>
    </row>
    <row r="1440" spans="1:9">
      <c r="A1440" s="95" t="s">
        <v>2408</v>
      </c>
      <c r="B1440" s="96" t="s">
        <v>1034</v>
      </c>
      <c r="C1440" s="96" t="s">
        <v>1241</v>
      </c>
      <c r="D1440" s="96" t="s">
        <v>2626</v>
      </c>
      <c r="E1440" s="96" t="s">
        <v>2627</v>
      </c>
      <c r="F1440" s="96" t="s">
        <v>2628</v>
      </c>
      <c r="G1440" s="88">
        <v>13510392533448</v>
      </c>
      <c r="H1440" s="91">
        <v>13510.392533448001</v>
      </c>
      <c r="I1440" s="100" t="s">
        <v>2405</v>
      </c>
    </row>
    <row r="1441" spans="1:9">
      <c r="A1441" s="95" t="s">
        <v>2408</v>
      </c>
      <c r="B1441" s="96" t="s">
        <v>1034</v>
      </c>
      <c r="C1441" s="96" t="s">
        <v>1241</v>
      </c>
      <c r="D1441" s="96" t="s">
        <v>2629</v>
      </c>
      <c r="E1441" s="96" t="s">
        <v>2630</v>
      </c>
      <c r="F1441" s="96" t="s">
        <v>2631</v>
      </c>
      <c r="G1441" s="88">
        <v>0</v>
      </c>
      <c r="H1441" s="91">
        <v>0</v>
      </c>
      <c r="I1441" s="100" t="s">
        <v>2405</v>
      </c>
    </row>
    <row r="1442" spans="1:9">
      <c r="A1442" s="95" t="s">
        <v>2408</v>
      </c>
      <c r="B1442" s="96" t="s">
        <v>1034</v>
      </c>
      <c r="C1442" s="96" t="s">
        <v>1241</v>
      </c>
      <c r="D1442" s="96" t="s">
        <v>2632</v>
      </c>
      <c r="E1442" s="96" t="s">
        <v>2633</v>
      </c>
      <c r="F1442" s="96" t="s">
        <v>2634</v>
      </c>
      <c r="G1442" s="88">
        <v>4125807584809</v>
      </c>
      <c r="H1442" s="91">
        <v>4125.8075848090002</v>
      </c>
      <c r="I1442" s="100" t="s">
        <v>2405</v>
      </c>
    </row>
    <row r="1443" spans="1:9">
      <c r="A1443" s="95" t="s">
        <v>2408</v>
      </c>
      <c r="B1443" s="96" t="s">
        <v>1034</v>
      </c>
      <c r="C1443" s="96" t="s">
        <v>1241</v>
      </c>
      <c r="D1443" s="96" t="s">
        <v>2635</v>
      </c>
      <c r="E1443" s="96" t="s">
        <v>2636</v>
      </c>
      <c r="F1443" s="96" t="s">
        <v>2637</v>
      </c>
      <c r="G1443" s="88">
        <v>0</v>
      </c>
      <c r="H1443" s="91">
        <v>0</v>
      </c>
      <c r="I1443" s="100" t="s">
        <v>2405</v>
      </c>
    </row>
    <row r="1444" spans="1:9">
      <c r="A1444" s="95" t="s">
        <v>2408</v>
      </c>
      <c r="B1444" s="96" t="s">
        <v>1034</v>
      </c>
      <c r="C1444" s="96" t="s">
        <v>1241</v>
      </c>
      <c r="D1444" s="96" t="s">
        <v>2638</v>
      </c>
      <c r="E1444" s="96" t="s">
        <v>2639</v>
      </c>
      <c r="F1444" s="96" t="s">
        <v>2640</v>
      </c>
      <c r="G1444" s="88">
        <v>0</v>
      </c>
      <c r="H1444" s="91">
        <v>0</v>
      </c>
      <c r="I1444" s="100" t="s">
        <v>2405</v>
      </c>
    </row>
    <row r="1445" spans="1:9">
      <c r="A1445" s="95" t="s">
        <v>2408</v>
      </c>
      <c r="B1445" s="96" t="s">
        <v>1034</v>
      </c>
      <c r="C1445" s="96" t="s">
        <v>1241</v>
      </c>
      <c r="D1445" s="96" t="s">
        <v>2641</v>
      </c>
      <c r="E1445" s="96" t="s">
        <v>2642</v>
      </c>
      <c r="F1445" s="96" t="s">
        <v>2643</v>
      </c>
      <c r="G1445" s="88">
        <v>0</v>
      </c>
      <c r="H1445" s="91">
        <v>0</v>
      </c>
      <c r="I1445" s="100" t="s">
        <v>2405</v>
      </c>
    </row>
    <row r="1446" spans="1:9">
      <c r="A1446" s="95" t="s">
        <v>2408</v>
      </c>
      <c r="B1446" s="96" t="s">
        <v>1034</v>
      </c>
      <c r="C1446" s="96" t="s">
        <v>1241</v>
      </c>
      <c r="D1446" s="96" t="s">
        <v>2644</v>
      </c>
      <c r="E1446" s="96" t="s">
        <v>2645</v>
      </c>
      <c r="F1446" s="96" t="s">
        <v>2646</v>
      </c>
      <c r="G1446" s="88">
        <v>0</v>
      </c>
      <c r="H1446" s="91">
        <v>0</v>
      </c>
      <c r="I1446" s="100" t="s">
        <v>2405</v>
      </c>
    </row>
    <row r="1447" spans="1:9">
      <c r="A1447" s="95" t="s">
        <v>2408</v>
      </c>
      <c r="B1447" s="96" t="s">
        <v>1034</v>
      </c>
      <c r="C1447" s="96" t="s">
        <v>1241</v>
      </c>
      <c r="D1447" s="96" t="s">
        <v>1759</v>
      </c>
      <c r="E1447" s="96" t="s">
        <v>2647</v>
      </c>
      <c r="F1447" s="96" t="s">
        <v>2648</v>
      </c>
      <c r="G1447" s="88">
        <v>0</v>
      </c>
      <c r="H1447" s="91">
        <v>0</v>
      </c>
      <c r="I1447" s="100" t="s">
        <v>2405</v>
      </c>
    </row>
    <row r="1448" spans="1:9">
      <c r="A1448" s="95" t="s">
        <v>2408</v>
      </c>
      <c r="B1448" s="96" t="s">
        <v>1034</v>
      </c>
      <c r="C1448" s="96" t="s">
        <v>1241</v>
      </c>
      <c r="D1448" s="96" t="s">
        <v>2649</v>
      </c>
      <c r="E1448" s="96" t="s">
        <v>2650</v>
      </c>
      <c r="F1448" s="96" t="s">
        <v>2651</v>
      </c>
      <c r="G1448" s="88">
        <v>0</v>
      </c>
      <c r="H1448" s="91">
        <v>0</v>
      </c>
      <c r="I1448" s="100" t="s">
        <v>2405</v>
      </c>
    </row>
    <row r="1449" spans="1:9">
      <c r="A1449" s="95" t="s">
        <v>2408</v>
      </c>
      <c r="B1449" s="96" t="s">
        <v>1034</v>
      </c>
      <c r="C1449" s="96" t="s">
        <v>1241</v>
      </c>
      <c r="D1449" s="96" t="s">
        <v>2652</v>
      </c>
      <c r="E1449" s="96" t="s">
        <v>2653</v>
      </c>
      <c r="F1449" s="96" t="s">
        <v>2654</v>
      </c>
      <c r="G1449" s="88">
        <v>38068749278</v>
      </c>
      <c r="H1449" s="91">
        <v>38.068749277999999</v>
      </c>
      <c r="I1449" s="100" t="s">
        <v>2405</v>
      </c>
    </row>
    <row r="1450" spans="1:9">
      <c r="A1450" s="95" t="s">
        <v>2408</v>
      </c>
      <c r="B1450" s="96" t="s">
        <v>1034</v>
      </c>
      <c r="C1450" s="96" t="s">
        <v>1241</v>
      </c>
      <c r="D1450" s="96" t="s">
        <v>2655</v>
      </c>
      <c r="E1450" s="96" t="s">
        <v>2656</v>
      </c>
      <c r="F1450" s="96" t="s">
        <v>2657</v>
      </c>
      <c r="G1450" s="88">
        <v>0</v>
      </c>
      <c r="H1450" s="91">
        <v>0</v>
      </c>
      <c r="I1450" s="100" t="s">
        <v>2405</v>
      </c>
    </row>
    <row r="1451" spans="1:9">
      <c r="A1451" s="95" t="s">
        <v>2408</v>
      </c>
      <c r="B1451" s="96" t="s">
        <v>1034</v>
      </c>
      <c r="C1451" s="96" t="s">
        <v>1241</v>
      </c>
      <c r="D1451" s="96" t="s">
        <v>2632</v>
      </c>
      <c r="E1451" s="96" t="s">
        <v>2633</v>
      </c>
      <c r="F1451" s="96" t="s">
        <v>2634</v>
      </c>
      <c r="G1451" s="88">
        <v>2591224266</v>
      </c>
      <c r="H1451" s="91">
        <v>2.5912242660000002</v>
      </c>
      <c r="I1451" s="100" t="s">
        <v>2405</v>
      </c>
    </row>
    <row r="1452" spans="1:9">
      <c r="A1452" s="95" t="s">
        <v>2408</v>
      </c>
      <c r="B1452" s="96" t="s">
        <v>1034</v>
      </c>
      <c r="C1452" s="96" t="s">
        <v>1241</v>
      </c>
      <c r="D1452" s="96" t="s">
        <v>2658</v>
      </c>
      <c r="E1452" s="96" t="s">
        <v>2659</v>
      </c>
      <c r="F1452" s="96" t="s">
        <v>2660</v>
      </c>
      <c r="G1452" s="88">
        <v>0</v>
      </c>
      <c r="H1452" s="91">
        <v>0</v>
      </c>
      <c r="I1452" s="100" t="s">
        <v>2405</v>
      </c>
    </row>
    <row r="1453" spans="1:9">
      <c r="A1453" s="95" t="s">
        <v>2408</v>
      </c>
      <c r="B1453" s="96" t="s">
        <v>1034</v>
      </c>
      <c r="C1453" s="96" t="s">
        <v>1241</v>
      </c>
      <c r="D1453" s="96" t="s">
        <v>2661</v>
      </c>
      <c r="E1453" s="96" t="s">
        <v>2662</v>
      </c>
      <c r="F1453" s="96" t="s">
        <v>2663</v>
      </c>
      <c r="G1453" s="88">
        <v>397409476</v>
      </c>
      <c r="H1453" s="91">
        <v>0.39740947599999998</v>
      </c>
      <c r="I1453" s="100" t="s">
        <v>2405</v>
      </c>
    </row>
    <row r="1454" spans="1:9">
      <c r="A1454" s="95" t="s">
        <v>2408</v>
      </c>
      <c r="B1454" s="96" t="s">
        <v>1034</v>
      </c>
      <c r="C1454" s="96" t="s">
        <v>1241</v>
      </c>
      <c r="D1454" s="96" t="s">
        <v>1862</v>
      </c>
      <c r="E1454" s="96" t="s">
        <v>2664</v>
      </c>
      <c r="F1454" s="96" t="s">
        <v>2665</v>
      </c>
      <c r="G1454" s="88">
        <v>0</v>
      </c>
      <c r="H1454" s="91">
        <v>0</v>
      </c>
      <c r="I1454" s="100" t="s">
        <v>2405</v>
      </c>
    </row>
    <row r="1455" spans="1:9">
      <c r="A1455" s="95" t="s">
        <v>2408</v>
      </c>
      <c r="B1455" s="96" t="s">
        <v>1034</v>
      </c>
      <c r="C1455" s="96" t="s">
        <v>1241</v>
      </c>
      <c r="D1455" s="96" t="s">
        <v>2644</v>
      </c>
      <c r="E1455" s="96" t="s">
        <v>2645</v>
      </c>
      <c r="F1455" s="96" t="s">
        <v>2666</v>
      </c>
      <c r="G1455" s="88">
        <v>0</v>
      </c>
      <c r="H1455" s="91">
        <v>0</v>
      </c>
      <c r="I1455" s="100" t="s">
        <v>2405</v>
      </c>
    </row>
    <row r="1456" spans="1:9">
      <c r="A1456" s="95" t="s">
        <v>2408</v>
      </c>
      <c r="B1456" s="96" t="s">
        <v>1034</v>
      </c>
      <c r="C1456" s="96" t="s">
        <v>1241</v>
      </c>
      <c r="D1456" s="96" t="s">
        <v>1868</v>
      </c>
      <c r="E1456" s="96" t="s">
        <v>2667</v>
      </c>
      <c r="F1456" s="96" t="s">
        <v>2668</v>
      </c>
      <c r="G1456" s="88">
        <v>0</v>
      </c>
      <c r="H1456" s="91">
        <v>0</v>
      </c>
      <c r="I1456" s="100" t="s">
        <v>2405</v>
      </c>
    </row>
    <row r="1457" spans="1:9">
      <c r="A1457" s="95" t="s">
        <v>2408</v>
      </c>
      <c r="B1457" s="96" t="s">
        <v>1034</v>
      </c>
      <c r="C1457" s="96" t="s">
        <v>1241</v>
      </c>
      <c r="D1457" s="96" t="s">
        <v>1872</v>
      </c>
      <c r="E1457" s="96" t="s">
        <v>2669</v>
      </c>
      <c r="F1457" s="96" t="s">
        <v>2670</v>
      </c>
      <c r="G1457" s="88">
        <v>0</v>
      </c>
      <c r="H1457" s="91">
        <v>0</v>
      </c>
      <c r="I1457" s="100" t="s">
        <v>2405</v>
      </c>
    </row>
    <row r="1458" spans="1:9">
      <c r="A1458" s="95" t="s">
        <v>2408</v>
      </c>
      <c r="B1458" s="96" t="s">
        <v>1034</v>
      </c>
      <c r="C1458" s="96" t="s">
        <v>1241</v>
      </c>
      <c r="D1458" s="96" t="s">
        <v>2671</v>
      </c>
      <c r="E1458" s="96" t="s">
        <v>2672</v>
      </c>
      <c r="F1458" s="96" t="s">
        <v>2673</v>
      </c>
      <c r="G1458" s="88">
        <v>0</v>
      </c>
      <c r="H1458" s="91">
        <v>0</v>
      </c>
      <c r="I1458" s="100" t="s">
        <v>2405</v>
      </c>
    </row>
    <row r="1459" spans="1:9">
      <c r="A1459" s="95" t="s">
        <v>2408</v>
      </c>
      <c r="B1459" s="96" t="s">
        <v>1034</v>
      </c>
      <c r="C1459" s="96" t="s">
        <v>1241</v>
      </c>
      <c r="D1459" s="96" t="s">
        <v>1882</v>
      </c>
      <c r="E1459" s="96" t="s">
        <v>2674</v>
      </c>
      <c r="F1459" s="96" t="s">
        <v>2675</v>
      </c>
      <c r="G1459" s="88">
        <v>0</v>
      </c>
      <c r="H1459" s="91">
        <v>0</v>
      </c>
      <c r="I1459" s="100" t="s">
        <v>2405</v>
      </c>
    </row>
    <row r="1460" spans="1:9">
      <c r="A1460" s="95" t="s">
        <v>2408</v>
      </c>
      <c r="B1460" s="96" t="s">
        <v>1034</v>
      </c>
      <c r="C1460" s="96" t="s">
        <v>1241</v>
      </c>
      <c r="D1460" s="96" t="s">
        <v>2629</v>
      </c>
      <c r="E1460" s="96" t="s">
        <v>2630</v>
      </c>
      <c r="F1460" s="96" t="s">
        <v>2631</v>
      </c>
      <c r="G1460" s="88">
        <v>0</v>
      </c>
      <c r="H1460" s="91">
        <v>0</v>
      </c>
      <c r="I1460" s="100" t="s">
        <v>2405</v>
      </c>
    </row>
    <row r="1461" spans="1:9">
      <c r="A1461" s="95" t="s">
        <v>2408</v>
      </c>
      <c r="B1461" s="96" t="s">
        <v>1034</v>
      </c>
      <c r="C1461" s="96" t="s">
        <v>1241</v>
      </c>
      <c r="D1461" s="96" t="s">
        <v>2676</v>
      </c>
      <c r="E1461" s="96" t="s">
        <v>2677</v>
      </c>
      <c r="F1461" s="96" t="s">
        <v>2678</v>
      </c>
      <c r="G1461" s="88">
        <v>1073348310000</v>
      </c>
      <c r="H1461" s="91">
        <v>1073.3483100000001</v>
      </c>
      <c r="I1461" s="100" t="s">
        <v>2405</v>
      </c>
    </row>
    <row r="1462" spans="1:9">
      <c r="A1462" s="95" t="s">
        <v>2408</v>
      </c>
      <c r="B1462" s="96" t="s">
        <v>1034</v>
      </c>
      <c r="C1462" s="96" t="s">
        <v>1241</v>
      </c>
      <c r="D1462" s="96" t="s">
        <v>2679</v>
      </c>
      <c r="E1462" s="96" t="s">
        <v>2680</v>
      </c>
      <c r="F1462" s="96" t="s">
        <v>2681</v>
      </c>
      <c r="G1462" s="88">
        <v>0</v>
      </c>
      <c r="H1462" s="91">
        <v>0</v>
      </c>
      <c r="I1462" s="100" t="s">
        <v>2405</v>
      </c>
    </row>
    <row r="1463" spans="1:9">
      <c r="A1463" s="95" t="s">
        <v>2408</v>
      </c>
      <c r="B1463" s="96" t="s">
        <v>1034</v>
      </c>
      <c r="C1463" s="96" t="s">
        <v>1241</v>
      </c>
      <c r="D1463" s="96" t="s">
        <v>2682</v>
      </c>
      <c r="E1463" s="96" t="s">
        <v>2683</v>
      </c>
      <c r="F1463" s="96" t="s">
        <v>2684</v>
      </c>
      <c r="G1463" s="88">
        <v>500486287275</v>
      </c>
      <c r="H1463" s="91">
        <v>500.486287275</v>
      </c>
      <c r="I1463" s="100" t="s">
        <v>2405</v>
      </c>
    </row>
    <row r="1464" spans="1:9">
      <c r="A1464" s="95" t="s">
        <v>2408</v>
      </c>
      <c r="B1464" s="96" t="s">
        <v>1034</v>
      </c>
      <c r="C1464" s="96" t="s">
        <v>1241</v>
      </c>
      <c r="D1464" s="96" t="s">
        <v>2685</v>
      </c>
      <c r="E1464" s="96" t="s">
        <v>2686</v>
      </c>
      <c r="F1464" s="96" t="s">
        <v>2687</v>
      </c>
      <c r="G1464" s="88">
        <v>71439910017</v>
      </c>
      <c r="H1464" s="91">
        <v>71.439910017000003</v>
      </c>
      <c r="I1464" s="100" t="s">
        <v>2405</v>
      </c>
    </row>
    <row r="1465" spans="1:9">
      <c r="A1465" s="95" t="s">
        <v>2408</v>
      </c>
      <c r="B1465" s="96" t="s">
        <v>1034</v>
      </c>
      <c r="C1465" s="96" t="s">
        <v>1241</v>
      </c>
      <c r="D1465" s="96" t="s">
        <v>1810</v>
      </c>
      <c r="E1465" s="96" t="s">
        <v>2688</v>
      </c>
      <c r="F1465" s="96" t="s">
        <v>2689</v>
      </c>
      <c r="G1465" s="88">
        <v>38068749278</v>
      </c>
      <c r="H1465" s="91">
        <v>38.068749277999999</v>
      </c>
      <c r="I1465" s="100" t="s">
        <v>2405</v>
      </c>
    </row>
    <row r="1466" spans="1:9">
      <c r="A1466" s="95" t="s">
        <v>2408</v>
      </c>
      <c r="B1466" s="96" t="s">
        <v>1034</v>
      </c>
      <c r="C1466" s="96" t="s">
        <v>1241</v>
      </c>
      <c r="D1466" s="96" t="s">
        <v>1834</v>
      </c>
      <c r="E1466" s="96" t="s">
        <v>2690</v>
      </c>
      <c r="F1466" s="96" t="s">
        <v>2691</v>
      </c>
      <c r="G1466" s="88">
        <v>0</v>
      </c>
      <c r="H1466" s="91">
        <v>0</v>
      </c>
      <c r="I1466" s="100" t="s">
        <v>2405</v>
      </c>
    </row>
    <row r="1467" spans="1:9">
      <c r="A1467" s="95" t="s">
        <v>2408</v>
      </c>
      <c r="B1467" s="96" t="s">
        <v>1034</v>
      </c>
      <c r="C1467" s="96" t="s">
        <v>1241</v>
      </c>
      <c r="D1467" s="96" t="s">
        <v>2390</v>
      </c>
      <c r="E1467" s="96" t="s">
        <v>2391</v>
      </c>
      <c r="F1467" s="96" t="s">
        <v>2692</v>
      </c>
      <c r="G1467" s="88">
        <v>271809248052</v>
      </c>
      <c r="H1467" s="91">
        <v>271.80924805199999</v>
      </c>
      <c r="I1467" s="100" t="s">
        <v>2405</v>
      </c>
    </row>
    <row r="1468" spans="1:9">
      <c r="A1468" s="95" t="s">
        <v>2408</v>
      </c>
      <c r="B1468" s="96" t="s">
        <v>1034</v>
      </c>
      <c r="C1468" s="96" t="s">
        <v>1241</v>
      </c>
      <c r="D1468" s="96" t="s">
        <v>2693</v>
      </c>
      <c r="E1468" s="96" t="s">
        <v>2694</v>
      </c>
      <c r="F1468" s="96" t="s">
        <v>2695</v>
      </c>
      <c r="G1468" s="88">
        <v>0</v>
      </c>
      <c r="H1468" s="91">
        <v>0</v>
      </c>
      <c r="I1468" s="100" t="s">
        <v>2405</v>
      </c>
    </row>
    <row r="1469" spans="1:9">
      <c r="A1469" s="95" t="s">
        <v>2409</v>
      </c>
      <c r="B1469" s="96" t="s">
        <v>2333</v>
      </c>
      <c r="C1469" s="96" t="s">
        <v>1241</v>
      </c>
      <c r="D1469" s="96" t="s">
        <v>68</v>
      </c>
      <c r="E1469" s="96" t="s">
        <v>2411</v>
      </c>
      <c r="F1469" s="96" t="s">
        <v>2412</v>
      </c>
      <c r="G1469" s="88">
        <v>36234495000000</v>
      </c>
      <c r="H1469" s="91">
        <v>36234.495000000003</v>
      </c>
      <c r="I1469" s="100" t="s">
        <v>2337</v>
      </c>
    </row>
    <row r="1470" spans="1:9">
      <c r="A1470" s="95" t="s">
        <v>2409</v>
      </c>
      <c r="B1470" s="96" t="s">
        <v>2333</v>
      </c>
      <c r="C1470" s="96" t="s">
        <v>1241</v>
      </c>
      <c r="D1470" s="96" t="s">
        <v>58</v>
      </c>
      <c r="E1470" s="96" t="s">
        <v>2413</v>
      </c>
      <c r="F1470" s="96" t="s">
        <v>2414</v>
      </c>
      <c r="G1470" s="88">
        <v>12101850000000</v>
      </c>
      <c r="H1470" s="91">
        <v>12101.85</v>
      </c>
      <c r="I1470" s="100" t="s">
        <v>2337</v>
      </c>
    </row>
    <row r="1471" spans="1:9">
      <c r="A1471" s="95" t="s">
        <v>2409</v>
      </c>
      <c r="B1471" s="96" t="s">
        <v>2333</v>
      </c>
      <c r="C1471" s="96" t="s">
        <v>1241</v>
      </c>
      <c r="D1471" s="96" t="s">
        <v>1699</v>
      </c>
      <c r="E1471" s="96" t="s">
        <v>2415</v>
      </c>
      <c r="F1471" s="96" t="s">
        <v>2416</v>
      </c>
      <c r="G1471" s="88">
        <v>1013866000000</v>
      </c>
      <c r="H1471" s="91">
        <v>1013.866</v>
      </c>
      <c r="I1471" s="100" t="s">
        <v>2337</v>
      </c>
    </row>
    <row r="1472" spans="1:9">
      <c r="A1472" s="95" t="s">
        <v>2409</v>
      </c>
      <c r="B1472" s="96" t="s">
        <v>2333</v>
      </c>
      <c r="C1472" s="96" t="s">
        <v>1241</v>
      </c>
      <c r="D1472" s="96" t="s">
        <v>1701</v>
      </c>
      <c r="E1472" s="96" t="s">
        <v>2417</v>
      </c>
      <c r="F1472" s="96" t="s">
        <v>2418</v>
      </c>
      <c r="G1472" s="88">
        <v>11087984000000</v>
      </c>
      <c r="H1472" s="91">
        <v>11087.984</v>
      </c>
      <c r="I1472" s="100" t="s">
        <v>2337</v>
      </c>
    </row>
    <row r="1473" spans="1:9">
      <c r="A1473" s="95" t="s">
        <v>2409</v>
      </c>
      <c r="B1473" s="96" t="s">
        <v>2333</v>
      </c>
      <c r="C1473" s="96" t="s">
        <v>1241</v>
      </c>
      <c r="D1473" s="96" t="s">
        <v>2053</v>
      </c>
      <c r="E1473" s="96" t="s">
        <v>2419</v>
      </c>
      <c r="F1473" s="96" t="s">
        <v>2420</v>
      </c>
      <c r="G1473" s="88">
        <v>5379753000000</v>
      </c>
      <c r="H1473" s="91">
        <v>5379.7529999999997</v>
      </c>
      <c r="I1473" s="100" t="s">
        <v>2337</v>
      </c>
    </row>
    <row r="1474" spans="1:9">
      <c r="A1474" s="95" t="s">
        <v>2409</v>
      </c>
      <c r="B1474" s="96" t="s">
        <v>2333</v>
      </c>
      <c r="C1474" s="96" t="s">
        <v>1241</v>
      </c>
      <c r="D1474" s="96" t="s">
        <v>2053</v>
      </c>
      <c r="E1474" s="96" t="s">
        <v>2419</v>
      </c>
      <c r="F1474" s="96" t="s">
        <v>2420</v>
      </c>
      <c r="G1474" s="88">
        <v>3824067000000</v>
      </c>
      <c r="H1474" s="91">
        <v>3824.067</v>
      </c>
      <c r="I1474" s="100" t="s">
        <v>2337</v>
      </c>
    </row>
    <row r="1475" spans="1:9">
      <c r="A1475" s="95" t="s">
        <v>2409</v>
      </c>
      <c r="B1475" s="96" t="s">
        <v>2333</v>
      </c>
      <c r="C1475" s="96" t="s">
        <v>1241</v>
      </c>
      <c r="D1475" s="96" t="s">
        <v>2421</v>
      </c>
      <c r="E1475" s="96" t="s">
        <v>2422</v>
      </c>
      <c r="F1475" s="96" t="s">
        <v>2423</v>
      </c>
      <c r="G1475" s="88">
        <v>0</v>
      </c>
      <c r="H1475" s="91">
        <v>0</v>
      </c>
      <c r="I1475" s="100" t="s">
        <v>2337</v>
      </c>
    </row>
    <row r="1476" spans="1:9">
      <c r="A1476" s="95" t="s">
        <v>2409</v>
      </c>
      <c r="B1476" s="96" t="s">
        <v>2333</v>
      </c>
      <c r="C1476" s="96" t="s">
        <v>1241</v>
      </c>
      <c r="D1476" s="96" t="s">
        <v>2424</v>
      </c>
      <c r="E1476" s="96" t="s">
        <v>2425</v>
      </c>
      <c r="F1476" s="96" t="s">
        <v>2426</v>
      </c>
      <c r="G1476" s="88">
        <v>5639277000000</v>
      </c>
      <c r="H1476" s="91">
        <v>5639.277</v>
      </c>
      <c r="I1476" s="100" t="s">
        <v>2337</v>
      </c>
    </row>
    <row r="1477" spans="1:9">
      <c r="A1477" s="95" t="s">
        <v>2409</v>
      </c>
      <c r="B1477" s="96" t="s">
        <v>2333</v>
      </c>
      <c r="C1477" s="96" t="s">
        <v>1241</v>
      </c>
      <c r="D1477" s="96" t="s">
        <v>2427</v>
      </c>
      <c r="E1477" s="96" t="s">
        <v>2428</v>
      </c>
      <c r="F1477" s="96" t="s">
        <v>2429</v>
      </c>
      <c r="G1477" s="88">
        <v>1274262000000</v>
      </c>
      <c r="H1477" s="91">
        <v>1274.2619999999999</v>
      </c>
      <c r="I1477" s="100" t="s">
        <v>2337</v>
      </c>
    </row>
    <row r="1478" spans="1:9">
      <c r="A1478" s="95" t="s">
        <v>2409</v>
      </c>
      <c r="B1478" s="96" t="s">
        <v>2333</v>
      </c>
      <c r="C1478" s="96" t="s">
        <v>1241</v>
      </c>
      <c r="D1478" s="96" t="s">
        <v>2430</v>
      </c>
      <c r="E1478" s="96" t="s">
        <v>2431</v>
      </c>
      <c r="F1478" s="96" t="s">
        <v>2432</v>
      </c>
      <c r="G1478" s="88">
        <v>542864000000</v>
      </c>
      <c r="H1478" s="91">
        <v>542.86400000000003</v>
      </c>
      <c r="I1478" s="100" t="s">
        <v>2337</v>
      </c>
    </row>
    <row r="1479" spans="1:9">
      <c r="A1479" s="95" t="s">
        <v>2409</v>
      </c>
      <c r="B1479" s="96" t="s">
        <v>2333</v>
      </c>
      <c r="C1479" s="96" t="s">
        <v>1241</v>
      </c>
      <c r="D1479" s="96" t="s">
        <v>2433</v>
      </c>
      <c r="E1479" s="96" t="s">
        <v>2434</v>
      </c>
      <c r="F1479" s="96" t="s">
        <v>2435</v>
      </c>
      <c r="G1479" s="88">
        <v>0</v>
      </c>
      <c r="H1479" s="91">
        <v>0</v>
      </c>
      <c r="I1479" s="100" t="s">
        <v>2337</v>
      </c>
    </row>
    <row r="1480" spans="1:9">
      <c r="A1480" s="95" t="s">
        <v>2409</v>
      </c>
      <c r="B1480" s="96" t="s">
        <v>2333</v>
      </c>
      <c r="C1480" s="96" t="s">
        <v>1241</v>
      </c>
      <c r="D1480" s="96" t="s">
        <v>2436</v>
      </c>
      <c r="E1480" s="96" t="s">
        <v>2437</v>
      </c>
      <c r="F1480" s="96" t="s">
        <v>2438</v>
      </c>
      <c r="G1480" s="88">
        <v>0</v>
      </c>
      <c r="H1480" s="91">
        <v>0</v>
      </c>
      <c r="I1480" s="100" t="s">
        <v>2337</v>
      </c>
    </row>
    <row r="1481" spans="1:9">
      <c r="A1481" s="95" t="s">
        <v>2409</v>
      </c>
      <c r="B1481" s="96" t="s">
        <v>2333</v>
      </c>
      <c r="C1481" s="96" t="s">
        <v>1241</v>
      </c>
      <c r="D1481" s="96" t="s">
        <v>2439</v>
      </c>
      <c r="E1481" s="96" t="s">
        <v>2440</v>
      </c>
      <c r="F1481" s="96" t="s">
        <v>2441</v>
      </c>
      <c r="G1481" s="88">
        <v>3771567000000</v>
      </c>
      <c r="H1481" s="91">
        <v>3771.567</v>
      </c>
      <c r="I1481" s="100" t="s">
        <v>2337</v>
      </c>
    </row>
    <row r="1482" spans="1:9">
      <c r="A1482" s="95" t="s">
        <v>2409</v>
      </c>
      <c r="B1482" s="96" t="s">
        <v>2333</v>
      </c>
      <c r="C1482" s="96" t="s">
        <v>1241</v>
      </c>
      <c r="D1482" s="96" t="s">
        <v>2442</v>
      </c>
      <c r="E1482" s="96" t="s">
        <v>2443</v>
      </c>
      <c r="F1482" s="96" t="s">
        <v>2444</v>
      </c>
      <c r="G1482" s="88">
        <v>-85544000000</v>
      </c>
      <c r="H1482" s="91">
        <v>-85.543999999999997</v>
      </c>
      <c r="I1482" s="100" t="s">
        <v>2337</v>
      </c>
    </row>
    <row r="1483" spans="1:9">
      <c r="A1483" s="95" t="s">
        <v>2409</v>
      </c>
      <c r="B1483" s="96" t="s">
        <v>2333</v>
      </c>
      <c r="C1483" s="96" t="s">
        <v>1241</v>
      </c>
      <c r="D1483" s="96" t="s">
        <v>2445</v>
      </c>
      <c r="E1483" s="96" t="s">
        <v>2446</v>
      </c>
      <c r="F1483" s="96" t="s">
        <v>2447</v>
      </c>
      <c r="G1483" s="88">
        <v>11262216000000</v>
      </c>
      <c r="H1483" s="91">
        <v>11262.216</v>
      </c>
      <c r="I1483" s="100" t="s">
        <v>2337</v>
      </c>
    </row>
    <row r="1484" spans="1:9">
      <c r="A1484" s="95" t="s">
        <v>2409</v>
      </c>
      <c r="B1484" s="96" t="s">
        <v>2333</v>
      </c>
      <c r="C1484" s="96" t="s">
        <v>1241</v>
      </c>
      <c r="D1484" s="96" t="s">
        <v>64</v>
      </c>
      <c r="E1484" s="96" t="s">
        <v>2448</v>
      </c>
      <c r="F1484" s="96" t="s">
        <v>2449</v>
      </c>
      <c r="G1484" s="88">
        <v>11415704000000</v>
      </c>
      <c r="H1484" s="91">
        <v>11415.704</v>
      </c>
      <c r="I1484" s="100" t="s">
        <v>2337</v>
      </c>
    </row>
    <row r="1485" spans="1:9">
      <c r="A1485" s="95" t="s">
        <v>2409</v>
      </c>
      <c r="B1485" s="96" t="s">
        <v>2333</v>
      </c>
      <c r="C1485" s="96" t="s">
        <v>1241</v>
      </c>
      <c r="D1485" s="96" t="s">
        <v>2450</v>
      </c>
      <c r="E1485" s="96" t="s">
        <v>2451</v>
      </c>
      <c r="F1485" s="96" t="s">
        <v>2452</v>
      </c>
      <c r="G1485" s="88">
        <v>-153488000000</v>
      </c>
      <c r="H1485" s="91">
        <v>-153.488</v>
      </c>
      <c r="I1485" s="100" t="s">
        <v>2337</v>
      </c>
    </row>
    <row r="1486" spans="1:9">
      <c r="A1486" s="95" t="s">
        <v>2409</v>
      </c>
      <c r="B1486" s="96" t="s">
        <v>2333</v>
      </c>
      <c r="C1486" s="96" t="s">
        <v>1241</v>
      </c>
      <c r="D1486" s="96" t="s">
        <v>2059</v>
      </c>
      <c r="E1486" s="96" t="s">
        <v>2453</v>
      </c>
      <c r="F1486" s="96" t="s">
        <v>2454</v>
      </c>
      <c r="G1486" s="88">
        <v>1851399000000</v>
      </c>
      <c r="H1486" s="91">
        <v>1851.3989999999999</v>
      </c>
      <c r="I1486" s="100" t="s">
        <v>2337</v>
      </c>
    </row>
    <row r="1487" spans="1:9">
      <c r="A1487" s="95" t="s">
        <v>2409</v>
      </c>
      <c r="B1487" s="96" t="s">
        <v>2333</v>
      </c>
      <c r="C1487" s="96" t="s">
        <v>1241</v>
      </c>
      <c r="D1487" s="96" t="s">
        <v>2455</v>
      </c>
      <c r="E1487" s="96" t="s">
        <v>2456</v>
      </c>
      <c r="F1487" s="96" t="s">
        <v>2457</v>
      </c>
      <c r="G1487" s="88">
        <v>378635000000</v>
      </c>
      <c r="H1487" s="91">
        <v>378.63499999999999</v>
      </c>
      <c r="I1487" s="100" t="s">
        <v>2337</v>
      </c>
    </row>
    <row r="1488" spans="1:9">
      <c r="A1488" s="95" t="s">
        <v>2409</v>
      </c>
      <c r="B1488" s="96" t="s">
        <v>2333</v>
      </c>
      <c r="C1488" s="96" t="s">
        <v>1241</v>
      </c>
      <c r="D1488" s="96" t="s">
        <v>2458</v>
      </c>
      <c r="E1488" s="96" t="s">
        <v>2459</v>
      </c>
      <c r="F1488" s="96" t="s">
        <v>2460</v>
      </c>
      <c r="G1488" s="88">
        <v>1363276000000</v>
      </c>
      <c r="H1488" s="91">
        <v>1363.2760000000001</v>
      </c>
      <c r="I1488" s="100" t="s">
        <v>2337</v>
      </c>
    </row>
    <row r="1489" spans="1:9">
      <c r="A1489" s="95" t="s">
        <v>2409</v>
      </c>
      <c r="B1489" s="96" t="s">
        <v>2333</v>
      </c>
      <c r="C1489" s="96" t="s">
        <v>1241</v>
      </c>
      <c r="D1489" s="96" t="s">
        <v>2461</v>
      </c>
      <c r="E1489" s="96" t="s">
        <v>2462</v>
      </c>
      <c r="F1489" s="96" t="s">
        <v>2463</v>
      </c>
      <c r="G1489" s="88">
        <v>109488000000</v>
      </c>
      <c r="H1489" s="91">
        <v>109.488</v>
      </c>
      <c r="I1489" s="100" t="s">
        <v>2337</v>
      </c>
    </row>
    <row r="1490" spans="1:9">
      <c r="A1490" s="95" t="s">
        <v>2409</v>
      </c>
      <c r="B1490" s="96" t="s">
        <v>2333</v>
      </c>
      <c r="C1490" s="96" t="s">
        <v>1241</v>
      </c>
      <c r="D1490" s="96" t="s">
        <v>2059</v>
      </c>
      <c r="E1490" s="96" t="s">
        <v>2453</v>
      </c>
      <c r="F1490" s="96" t="s">
        <v>2454</v>
      </c>
      <c r="G1490" s="88">
        <v>0</v>
      </c>
      <c r="H1490" s="91">
        <v>0</v>
      </c>
      <c r="I1490" s="100" t="s">
        <v>2337</v>
      </c>
    </row>
    <row r="1491" spans="1:9">
      <c r="A1491" s="95" t="s">
        <v>2409</v>
      </c>
      <c r="B1491" s="96" t="s">
        <v>2333</v>
      </c>
      <c r="C1491" s="96" t="s">
        <v>1241</v>
      </c>
      <c r="D1491" s="96" t="s">
        <v>1753</v>
      </c>
      <c r="E1491" s="96" t="s">
        <v>2464</v>
      </c>
      <c r="F1491" s="96" t="s">
        <v>2465</v>
      </c>
      <c r="G1491" s="88">
        <v>92728676000000</v>
      </c>
      <c r="H1491" s="91">
        <v>92728.676000000007</v>
      </c>
      <c r="I1491" s="100" t="s">
        <v>2337</v>
      </c>
    </row>
    <row r="1492" spans="1:9">
      <c r="A1492" s="95" t="s">
        <v>2409</v>
      </c>
      <c r="B1492" s="96" t="s">
        <v>2333</v>
      </c>
      <c r="C1492" s="96" t="s">
        <v>1241</v>
      </c>
      <c r="D1492" s="96" t="s">
        <v>1757</v>
      </c>
      <c r="E1492" s="96" t="s">
        <v>2466</v>
      </c>
      <c r="F1492" s="96" t="s">
        <v>2467</v>
      </c>
      <c r="G1492" s="88">
        <v>4949625000000</v>
      </c>
      <c r="H1492" s="91">
        <v>4949.625</v>
      </c>
      <c r="I1492" s="100" t="s">
        <v>2337</v>
      </c>
    </row>
    <row r="1493" spans="1:9">
      <c r="A1493" s="95" t="s">
        <v>2409</v>
      </c>
      <c r="B1493" s="96" t="s">
        <v>2333</v>
      </c>
      <c r="C1493" s="96" t="s">
        <v>1241</v>
      </c>
      <c r="D1493" s="96" t="s">
        <v>2468</v>
      </c>
      <c r="E1493" s="96" t="s">
        <v>2469</v>
      </c>
      <c r="F1493" s="96" t="s">
        <v>2470</v>
      </c>
      <c r="G1493" s="88">
        <v>0</v>
      </c>
      <c r="H1493" s="91">
        <v>0</v>
      </c>
      <c r="I1493" s="100" t="s">
        <v>2337</v>
      </c>
    </row>
    <row r="1494" spans="1:9">
      <c r="A1494" s="95" t="s">
        <v>2409</v>
      </c>
      <c r="B1494" s="96" t="s">
        <v>2333</v>
      </c>
      <c r="C1494" s="96" t="s">
        <v>1241</v>
      </c>
      <c r="D1494" s="96" t="s">
        <v>2471</v>
      </c>
      <c r="E1494" s="96" t="s">
        <v>2472</v>
      </c>
      <c r="F1494" s="96" t="s">
        <v>2473</v>
      </c>
      <c r="G1494" s="88">
        <v>0</v>
      </c>
      <c r="H1494" s="91">
        <v>0</v>
      </c>
      <c r="I1494" s="100" t="s">
        <v>2337</v>
      </c>
    </row>
    <row r="1495" spans="1:9">
      <c r="A1495" s="95" t="s">
        <v>2409</v>
      </c>
      <c r="B1495" s="96" t="s">
        <v>2333</v>
      </c>
      <c r="C1495" s="96" t="s">
        <v>1241</v>
      </c>
      <c r="D1495" s="96" t="s">
        <v>1767</v>
      </c>
      <c r="E1495" s="96" t="s">
        <v>2474</v>
      </c>
      <c r="F1495" s="96" t="s">
        <v>2475</v>
      </c>
      <c r="G1495" s="88">
        <v>4949625000000</v>
      </c>
      <c r="H1495" s="91">
        <v>4949.625</v>
      </c>
      <c r="I1495" s="100" t="s">
        <v>2337</v>
      </c>
    </row>
    <row r="1496" spans="1:9">
      <c r="A1496" s="95" t="s">
        <v>2409</v>
      </c>
      <c r="B1496" s="96" t="s">
        <v>2333</v>
      </c>
      <c r="C1496" s="96" t="s">
        <v>1241</v>
      </c>
      <c r="D1496" s="96" t="s">
        <v>2476</v>
      </c>
      <c r="E1496" s="96" t="s">
        <v>2477</v>
      </c>
      <c r="F1496" s="96" t="s">
        <v>2478</v>
      </c>
      <c r="G1496" s="88">
        <v>0</v>
      </c>
      <c r="H1496" s="91">
        <v>0</v>
      </c>
      <c r="I1496" s="100" t="s">
        <v>2337</v>
      </c>
    </row>
    <row r="1497" spans="1:9">
      <c r="A1497" s="95" t="s">
        <v>2409</v>
      </c>
      <c r="B1497" s="96" t="s">
        <v>2333</v>
      </c>
      <c r="C1497" s="96" t="s">
        <v>1241</v>
      </c>
      <c r="D1497" s="96" t="s">
        <v>70</v>
      </c>
      <c r="E1497" s="96" t="s">
        <v>2061</v>
      </c>
      <c r="F1497" s="96" t="s">
        <v>2479</v>
      </c>
      <c r="G1497" s="88">
        <v>35484220000000</v>
      </c>
      <c r="H1497" s="91">
        <v>35484.22</v>
      </c>
      <c r="I1497" s="100" t="s">
        <v>2337</v>
      </c>
    </row>
    <row r="1498" spans="1:9">
      <c r="A1498" s="95" t="s">
        <v>2409</v>
      </c>
      <c r="B1498" s="96" t="s">
        <v>2333</v>
      </c>
      <c r="C1498" s="96" t="s">
        <v>1241</v>
      </c>
      <c r="D1498" s="96" t="s">
        <v>1771</v>
      </c>
      <c r="E1498" s="96" t="s">
        <v>2480</v>
      </c>
      <c r="F1498" s="96" t="s">
        <v>2481</v>
      </c>
      <c r="G1498" s="88">
        <v>26392688000000</v>
      </c>
      <c r="H1498" s="91">
        <v>26392.687999999998</v>
      </c>
      <c r="I1498" s="100" t="s">
        <v>2337</v>
      </c>
    </row>
    <row r="1499" spans="1:9">
      <c r="A1499" s="95" t="s">
        <v>2409</v>
      </c>
      <c r="B1499" s="96" t="s">
        <v>2333</v>
      </c>
      <c r="C1499" s="96" t="s">
        <v>1241</v>
      </c>
      <c r="D1499" s="96" t="s">
        <v>1773</v>
      </c>
      <c r="E1499" s="96" t="s">
        <v>2482</v>
      </c>
      <c r="F1499" s="96" t="s">
        <v>2483</v>
      </c>
      <c r="G1499" s="88">
        <v>48856509000000</v>
      </c>
      <c r="H1499" s="91">
        <v>48856.508999999998</v>
      </c>
      <c r="I1499" s="100" t="s">
        <v>2337</v>
      </c>
    </row>
    <row r="1500" spans="1:9">
      <c r="A1500" s="95" t="s">
        <v>2409</v>
      </c>
      <c r="B1500" s="96" t="s">
        <v>2333</v>
      </c>
      <c r="C1500" s="96" t="s">
        <v>1241</v>
      </c>
      <c r="D1500" s="96" t="s">
        <v>1775</v>
      </c>
      <c r="E1500" s="96" t="s">
        <v>2484</v>
      </c>
      <c r="F1500" s="96" t="s">
        <v>2485</v>
      </c>
      <c r="G1500" s="88">
        <v>-22463821000000</v>
      </c>
      <c r="H1500" s="91">
        <v>-22463.821</v>
      </c>
      <c r="I1500" s="100" t="s">
        <v>2337</v>
      </c>
    </row>
    <row r="1501" spans="1:9">
      <c r="A1501" s="95" t="s">
        <v>2409</v>
      </c>
      <c r="B1501" s="96" t="s">
        <v>2333</v>
      </c>
      <c r="C1501" s="96" t="s">
        <v>1241</v>
      </c>
      <c r="D1501" s="96" t="s">
        <v>2486</v>
      </c>
      <c r="E1501" s="96" t="s">
        <v>2487</v>
      </c>
      <c r="F1501" s="96" t="s">
        <v>2488</v>
      </c>
      <c r="G1501" s="88">
        <v>204139000000</v>
      </c>
      <c r="H1501" s="91">
        <v>204.13900000000001</v>
      </c>
      <c r="I1501" s="100" t="s">
        <v>2337</v>
      </c>
    </row>
    <row r="1502" spans="1:9">
      <c r="A1502" s="95" t="s">
        <v>2409</v>
      </c>
      <c r="B1502" s="96" t="s">
        <v>2333</v>
      </c>
      <c r="C1502" s="96" t="s">
        <v>1241</v>
      </c>
      <c r="D1502" s="96" t="s">
        <v>1773</v>
      </c>
      <c r="E1502" s="96" t="s">
        <v>2482</v>
      </c>
      <c r="F1502" s="96" t="s">
        <v>2489</v>
      </c>
      <c r="G1502" s="88">
        <v>345223000000</v>
      </c>
      <c r="H1502" s="91">
        <v>345.22300000000001</v>
      </c>
      <c r="I1502" s="100" t="s">
        <v>2337</v>
      </c>
    </row>
    <row r="1503" spans="1:9">
      <c r="A1503" s="95" t="s">
        <v>2409</v>
      </c>
      <c r="B1503" s="96" t="s">
        <v>2333</v>
      </c>
      <c r="C1503" s="96" t="s">
        <v>1241</v>
      </c>
      <c r="D1503" s="96" t="s">
        <v>1775</v>
      </c>
      <c r="E1503" s="96" t="s">
        <v>2484</v>
      </c>
      <c r="F1503" s="96" t="s">
        <v>2490</v>
      </c>
      <c r="G1503" s="88">
        <v>-141084000000</v>
      </c>
      <c r="H1503" s="91">
        <v>-141.084</v>
      </c>
      <c r="I1503" s="100" t="s">
        <v>2337</v>
      </c>
    </row>
    <row r="1504" spans="1:9">
      <c r="A1504" s="95" t="s">
        <v>2409</v>
      </c>
      <c r="B1504" s="96" t="s">
        <v>2333</v>
      </c>
      <c r="C1504" s="96" t="s">
        <v>1241</v>
      </c>
      <c r="D1504" s="96" t="s">
        <v>1781</v>
      </c>
      <c r="E1504" s="96" t="s">
        <v>2491</v>
      </c>
      <c r="F1504" s="96" t="s">
        <v>2492</v>
      </c>
      <c r="G1504" s="88">
        <v>8887393000000</v>
      </c>
      <c r="H1504" s="91">
        <v>8887.393</v>
      </c>
      <c r="I1504" s="100" t="s">
        <v>2337</v>
      </c>
    </row>
    <row r="1505" spans="1:9">
      <c r="A1505" s="95" t="s">
        <v>2409</v>
      </c>
      <c r="B1505" s="96" t="s">
        <v>2333</v>
      </c>
      <c r="C1505" s="96" t="s">
        <v>1241</v>
      </c>
      <c r="D1505" s="96" t="s">
        <v>1773</v>
      </c>
      <c r="E1505" s="96" t="s">
        <v>2482</v>
      </c>
      <c r="F1505" s="96" t="s">
        <v>2493</v>
      </c>
      <c r="G1505" s="88">
        <v>13373916000000</v>
      </c>
      <c r="H1505" s="91">
        <v>13373.915999999999</v>
      </c>
      <c r="I1505" s="100" t="s">
        <v>2337</v>
      </c>
    </row>
    <row r="1506" spans="1:9">
      <c r="A1506" s="95" t="s">
        <v>2409</v>
      </c>
      <c r="B1506" s="96" t="s">
        <v>2333</v>
      </c>
      <c r="C1506" s="96" t="s">
        <v>1241</v>
      </c>
      <c r="D1506" s="96" t="s">
        <v>1775</v>
      </c>
      <c r="E1506" s="96" t="s">
        <v>2484</v>
      </c>
      <c r="F1506" s="96" t="s">
        <v>2494</v>
      </c>
      <c r="G1506" s="88">
        <v>-4486523000000</v>
      </c>
      <c r="H1506" s="91">
        <v>-4486.5230000000001</v>
      </c>
      <c r="I1506" s="100" t="s">
        <v>2337</v>
      </c>
    </row>
    <row r="1507" spans="1:9">
      <c r="A1507" s="95" t="s">
        <v>2409</v>
      </c>
      <c r="B1507" s="96" t="s">
        <v>2333</v>
      </c>
      <c r="C1507" s="96" t="s">
        <v>1241</v>
      </c>
      <c r="D1507" s="96" t="s">
        <v>2495</v>
      </c>
      <c r="E1507" s="96" t="s">
        <v>2496</v>
      </c>
      <c r="F1507" s="96" t="s">
        <v>2497</v>
      </c>
      <c r="G1507" s="88">
        <v>0</v>
      </c>
      <c r="H1507" s="91">
        <v>0</v>
      </c>
      <c r="I1507" s="100" t="s">
        <v>2337</v>
      </c>
    </row>
    <row r="1508" spans="1:9">
      <c r="A1508" s="95" t="s">
        <v>2409</v>
      </c>
      <c r="B1508" s="96" t="s">
        <v>2333</v>
      </c>
      <c r="C1508" s="96" t="s">
        <v>1241</v>
      </c>
      <c r="D1508" s="96" t="s">
        <v>1802</v>
      </c>
      <c r="E1508" s="96" t="s">
        <v>2498</v>
      </c>
      <c r="F1508" s="96" t="s">
        <v>2499</v>
      </c>
      <c r="G1508" s="88">
        <v>0</v>
      </c>
      <c r="H1508" s="91">
        <v>0</v>
      </c>
      <c r="I1508" s="100" t="s">
        <v>2337</v>
      </c>
    </row>
    <row r="1509" spans="1:9">
      <c r="A1509" s="95" t="s">
        <v>2409</v>
      </c>
      <c r="B1509" s="96" t="s">
        <v>2333</v>
      </c>
      <c r="C1509" s="96" t="s">
        <v>1241</v>
      </c>
      <c r="D1509" s="96" t="s">
        <v>1773</v>
      </c>
      <c r="E1509" s="96" t="s">
        <v>2482</v>
      </c>
      <c r="F1509" s="96" t="s">
        <v>2500</v>
      </c>
      <c r="G1509" s="88">
        <v>0</v>
      </c>
      <c r="H1509" s="91">
        <v>0</v>
      </c>
      <c r="I1509" s="100" t="s">
        <v>2337</v>
      </c>
    </row>
    <row r="1510" spans="1:9">
      <c r="A1510" s="95" t="s">
        <v>2409</v>
      </c>
      <c r="B1510" s="96" t="s">
        <v>2333</v>
      </c>
      <c r="C1510" s="96" t="s">
        <v>1241</v>
      </c>
      <c r="D1510" s="96" t="s">
        <v>1775</v>
      </c>
      <c r="E1510" s="96" t="s">
        <v>2484</v>
      </c>
      <c r="F1510" s="96" t="s">
        <v>2501</v>
      </c>
      <c r="G1510" s="88">
        <v>0</v>
      </c>
      <c r="H1510" s="91">
        <v>0</v>
      </c>
      <c r="I1510" s="100" t="s">
        <v>2337</v>
      </c>
    </row>
    <row r="1511" spans="1:9">
      <c r="A1511" s="95" t="s">
        <v>2409</v>
      </c>
      <c r="B1511" s="96" t="s">
        <v>2333</v>
      </c>
      <c r="C1511" s="96" t="s">
        <v>1241</v>
      </c>
      <c r="D1511" s="96" t="s">
        <v>2063</v>
      </c>
      <c r="E1511" s="96" t="s">
        <v>2502</v>
      </c>
      <c r="F1511" s="96" t="s">
        <v>2503</v>
      </c>
      <c r="G1511" s="88">
        <v>39473083000000</v>
      </c>
      <c r="H1511" s="91">
        <v>39473.082999999999</v>
      </c>
      <c r="I1511" s="100" t="s">
        <v>2337</v>
      </c>
    </row>
    <row r="1512" spans="1:9">
      <c r="A1512" s="95" t="s">
        <v>2409</v>
      </c>
      <c r="B1512" s="96" t="s">
        <v>2333</v>
      </c>
      <c r="C1512" s="96" t="s">
        <v>1241</v>
      </c>
      <c r="D1512" s="96" t="s">
        <v>1812</v>
      </c>
      <c r="E1512" s="96" t="s">
        <v>2504</v>
      </c>
      <c r="F1512" s="96" t="s">
        <v>2505</v>
      </c>
      <c r="G1512" s="88">
        <v>0</v>
      </c>
      <c r="H1512" s="91">
        <v>0</v>
      </c>
      <c r="I1512" s="100" t="s">
        <v>2337</v>
      </c>
    </row>
    <row r="1513" spans="1:9">
      <c r="A1513" s="95" t="s">
        <v>2409</v>
      </c>
      <c r="B1513" s="96" t="s">
        <v>2333</v>
      </c>
      <c r="C1513" s="96" t="s">
        <v>1241</v>
      </c>
      <c r="D1513" s="96" t="s">
        <v>2506</v>
      </c>
      <c r="E1513" s="96" t="s">
        <v>2507</v>
      </c>
      <c r="F1513" s="96" t="s">
        <v>2508</v>
      </c>
      <c r="G1513" s="88">
        <v>37967233000000</v>
      </c>
      <c r="H1513" s="91">
        <v>37967.233</v>
      </c>
      <c r="I1513" s="100" t="s">
        <v>2337</v>
      </c>
    </row>
    <row r="1514" spans="1:9">
      <c r="A1514" s="95" t="s">
        <v>2409</v>
      </c>
      <c r="B1514" s="96" t="s">
        <v>2333</v>
      </c>
      <c r="C1514" s="96" t="s">
        <v>1241</v>
      </c>
      <c r="D1514" s="96" t="s">
        <v>1824</v>
      </c>
      <c r="E1514" s="96" t="s">
        <v>2509</v>
      </c>
      <c r="F1514" s="96" t="s">
        <v>2510</v>
      </c>
      <c r="G1514" s="88">
        <v>2932523000000</v>
      </c>
      <c r="H1514" s="91">
        <v>2932.5230000000001</v>
      </c>
      <c r="I1514" s="100" t="s">
        <v>2337</v>
      </c>
    </row>
    <row r="1515" spans="1:9">
      <c r="A1515" s="95" t="s">
        <v>2409</v>
      </c>
      <c r="B1515" s="96" t="s">
        <v>2333</v>
      </c>
      <c r="C1515" s="96" t="s">
        <v>1241</v>
      </c>
      <c r="D1515" s="96" t="s">
        <v>2511</v>
      </c>
      <c r="E1515" s="96" t="s">
        <v>2512</v>
      </c>
      <c r="F1515" s="96" t="s">
        <v>2513</v>
      </c>
      <c r="G1515" s="88">
        <v>-1426673000000</v>
      </c>
      <c r="H1515" s="91">
        <v>-1426.673</v>
      </c>
      <c r="I1515" s="100" t="s">
        <v>2337</v>
      </c>
    </row>
    <row r="1516" spans="1:9">
      <c r="A1516" s="95" t="s">
        <v>2409</v>
      </c>
      <c r="B1516" s="96" t="s">
        <v>2333</v>
      </c>
      <c r="C1516" s="96" t="s">
        <v>1241</v>
      </c>
      <c r="D1516" s="96" t="s">
        <v>1836</v>
      </c>
      <c r="E1516" s="96" t="s">
        <v>2514</v>
      </c>
      <c r="F1516" s="96" t="s">
        <v>2515</v>
      </c>
      <c r="G1516" s="88">
        <v>0</v>
      </c>
      <c r="H1516" s="91">
        <v>0</v>
      </c>
      <c r="I1516" s="100" t="s">
        <v>2337</v>
      </c>
    </row>
    <row r="1517" spans="1:9">
      <c r="A1517" s="95" t="s">
        <v>2409</v>
      </c>
      <c r="B1517" s="96" t="s">
        <v>2333</v>
      </c>
      <c r="C1517" s="96" t="s">
        <v>1241</v>
      </c>
      <c r="D1517" s="96" t="s">
        <v>74</v>
      </c>
      <c r="E1517" s="96" t="s">
        <v>2064</v>
      </c>
      <c r="F1517" s="96" t="s">
        <v>2516</v>
      </c>
      <c r="G1517" s="88">
        <v>11660839000000</v>
      </c>
      <c r="H1517" s="91">
        <v>11660.839</v>
      </c>
      <c r="I1517" s="100" t="s">
        <v>2337</v>
      </c>
    </row>
    <row r="1518" spans="1:9">
      <c r="A1518" s="95" t="s">
        <v>2409</v>
      </c>
      <c r="B1518" s="96" t="s">
        <v>2333</v>
      </c>
      <c r="C1518" s="96" t="s">
        <v>1241</v>
      </c>
      <c r="D1518" s="96" t="s">
        <v>2517</v>
      </c>
      <c r="E1518" s="96" t="s">
        <v>2518</v>
      </c>
      <c r="F1518" s="96" t="s">
        <v>2519</v>
      </c>
      <c r="G1518" s="88">
        <v>8172153000000</v>
      </c>
      <c r="H1518" s="91">
        <v>8172.1530000000002</v>
      </c>
      <c r="I1518" s="100" t="s">
        <v>2337</v>
      </c>
    </row>
    <row r="1519" spans="1:9">
      <c r="A1519" s="95" t="s">
        <v>2409</v>
      </c>
      <c r="B1519" s="96" t="s">
        <v>2333</v>
      </c>
      <c r="C1519" s="96" t="s">
        <v>1241</v>
      </c>
      <c r="D1519" s="96" t="s">
        <v>1828</v>
      </c>
      <c r="E1519" s="96" t="s">
        <v>2520</v>
      </c>
      <c r="F1519" s="96" t="s">
        <v>2521</v>
      </c>
      <c r="G1519" s="88">
        <v>520888000000</v>
      </c>
      <c r="H1519" s="91">
        <v>520.88800000000003</v>
      </c>
      <c r="I1519" s="100" t="s">
        <v>2337</v>
      </c>
    </row>
    <row r="1520" spans="1:9">
      <c r="A1520" s="95" t="s">
        <v>2409</v>
      </c>
      <c r="B1520" s="96" t="s">
        <v>2333</v>
      </c>
      <c r="C1520" s="96" t="s">
        <v>1241</v>
      </c>
      <c r="D1520" s="96" t="s">
        <v>74</v>
      </c>
      <c r="E1520" s="96" t="s">
        <v>2064</v>
      </c>
      <c r="F1520" s="96" t="s">
        <v>2522</v>
      </c>
      <c r="G1520" s="88">
        <v>0</v>
      </c>
      <c r="H1520" s="91">
        <v>0</v>
      </c>
      <c r="I1520" s="100" t="s">
        <v>2337</v>
      </c>
    </row>
    <row r="1521" spans="1:9">
      <c r="A1521" s="95" t="s">
        <v>2409</v>
      </c>
      <c r="B1521" s="96" t="s">
        <v>2333</v>
      </c>
      <c r="C1521" s="96" t="s">
        <v>1241</v>
      </c>
      <c r="D1521" s="96" t="s">
        <v>76</v>
      </c>
      <c r="E1521" s="96" t="s">
        <v>75</v>
      </c>
      <c r="F1521" s="96" t="s">
        <v>1643</v>
      </c>
      <c r="G1521" s="88">
        <v>128963171000000</v>
      </c>
      <c r="H1521" s="91">
        <v>128963.171</v>
      </c>
      <c r="I1521" s="100" t="s">
        <v>2337</v>
      </c>
    </row>
    <row r="1522" spans="1:9">
      <c r="A1522" s="95" t="s">
        <v>2409</v>
      </c>
      <c r="B1522" s="96" t="s">
        <v>2333</v>
      </c>
      <c r="C1522" s="96" t="s">
        <v>1241</v>
      </c>
      <c r="D1522" s="96" t="s">
        <v>2523</v>
      </c>
      <c r="E1522" s="96" t="s">
        <v>487</v>
      </c>
      <c r="F1522" s="96" t="s">
        <v>2524</v>
      </c>
      <c r="G1522" s="88">
        <v>83884527000000</v>
      </c>
      <c r="H1522" s="91">
        <v>83884.527000000002</v>
      </c>
      <c r="I1522" s="100" t="s">
        <v>2337</v>
      </c>
    </row>
    <row r="1523" spans="1:9">
      <c r="A1523" s="95" t="s">
        <v>2409</v>
      </c>
      <c r="B1523" s="96" t="s">
        <v>2333</v>
      </c>
      <c r="C1523" s="96" t="s">
        <v>1241</v>
      </c>
      <c r="D1523" s="96" t="s">
        <v>82</v>
      </c>
      <c r="E1523" s="96" t="s">
        <v>2070</v>
      </c>
      <c r="F1523" s="96" t="s">
        <v>2525</v>
      </c>
      <c r="G1523" s="88">
        <v>40257475000000</v>
      </c>
      <c r="H1523" s="91">
        <v>40257.474999999999</v>
      </c>
      <c r="I1523" s="100" t="s">
        <v>2337</v>
      </c>
    </row>
    <row r="1524" spans="1:9">
      <c r="A1524" s="95" t="s">
        <v>2409</v>
      </c>
      <c r="B1524" s="96" t="s">
        <v>2333</v>
      </c>
      <c r="C1524" s="96" t="s">
        <v>1241</v>
      </c>
      <c r="D1524" s="96" t="s">
        <v>2526</v>
      </c>
      <c r="E1524" s="96" t="s">
        <v>2527</v>
      </c>
      <c r="F1524" s="96" t="s">
        <v>2528</v>
      </c>
      <c r="G1524" s="88">
        <v>24330984000000</v>
      </c>
      <c r="H1524" s="91">
        <v>24330.984</v>
      </c>
      <c r="I1524" s="100" t="s">
        <v>2337</v>
      </c>
    </row>
    <row r="1525" spans="1:9">
      <c r="A1525" s="95" t="s">
        <v>2409</v>
      </c>
      <c r="B1525" s="96" t="s">
        <v>2333</v>
      </c>
      <c r="C1525" s="96" t="s">
        <v>1241</v>
      </c>
      <c r="D1525" s="96" t="s">
        <v>2529</v>
      </c>
      <c r="E1525" s="96" t="s">
        <v>2530</v>
      </c>
      <c r="F1525" s="96" t="s">
        <v>2531</v>
      </c>
      <c r="G1525" s="88">
        <v>8362579000000</v>
      </c>
      <c r="H1525" s="91">
        <v>8362.5789999999997</v>
      </c>
      <c r="I1525" s="100" t="s">
        <v>2337</v>
      </c>
    </row>
    <row r="1526" spans="1:9">
      <c r="A1526" s="95" t="s">
        <v>2409</v>
      </c>
      <c r="B1526" s="96" t="s">
        <v>2333</v>
      </c>
      <c r="C1526" s="96" t="s">
        <v>1241</v>
      </c>
      <c r="D1526" s="96" t="s">
        <v>2532</v>
      </c>
      <c r="E1526" s="96" t="s">
        <v>2533</v>
      </c>
      <c r="F1526" s="96" t="s">
        <v>2534</v>
      </c>
      <c r="G1526" s="88">
        <v>282983000000</v>
      </c>
      <c r="H1526" s="91">
        <v>282.983</v>
      </c>
      <c r="I1526" s="100" t="s">
        <v>2337</v>
      </c>
    </row>
    <row r="1527" spans="1:9">
      <c r="A1527" s="95" t="s">
        <v>2409</v>
      </c>
      <c r="B1527" s="96" t="s">
        <v>2333</v>
      </c>
      <c r="C1527" s="96" t="s">
        <v>1241</v>
      </c>
      <c r="D1527" s="96" t="s">
        <v>2535</v>
      </c>
      <c r="E1527" s="96" t="s">
        <v>2536</v>
      </c>
      <c r="F1527" s="96" t="s">
        <v>2537</v>
      </c>
      <c r="G1527" s="88">
        <v>705158000000</v>
      </c>
      <c r="H1527" s="91">
        <v>705.15800000000002</v>
      </c>
      <c r="I1527" s="100" t="s">
        <v>2337</v>
      </c>
    </row>
    <row r="1528" spans="1:9">
      <c r="A1528" s="95" t="s">
        <v>2409</v>
      </c>
      <c r="B1528" s="96" t="s">
        <v>2333</v>
      </c>
      <c r="C1528" s="96" t="s">
        <v>1241</v>
      </c>
      <c r="D1528" s="96" t="s">
        <v>1846</v>
      </c>
      <c r="E1528" s="96" t="s">
        <v>2538</v>
      </c>
      <c r="F1528" s="96" t="s">
        <v>2539</v>
      </c>
      <c r="G1528" s="88">
        <v>322128000000</v>
      </c>
      <c r="H1528" s="91">
        <v>322.12799999999999</v>
      </c>
      <c r="I1528" s="100" t="s">
        <v>2337</v>
      </c>
    </row>
    <row r="1529" spans="1:9">
      <c r="A1529" s="95" t="s">
        <v>2409</v>
      </c>
      <c r="B1529" s="96" t="s">
        <v>2333</v>
      </c>
      <c r="C1529" s="96" t="s">
        <v>1241</v>
      </c>
      <c r="D1529" s="96" t="s">
        <v>2540</v>
      </c>
      <c r="E1529" s="96" t="s">
        <v>2541</v>
      </c>
      <c r="F1529" s="96" t="s">
        <v>2542</v>
      </c>
      <c r="G1529" s="88">
        <v>5264674000000</v>
      </c>
      <c r="H1529" s="91">
        <v>5264.674</v>
      </c>
      <c r="I1529" s="100" t="s">
        <v>2337</v>
      </c>
    </row>
    <row r="1530" spans="1:9">
      <c r="A1530" s="95" t="s">
        <v>2409</v>
      </c>
      <c r="B1530" s="96" t="s">
        <v>2333</v>
      </c>
      <c r="C1530" s="96" t="s">
        <v>1241</v>
      </c>
      <c r="D1530" s="96" t="s">
        <v>2543</v>
      </c>
      <c r="E1530" s="96" t="s">
        <v>2544</v>
      </c>
      <c r="F1530" s="96" t="s">
        <v>2545</v>
      </c>
      <c r="G1530" s="88">
        <v>0</v>
      </c>
      <c r="H1530" s="91">
        <v>0</v>
      </c>
      <c r="I1530" s="100" t="s">
        <v>2337</v>
      </c>
    </row>
    <row r="1531" spans="1:9">
      <c r="A1531" s="95" t="s">
        <v>2409</v>
      </c>
      <c r="B1531" s="96" t="s">
        <v>2333</v>
      </c>
      <c r="C1531" s="96" t="s">
        <v>1241</v>
      </c>
      <c r="D1531" s="96" t="s">
        <v>2546</v>
      </c>
      <c r="E1531" s="96" t="s">
        <v>2547</v>
      </c>
      <c r="F1531" s="96" t="s">
        <v>2548</v>
      </c>
      <c r="G1531" s="88">
        <v>0</v>
      </c>
      <c r="H1531" s="91">
        <v>0</v>
      </c>
      <c r="I1531" s="100" t="s">
        <v>2337</v>
      </c>
    </row>
    <row r="1532" spans="1:9">
      <c r="A1532" s="95" t="s">
        <v>2409</v>
      </c>
      <c r="B1532" s="96" t="s">
        <v>2333</v>
      </c>
      <c r="C1532" s="96" t="s">
        <v>1241</v>
      </c>
      <c r="D1532" s="96" t="s">
        <v>2549</v>
      </c>
      <c r="E1532" s="96" t="s">
        <v>2550</v>
      </c>
      <c r="F1532" s="96" t="s">
        <v>2551</v>
      </c>
      <c r="G1532" s="88">
        <v>839844000000</v>
      </c>
      <c r="H1532" s="91">
        <v>839.84400000000005</v>
      </c>
      <c r="I1532" s="100" t="s">
        <v>2337</v>
      </c>
    </row>
    <row r="1533" spans="1:9">
      <c r="A1533" s="95" t="s">
        <v>2409</v>
      </c>
      <c r="B1533" s="96" t="s">
        <v>2333</v>
      </c>
      <c r="C1533" s="96" t="s">
        <v>1241</v>
      </c>
      <c r="D1533" s="96" t="s">
        <v>2552</v>
      </c>
      <c r="E1533" s="96" t="s">
        <v>2553</v>
      </c>
      <c r="F1533" s="96" t="s">
        <v>2554</v>
      </c>
      <c r="G1533" s="88">
        <v>91734000000</v>
      </c>
      <c r="H1533" s="91">
        <v>91.733999999999995</v>
      </c>
      <c r="I1533" s="100" t="s">
        <v>2337</v>
      </c>
    </row>
    <row r="1534" spans="1:9">
      <c r="A1534" s="95" t="s">
        <v>2409</v>
      </c>
      <c r="B1534" s="96" t="s">
        <v>2333</v>
      </c>
      <c r="C1534" s="96" t="s">
        <v>1241</v>
      </c>
      <c r="D1534" s="96" t="s">
        <v>2555</v>
      </c>
      <c r="E1534" s="96" t="s">
        <v>2556</v>
      </c>
      <c r="F1534" s="96" t="s">
        <v>2557</v>
      </c>
      <c r="G1534" s="88">
        <v>31125000000</v>
      </c>
      <c r="H1534" s="91">
        <v>31.125</v>
      </c>
      <c r="I1534" s="100" t="s">
        <v>2337</v>
      </c>
    </row>
    <row r="1535" spans="1:9">
      <c r="A1535" s="95" t="s">
        <v>2409</v>
      </c>
      <c r="B1535" s="96" t="s">
        <v>2333</v>
      </c>
      <c r="C1535" s="96" t="s">
        <v>1241</v>
      </c>
      <c r="D1535" s="96" t="s">
        <v>86</v>
      </c>
      <c r="E1535" s="96" t="s">
        <v>2073</v>
      </c>
      <c r="F1535" s="96" t="s">
        <v>2558</v>
      </c>
      <c r="G1535" s="88">
        <v>43627052000000</v>
      </c>
      <c r="H1535" s="91">
        <v>43627.052000000003</v>
      </c>
      <c r="I1535" s="100" t="s">
        <v>2337</v>
      </c>
    </row>
    <row r="1536" spans="1:9">
      <c r="A1536" s="95" t="s">
        <v>2409</v>
      </c>
      <c r="B1536" s="96" t="s">
        <v>2333</v>
      </c>
      <c r="C1536" s="96" t="s">
        <v>1241</v>
      </c>
      <c r="D1536" s="96" t="s">
        <v>1866</v>
      </c>
      <c r="E1536" s="96" t="s">
        <v>2559</v>
      </c>
      <c r="F1536" s="96" t="s">
        <v>2560</v>
      </c>
      <c r="G1536" s="88">
        <v>10666000000</v>
      </c>
      <c r="H1536" s="91">
        <v>10.666</v>
      </c>
      <c r="I1536" s="100" t="s">
        <v>2337</v>
      </c>
    </row>
    <row r="1537" spans="1:9">
      <c r="A1537" s="95" t="s">
        <v>2409</v>
      </c>
      <c r="B1537" s="96" t="s">
        <v>2333</v>
      </c>
      <c r="C1537" s="96" t="s">
        <v>1241</v>
      </c>
      <c r="D1537" s="96" t="s">
        <v>2561</v>
      </c>
      <c r="E1537" s="96" t="s">
        <v>2562</v>
      </c>
      <c r="F1537" s="96" t="s">
        <v>2563</v>
      </c>
      <c r="G1537" s="88">
        <v>0</v>
      </c>
      <c r="H1537" s="91">
        <v>0</v>
      </c>
      <c r="I1537" s="100" t="s">
        <v>2337</v>
      </c>
    </row>
    <row r="1538" spans="1:9">
      <c r="A1538" s="95" t="s">
        <v>2409</v>
      </c>
      <c r="B1538" s="96" t="s">
        <v>2333</v>
      </c>
      <c r="C1538" s="96" t="s">
        <v>1241</v>
      </c>
      <c r="D1538" s="96" t="s">
        <v>2564</v>
      </c>
      <c r="E1538" s="96" t="s">
        <v>2565</v>
      </c>
      <c r="F1538" s="96" t="s">
        <v>2566</v>
      </c>
      <c r="G1538" s="88">
        <v>162921000000</v>
      </c>
      <c r="H1538" s="91">
        <v>162.92099999999999</v>
      </c>
      <c r="I1538" s="100" t="s">
        <v>2337</v>
      </c>
    </row>
    <row r="1539" spans="1:9">
      <c r="A1539" s="95" t="s">
        <v>2409</v>
      </c>
      <c r="B1539" s="96" t="s">
        <v>2333</v>
      </c>
      <c r="C1539" s="96" t="s">
        <v>1241</v>
      </c>
      <c r="D1539" s="96" t="s">
        <v>2567</v>
      </c>
      <c r="E1539" s="96" t="s">
        <v>2568</v>
      </c>
      <c r="F1539" s="96" t="s">
        <v>2569</v>
      </c>
      <c r="G1539" s="88">
        <v>40546194000000</v>
      </c>
      <c r="H1539" s="91">
        <v>40546.194000000003</v>
      </c>
      <c r="I1539" s="100" t="s">
        <v>2337</v>
      </c>
    </row>
    <row r="1540" spans="1:9">
      <c r="A1540" s="95" t="s">
        <v>2409</v>
      </c>
      <c r="B1540" s="96" t="s">
        <v>2333</v>
      </c>
      <c r="C1540" s="96" t="s">
        <v>1241</v>
      </c>
      <c r="D1540" s="96" t="s">
        <v>1886</v>
      </c>
      <c r="E1540" s="96" t="s">
        <v>2570</v>
      </c>
      <c r="F1540" s="96" t="s">
        <v>2521</v>
      </c>
      <c r="G1540" s="88">
        <v>2364694000000</v>
      </c>
      <c r="H1540" s="91">
        <v>2364.694</v>
      </c>
      <c r="I1540" s="100" t="s">
        <v>2337</v>
      </c>
    </row>
    <row r="1541" spans="1:9">
      <c r="A1541" s="95" t="s">
        <v>2409</v>
      </c>
      <c r="B1541" s="96" t="s">
        <v>2333</v>
      </c>
      <c r="C1541" s="96" t="s">
        <v>1241</v>
      </c>
      <c r="D1541" s="96" t="s">
        <v>1892</v>
      </c>
      <c r="E1541" s="96" t="s">
        <v>2571</v>
      </c>
      <c r="F1541" s="96" t="s">
        <v>2572</v>
      </c>
      <c r="G1541" s="88">
        <v>0</v>
      </c>
      <c r="H1541" s="91">
        <v>0</v>
      </c>
      <c r="I1541" s="100" t="s">
        <v>2337</v>
      </c>
    </row>
    <row r="1542" spans="1:9">
      <c r="A1542" s="95" t="s">
        <v>2409</v>
      </c>
      <c r="B1542" s="96" t="s">
        <v>2333</v>
      </c>
      <c r="C1542" s="96" t="s">
        <v>1241</v>
      </c>
      <c r="D1542" s="96" t="s">
        <v>1888</v>
      </c>
      <c r="E1542" s="96" t="s">
        <v>2573</v>
      </c>
      <c r="F1542" s="96" t="s">
        <v>2574</v>
      </c>
      <c r="G1542" s="88">
        <v>539898000000</v>
      </c>
      <c r="H1542" s="91">
        <v>539.89800000000002</v>
      </c>
      <c r="I1542" s="100" t="s">
        <v>2337</v>
      </c>
    </row>
    <row r="1543" spans="1:9">
      <c r="A1543" s="95" t="s">
        <v>2409</v>
      </c>
      <c r="B1543" s="96" t="s">
        <v>2333</v>
      </c>
      <c r="C1543" s="96" t="s">
        <v>1241</v>
      </c>
      <c r="D1543" s="96" t="s">
        <v>2575</v>
      </c>
      <c r="E1543" s="96" t="s">
        <v>2576</v>
      </c>
      <c r="F1543" s="96" t="s">
        <v>2577</v>
      </c>
      <c r="G1543" s="88">
        <v>0</v>
      </c>
      <c r="H1543" s="91">
        <v>0</v>
      </c>
      <c r="I1543" s="100" t="s">
        <v>2337</v>
      </c>
    </row>
    <row r="1544" spans="1:9">
      <c r="A1544" s="95" t="s">
        <v>2409</v>
      </c>
      <c r="B1544" s="96" t="s">
        <v>2333</v>
      </c>
      <c r="C1544" s="96" t="s">
        <v>1241</v>
      </c>
      <c r="D1544" s="96" t="s">
        <v>2578</v>
      </c>
      <c r="E1544" s="96" t="s">
        <v>2579</v>
      </c>
      <c r="F1544" s="96" t="s">
        <v>2580</v>
      </c>
      <c r="G1544" s="88">
        <v>0</v>
      </c>
      <c r="H1544" s="91">
        <v>0</v>
      </c>
      <c r="I1544" s="100" t="s">
        <v>2337</v>
      </c>
    </row>
    <row r="1545" spans="1:9">
      <c r="A1545" s="95" t="s">
        <v>2409</v>
      </c>
      <c r="B1545" s="96" t="s">
        <v>2333</v>
      </c>
      <c r="C1545" s="96" t="s">
        <v>1241</v>
      </c>
      <c r="D1545" s="96" t="s">
        <v>2581</v>
      </c>
      <c r="E1545" s="96" t="s">
        <v>2582</v>
      </c>
      <c r="F1545" s="96" t="s">
        <v>2583</v>
      </c>
      <c r="G1545" s="88">
        <v>45078644000000</v>
      </c>
      <c r="H1545" s="91">
        <v>45078.644</v>
      </c>
      <c r="I1545" s="100" t="s">
        <v>2337</v>
      </c>
    </row>
    <row r="1546" spans="1:9">
      <c r="A1546" s="95" t="s">
        <v>2409</v>
      </c>
      <c r="B1546" s="96" t="s">
        <v>2333</v>
      </c>
      <c r="C1546" s="96" t="s">
        <v>1241</v>
      </c>
      <c r="D1546" s="96" t="s">
        <v>2584</v>
      </c>
      <c r="E1546" s="96" t="s">
        <v>2585</v>
      </c>
      <c r="F1546" s="96" t="s">
        <v>2586</v>
      </c>
      <c r="G1546" s="88">
        <v>45078644000000</v>
      </c>
      <c r="H1546" s="91">
        <v>45078.644</v>
      </c>
      <c r="I1546" s="100" t="s">
        <v>2337</v>
      </c>
    </row>
    <row r="1547" spans="1:9">
      <c r="A1547" s="95" t="s">
        <v>2409</v>
      </c>
      <c r="B1547" s="96" t="s">
        <v>2333</v>
      </c>
      <c r="C1547" s="96" t="s">
        <v>1241</v>
      </c>
      <c r="D1547" s="96" t="s">
        <v>2587</v>
      </c>
      <c r="E1547" s="96" t="s">
        <v>2588</v>
      </c>
      <c r="F1547" s="96" t="s">
        <v>2589</v>
      </c>
      <c r="G1547" s="88">
        <v>15204920000000</v>
      </c>
      <c r="H1547" s="91">
        <v>15204.92</v>
      </c>
      <c r="I1547" s="100" t="s">
        <v>2337</v>
      </c>
    </row>
    <row r="1548" spans="1:9">
      <c r="A1548" s="95" t="s">
        <v>2409</v>
      </c>
      <c r="B1548" s="96" t="s">
        <v>2333</v>
      </c>
      <c r="C1548" s="96" t="s">
        <v>1241</v>
      </c>
      <c r="D1548" s="96" t="s">
        <v>1900</v>
      </c>
      <c r="E1548" s="96" t="s">
        <v>2590</v>
      </c>
      <c r="F1548" s="96" t="s">
        <v>2591</v>
      </c>
      <c r="G1548" s="88">
        <v>14164508000000</v>
      </c>
      <c r="H1548" s="91">
        <v>14164.508</v>
      </c>
      <c r="I1548" s="100" t="s">
        <v>2337</v>
      </c>
    </row>
    <row r="1549" spans="1:9">
      <c r="A1549" s="95" t="s">
        <v>2409</v>
      </c>
      <c r="B1549" s="96" t="s">
        <v>2333</v>
      </c>
      <c r="C1549" s="96" t="s">
        <v>1241</v>
      </c>
      <c r="D1549" s="96" t="s">
        <v>2592</v>
      </c>
      <c r="E1549" s="96" t="s">
        <v>2593</v>
      </c>
      <c r="F1549" s="96" t="s">
        <v>2594</v>
      </c>
      <c r="G1549" s="88">
        <v>-8388147000000</v>
      </c>
      <c r="H1549" s="91">
        <v>-8388.1470000000008</v>
      </c>
      <c r="I1549" s="100" t="s">
        <v>2337</v>
      </c>
    </row>
    <row r="1550" spans="1:9">
      <c r="A1550" s="95" t="s">
        <v>2409</v>
      </c>
      <c r="B1550" s="96" t="s">
        <v>2333</v>
      </c>
      <c r="C1550" s="96" t="s">
        <v>1241</v>
      </c>
      <c r="D1550" s="96" t="s">
        <v>1906</v>
      </c>
      <c r="E1550" s="96" t="s">
        <v>2595</v>
      </c>
      <c r="F1550" s="96" t="s">
        <v>2596</v>
      </c>
      <c r="G1550" s="88">
        <v>0</v>
      </c>
      <c r="H1550" s="91">
        <v>0</v>
      </c>
      <c r="I1550" s="100" t="s">
        <v>2337</v>
      </c>
    </row>
    <row r="1551" spans="1:9">
      <c r="A1551" s="95" t="s">
        <v>2409</v>
      </c>
      <c r="B1551" s="96" t="s">
        <v>2333</v>
      </c>
      <c r="C1551" s="96" t="s">
        <v>1241</v>
      </c>
      <c r="D1551" s="96" t="s">
        <v>2597</v>
      </c>
      <c r="E1551" s="96" t="s">
        <v>2598</v>
      </c>
      <c r="F1551" s="96" t="s">
        <v>2599</v>
      </c>
      <c r="G1551" s="88">
        <v>0</v>
      </c>
      <c r="H1551" s="91">
        <v>0</v>
      </c>
      <c r="I1551" s="100" t="s">
        <v>2337</v>
      </c>
    </row>
    <row r="1552" spans="1:9">
      <c r="A1552" s="95" t="s">
        <v>2409</v>
      </c>
      <c r="B1552" s="96" t="s">
        <v>2333</v>
      </c>
      <c r="C1552" s="96" t="s">
        <v>1241</v>
      </c>
      <c r="D1552" s="96" t="s">
        <v>1910</v>
      </c>
      <c r="E1552" s="96" t="s">
        <v>2600</v>
      </c>
      <c r="F1552" s="96" t="s">
        <v>2601</v>
      </c>
      <c r="G1552" s="88">
        <v>11266000000</v>
      </c>
      <c r="H1552" s="91">
        <v>11.266</v>
      </c>
      <c r="I1552" s="100" t="s">
        <v>2337</v>
      </c>
    </row>
    <row r="1553" spans="1:9">
      <c r="A1553" s="95" t="s">
        <v>2409</v>
      </c>
      <c r="B1553" s="96" t="s">
        <v>2333</v>
      </c>
      <c r="C1553" s="96" t="s">
        <v>1241</v>
      </c>
      <c r="D1553" s="96" t="s">
        <v>2602</v>
      </c>
      <c r="E1553" s="96" t="s">
        <v>2603</v>
      </c>
      <c r="F1553" s="96" t="s">
        <v>2604</v>
      </c>
      <c r="G1553" s="88">
        <v>0</v>
      </c>
      <c r="H1553" s="91">
        <v>0</v>
      </c>
      <c r="I1553" s="100" t="s">
        <v>2337</v>
      </c>
    </row>
    <row r="1554" spans="1:9">
      <c r="A1554" s="95" t="s">
        <v>2409</v>
      </c>
      <c r="B1554" s="96" t="s">
        <v>2333</v>
      </c>
      <c r="C1554" s="96" t="s">
        <v>1241</v>
      </c>
      <c r="D1554" s="96" t="s">
        <v>2605</v>
      </c>
      <c r="E1554" s="96" t="s">
        <v>2606</v>
      </c>
      <c r="F1554" s="96" t="s">
        <v>2607</v>
      </c>
      <c r="G1554" s="88">
        <v>0</v>
      </c>
      <c r="H1554" s="91">
        <v>0</v>
      </c>
      <c r="I1554" s="100" t="s">
        <v>2337</v>
      </c>
    </row>
    <row r="1555" spans="1:9">
      <c r="A1555" s="95" t="s">
        <v>2409</v>
      </c>
      <c r="B1555" s="96" t="s">
        <v>2333</v>
      </c>
      <c r="C1555" s="96" t="s">
        <v>1241</v>
      </c>
      <c r="D1555" s="96" t="s">
        <v>2608</v>
      </c>
      <c r="E1555" s="96" t="s">
        <v>2609</v>
      </c>
      <c r="F1555" s="96" t="s">
        <v>2610</v>
      </c>
      <c r="G1555" s="88">
        <v>0</v>
      </c>
      <c r="H1555" s="91">
        <v>0</v>
      </c>
      <c r="I1555" s="100" t="s">
        <v>2337</v>
      </c>
    </row>
    <row r="1556" spans="1:9">
      <c r="A1556" s="95" t="s">
        <v>2409</v>
      </c>
      <c r="B1556" s="96" t="s">
        <v>2333</v>
      </c>
      <c r="C1556" s="96" t="s">
        <v>1241</v>
      </c>
      <c r="D1556" s="96" t="s">
        <v>2611</v>
      </c>
      <c r="E1556" s="96" t="s">
        <v>2612</v>
      </c>
      <c r="F1556" s="96" t="s">
        <v>2613</v>
      </c>
      <c r="G1556" s="88">
        <v>14355609000000</v>
      </c>
      <c r="H1556" s="91">
        <v>14355.609</v>
      </c>
      <c r="I1556" s="100" t="s">
        <v>2337</v>
      </c>
    </row>
    <row r="1557" spans="1:9">
      <c r="A1557" s="95" t="s">
        <v>2409</v>
      </c>
      <c r="B1557" s="96" t="s">
        <v>2333</v>
      </c>
      <c r="C1557" s="96" t="s">
        <v>1241</v>
      </c>
      <c r="D1557" s="96" t="s">
        <v>2614</v>
      </c>
      <c r="E1557" s="96" t="s">
        <v>2615</v>
      </c>
      <c r="F1557" s="96" t="s">
        <v>2616</v>
      </c>
      <c r="G1557" s="88">
        <v>0</v>
      </c>
      <c r="H1557" s="91">
        <v>0</v>
      </c>
      <c r="I1557" s="100" t="s">
        <v>2337</v>
      </c>
    </row>
    <row r="1558" spans="1:9">
      <c r="A1558" s="95" t="s">
        <v>2409</v>
      </c>
      <c r="B1558" s="96" t="s">
        <v>2333</v>
      </c>
      <c r="C1558" s="96" t="s">
        <v>1241</v>
      </c>
      <c r="D1558" s="96" t="s">
        <v>2617</v>
      </c>
      <c r="E1558" s="96" t="s">
        <v>2618</v>
      </c>
      <c r="F1558" s="96" t="s">
        <v>2619</v>
      </c>
      <c r="G1558" s="88">
        <v>0</v>
      </c>
      <c r="H1558" s="91">
        <v>0</v>
      </c>
      <c r="I1558" s="100" t="s">
        <v>2337</v>
      </c>
    </row>
    <row r="1559" spans="1:9">
      <c r="A1559" s="95" t="s">
        <v>2409</v>
      </c>
      <c r="B1559" s="96" t="s">
        <v>2333</v>
      </c>
      <c r="C1559" s="96" t="s">
        <v>1241</v>
      </c>
      <c r="D1559" s="96" t="s">
        <v>2620</v>
      </c>
      <c r="E1559" s="96" t="s">
        <v>2621</v>
      </c>
      <c r="F1559" s="96" t="s">
        <v>2622</v>
      </c>
      <c r="G1559" s="88">
        <v>0</v>
      </c>
      <c r="H1559" s="91">
        <v>0</v>
      </c>
      <c r="I1559" s="100" t="s">
        <v>2337</v>
      </c>
    </row>
    <row r="1560" spans="1:9">
      <c r="A1560" s="95" t="s">
        <v>2409</v>
      </c>
      <c r="B1560" s="96" t="s">
        <v>2333</v>
      </c>
      <c r="C1560" s="96" t="s">
        <v>1241</v>
      </c>
      <c r="D1560" s="96" t="s">
        <v>2617</v>
      </c>
      <c r="E1560" s="96" t="s">
        <v>2618</v>
      </c>
      <c r="F1560" s="96" t="s">
        <v>2623</v>
      </c>
      <c r="G1560" s="88">
        <v>0</v>
      </c>
      <c r="H1560" s="91">
        <v>0</v>
      </c>
      <c r="I1560" s="100" t="s">
        <v>2337</v>
      </c>
    </row>
    <row r="1561" spans="1:9">
      <c r="A1561" s="95" t="s">
        <v>2409</v>
      </c>
      <c r="B1561" s="96" t="s">
        <v>2333</v>
      </c>
      <c r="C1561" s="96" t="s">
        <v>1241</v>
      </c>
      <c r="D1561" s="96" t="s">
        <v>2624</v>
      </c>
      <c r="E1561" s="96" t="s">
        <v>2625</v>
      </c>
      <c r="F1561" s="96" t="s">
        <v>1631</v>
      </c>
      <c r="G1561" s="88">
        <v>0</v>
      </c>
      <c r="H1561" s="91">
        <v>0</v>
      </c>
      <c r="I1561" s="100" t="s">
        <v>2337</v>
      </c>
    </row>
    <row r="1562" spans="1:9">
      <c r="A1562" s="95" t="s">
        <v>2409</v>
      </c>
      <c r="B1562" s="96" t="s">
        <v>2333</v>
      </c>
      <c r="C1562" s="96" t="s">
        <v>1241</v>
      </c>
      <c r="D1562" s="96" t="s">
        <v>2626</v>
      </c>
      <c r="E1562" s="96" t="s">
        <v>2627</v>
      </c>
      <c r="F1562" s="96" t="s">
        <v>2628</v>
      </c>
      <c r="G1562" s="88">
        <v>128963171000000</v>
      </c>
      <c r="H1562" s="91">
        <v>128963.171</v>
      </c>
      <c r="I1562" s="100" t="s">
        <v>2337</v>
      </c>
    </row>
    <row r="1563" spans="1:9">
      <c r="A1563" s="95" t="s">
        <v>2409</v>
      </c>
      <c r="B1563" s="96" t="s">
        <v>2333</v>
      </c>
      <c r="C1563" s="96" t="s">
        <v>1241</v>
      </c>
      <c r="D1563" s="96" t="s">
        <v>2629</v>
      </c>
      <c r="E1563" s="96" t="s">
        <v>2630</v>
      </c>
      <c r="F1563" s="96" t="s">
        <v>2631</v>
      </c>
      <c r="G1563" s="88">
        <v>0</v>
      </c>
      <c r="H1563" s="91">
        <v>0</v>
      </c>
      <c r="I1563" s="100" t="s">
        <v>2337</v>
      </c>
    </row>
    <row r="1564" spans="1:9">
      <c r="A1564" s="95" t="s">
        <v>2409</v>
      </c>
      <c r="B1564" s="96" t="s">
        <v>2333</v>
      </c>
      <c r="C1564" s="96" t="s">
        <v>1241</v>
      </c>
      <c r="D1564" s="96" t="s">
        <v>2632</v>
      </c>
      <c r="E1564" s="96" t="s">
        <v>2633</v>
      </c>
      <c r="F1564" s="96" t="s">
        <v>2634</v>
      </c>
      <c r="G1564" s="88">
        <v>1555686000000</v>
      </c>
      <c r="H1564" s="91">
        <v>1555.6859999999999</v>
      </c>
      <c r="I1564" s="100" t="s">
        <v>2337</v>
      </c>
    </row>
    <row r="1565" spans="1:9">
      <c r="A1565" s="95" t="s">
        <v>2409</v>
      </c>
      <c r="B1565" s="96" t="s">
        <v>2333</v>
      </c>
      <c r="C1565" s="96" t="s">
        <v>1241</v>
      </c>
      <c r="D1565" s="96" t="s">
        <v>2635</v>
      </c>
      <c r="E1565" s="96" t="s">
        <v>2636</v>
      </c>
      <c r="F1565" s="96" t="s">
        <v>2637</v>
      </c>
      <c r="G1565" s="88">
        <v>0</v>
      </c>
      <c r="H1565" s="91">
        <v>0</v>
      </c>
      <c r="I1565" s="100" t="s">
        <v>2337</v>
      </c>
    </row>
    <row r="1566" spans="1:9">
      <c r="A1566" s="95" t="s">
        <v>2409</v>
      </c>
      <c r="B1566" s="96" t="s">
        <v>2333</v>
      </c>
      <c r="C1566" s="96" t="s">
        <v>1241</v>
      </c>
      <c r="D1566" s="96" t="s">
        <v>2638</v>
      </c>
      <c r="E1566" s="96" t="s">
        <v>2639</v>
      </c>
      <c r="F1566" s="96" t="s">
        <v>2640</v>
      </c>
      <c r="G1566" s="88">
        <v>54978000000</v>
      </c>
      <c r="H1566" s="91">
        <v>54.978000000000002</v>
      </c>
      <c r="I1566" s="100" t="s">
        <v>2337</v>
      </c>
    </row>
    <row r="1567" spans="1:9">
      <c r="A1567" s="95" t="s">
        <v>2409</v>
      </c>
      <c r="B1567" s="96" t="s">
        <v>2333</v>
      </c>
      <c r="C1567" s="96" t="s">
        <v>1241</v>
      </c>
      <c r="D1567" s="96" t="s">
        <v>2641</v>
      </c>
      <c r="E1567" s="96" t="s">
        <v>2642</v>
      </c>
      <c r="F1567" s="96" t="s">
        <v>2643</v>
      </c>
      <c r="G1567" s="88">
        <v>81150000000</v>
      </c>
      <c r="H1567" s="91">
        <v>81.150000000000006</v>
      </c>
      <c r="I1567" s="100" t="s">
        <v>2337</v>
      </c>
    </row>
    <row r="1568" spans="1:9">
      <c r="A1568" s="95" t="s">
        <v>2409</v>
      </c>
      <c r="B1568" s="96" t="s">
        <v>2333</v>
      </c>
      <c r="C1568" s="96" t="s">
        <v>1241</v>
      </c>
      <c r="D1568" s="96" t="s">
        <v>2644</v>
      </c>
      <c r="E1568" s="96" t="s">
        <v>2645</v>
      </c>
      <c r="F1568" s="96" t="s">
        <v>2646</v>
      </c>
      <c r="G1568" s="88">
        <v>0</v>
      </c>
      <c r="H1568" s="91">
        <v>0</v>
      </c>
      <c r="I1568" s="100" t="s">
        <v>2337</v>
      </c>
    </row>
    <row r="1569" spans="1:9">
      <c r="A1569" s="95" t="s">
        <v>2409</v>
      </c>
      <c r="B1569" s="96" t="s">
        <v>2333</v>
      </c>
      <c r="C1569" s="96" t="s">
        <v>1241</v>
      </c>
      <c r="D1569" s="96" t="s">
        <v>1759</v>
      </c>
      <c r="E1569" s="96" t="s">
        <v>2647</v>
      </c>
      <c r="F1569" s="96" t="s">
        <v>2648</v>
      </c>
      <c r="G1569" s="88">
        <v>0</v>
      </c>
      <c r="H1569" s="91">
        <v>0</v>
      </c>
      <c r="I1569" s="100" t="s">
        <v>2337</v>
      </c>
    </row>
    <row r="1570" spans="1:9">
      <c r="A1570" s="95" t="s">
        <v>2409</v>
      </c>
      <c r="B1570" s="96" t="s">
        <v>2333</v>
      </c>
      <c r="C1570" s="96" t="s">
        <v>1241</v>
      </c>
      <c r="D1570" s="96" t="s">
        <v>2649</v>
      </c>
      <c r="E1570" s="96" t="s">
        <v>2650</v>
      </c>
      <c r="F1570" s="96" t="s">
        <v>2651</v>
      </c>
      <c r="G1570" s="88">
        <v>0</v>
      </c>
      <c r="H1570" s="91">
        <v>0</v>
      </c>
      <c r="I1570" s="100" t="s">
        <v>2337</v>
      </c>
    </row>
    <row r="1571" spans="1:9">
      <c r="A1571" s="95" t="s">
        <v>2409</v>
      </c>
      <c r="B1571" s="96" t="s">
        <v>2333</v>
      </c>
      <c r="C1571" s="96" t="s">
        <v>1241</v>
      </c>
      <c r="D1571" s="96" t="s">
        <v>2652</v>
      </c>
      <c r="E1571" s="96" t="s">
        <v>2653</v>
      </c>
      <c r="F1571" s="96" t="s">
        <v>2654</v>
      </c>
      <c r="G1571" s="88">
        <v>1160909000000</v>
      </c>
      <c r="H1571" s="91">
        <v>1160.9090000000001</v>
      </c>
      <c r="I1571" s="100" t="s">
        <v>2337</v>
      </c>
    </row>
    <row r="1572" spans="1:9">
      <c r="A1572" s="95" t="s">
        <v>2409</v>
      </c>
      <c r="B1572" s="96" t="s">
        <v>2333</v>
      </c>
      <c r="C1572" s="96" t="s">
        <v>1241</v>
      </c>
      <c r="D1572" s="96" t="s">
        <v>2655</v>
      </c>
      <c r="E1572" s="96" t="s">
        <v>2656</v>
      </c>
      <c r="F1572" s="96" t="s">
        <v>2657</v>
      </c>
      <c r="G1572" s="88">
        <v>0</v>
      </c>
      <c r="H1572" s="91">
        <v>0</v>
      </c>
      <c r="I1572" s="100" t="s">
        <v>2337</v>
      </c>
    </row>
    <row r="1573" spans="1:9">
      <c r="A1573" s="95" t="s">
        <v>2409</v>
      </c>
      <c r="B1573" s="96" t="s">
        <v>2333</v>
      </c>
      <c r="C1573" s="96" t="s">
        <v>1241</v>
      </c>
      <c r="D1573" s="96" t="s">
        <v>2632</v>
      </c>
      <c r="E1573" s="96" t="s">
        <v>2633</v>
      </c>
      <c r="F1573" s="96" t="s">
        <v>2634</v>
      </c>
      <c r="G1573" s="88">
        <v>0</v>
      </c>
      <c r="H1573" s="91">
        <v>0</v>
      </c>
      <c r="I1573" s="100" t="s">
        <v>2337</v>
      </c>
    </row>
    <row r="1574" spans="1:9">
      <c r="A1574" s="95" t="s">
        <v>2409</v>
      </c>
      <c r="B1574" s="96" t="s">
        <v>2333</v>
      </c>
      <c r="C1574" s="96" t="s">
        <v>1241</v>
      </c>
      <c r="D1574" s="96" t="s">
        <v>2658</v>
      </c>
      <c r="E1574" s="96" t="s">
        <v>2659</v>
      </c>
      <c r="F1574" s="96" t="s">
        <v>2660</v>
      </c>
      <c r="G1574" s="88">
        <v>0</v>
      </c>
      <c r="H1574" s="91">
        <v>0</v>
      </c>
      <c r="I1574" s="100" t="s">
        <v>2337</v>
      </c>
    </row>
    <row r="1575" spans="1:9">
      <c r="A1575" s="95" t="s">
        <v>2409</v>
      </c>
      <c r="B1575" s="96" t="s">
        <v>2333</v>
      </c>
      <c r="C1575" s="96" t="s">
        <v>1241</v>
      </c>
      <c r="D1575" s="96" t="s">
        <v>2661</v>
      </c>
      <c r="E1575" s="96" t="s">
        <v>2662</v>
      </c>
      <c r="F1575" s="96" t="s">
        <v>2663</v>
      </c>
      <c r="G1575" s="88">
        <v>26266000000</v>
      </c>
      <c r="H1575" s="91">
        <v>26.265999999999998</v>
      </c>
      <c r="I1575" s="100" t="s">
        <v>2337</v>
      </c>
    </row>
    <row r="1576" spans="1:9">
      <c r="A1576" s="95" t="s">
        <v>2409</v>
      </c>
      <c r="B1576" s="96" t="s">
        <v>2333</v>
      </c>
      <c r="C1576" s="96" t="s">
        <v>1241</v>
      </c>
      <c r="D1576" s="96" t="s">
        <v>1862</v>
      </c>
      <c r="E1576" s="96" t="s">
        <v>2664</v>
      </c>
      <c r="F1576" s="96" t="s">
        <v>2665</v>
      </c>
      <c r="G1576" s="88">
        <v>0</v>
      </c>
      <c r="H1576" s="91">
        <v>0</v>
      </c>
      <c r="I1576" s="100" t="s">
        <v>2337</v>
      </c>
    </row>
    <row r="1577" spans="1:9">
      <c r="A1577" s="95" t="s">
        <v>2409</v>
      </c>
      <c r="B1577" s="96" t="s">
        <v>2333</v>
      </c>
      <c r="C1577" s="96" t="s">
        <v>1241</v>
      </c>
      <c r="D1577" s="96" t="s">
        <v>2644</v>
      </c>
      <c r="E1577" s="96" t="s">
        <v>2645</v>
      </c>
      <c r="F1577" s="96" t="s">
        <v>2666</v>
      </c>
      <c r="G1577" s="88">
        <v>0</v>
      </c>
      <c r="H1577" s="91">
        <v>0</v>
      </c>
      <c r="I1577" s="100" t="s">
        <v>2337</v>
      </c>
    </row>
    <row r="1578" spans="1:9">
      <c r="A1578" s="95" t="s">
        <v>2409</v>
      </c>
      <c r="B1578" s="96" t="s">
        <v>2333</v>
      </c>
      <c r="C1578" s="96" t="s">
        <v>1241</v>
      </c>
      <c r="D1578" s="96" t="s">
        <v>1868</v>
      </c>
      <c r="E1578" s="96" t="s">
        <v>2667</v>
      </c>
      <c r="F1578" s="96" t="s">
        <v>2668</v>
      </c>
      <c r="G1578" s="88">
        <v>0</v>
      </c>
      <c r="H1578" s="91">
        <v>0</v>
      </c>
      <c r="I1578" s="100" t="s">
        <v>2337</v>
      </c>
    </row>
    <row r="1579" spans="1:9">
      <c r="A1579" s="95" t="s">
        <v>2409</v>
      </c>
      <c r="B1579" s="96" t="s">
        <v>2333</v>
      </c>
      <c r="C1579" s="96" t="s">
        <v>1241</v>
      </c>
      <c r="D1579" s="96" t="s">
        <v>1872</v>
      </c>
      <c r="E1579" s="96" t="s">
        <v>2669</v>
      </c>
      <c r="F1579" s="96" t="s">
        <v>2670</v>
      </c>
      <c r="G1579" s="88">
        <v>2679000000</v>
      </c>
      <c r="H1579" s="91">
        <v>2.6789999999999998</v>
      </c>
      <c r="I1579" s="100" t="s">
        <v>2337</v>
      </c>
    </row>
    <row r="1580" spans="1:9">
      <c r="A1580" s="95" t="s">
        <v>2409</v>
      </c>
      <c r="B1580" s="96" t="s">
        <v>2333</v>
      </c>
      <c r="C1580" s="96" t="s">
        <v>1241</v>
      </c>
      <c r="D1580" s="96" t="s">
        <v>2671</v>
      </c>
      <c r="E1580" s="96" t="s">
        <v>2672</v>
      </c>
      <c r="F1580" s="96" t="s">
        <v>2673</v>
      </c>
      <c r="G1580" s="88">
        <v>0</v>
      </c>
      <c r="H1580" s="91">
        <v>0</v>
      </c>
      <c r="I1580" s="100" t="s">
        <v>2337</v>
      </c>
    </row>
    <row r="1581" spans="1:9">
      <c r="A1581" s="95" t="s">
        <v>2409</v>
      </c>
      <c r="B1581" s="96" t="s">
        <v>2333</v>
      </c>
      <c r="C1581" s="96" t="s">
        <v>1241</v>
      </c>
      <c r="D1581" s="96" t="s">
        <v>1882</v>
      </c>
      <c r="E1581" s="96" t="s">
        <v>2674</v>
      </c>
      <c r="F1581" s="96" t="s">
        <v>2675</v>
      </c>
      <c r="G1581" s="88">
        <v>0</v>
      </c>
      <c r="H1581" s="91">
        <v>0</v>
      </c>
      <c r="I1581" s="100" t="s">
        <v>2337</v>
      </c>
    </row>
    <row r="1582" spans="1:9">
      <c r="A1582" s="95" t="s">
        <v>2409</v>
      </c>
      <c r="B1582" s="96" t="s">
        <v>2333</v>
      </c>
      <c r="C1582" s="96" t="s">
        <v>1241</v>
      </c>
      <c r="D1582" s="96" t="s">
        <v>2629</v>
      </c>
      <c r="E1582" s="96" t="s">
        <v>2630</v>
      </c>
      <c r="F1582" s="96" t="s">
        <v>2631</v>
      </c>
      <c r="G1582" s="88">
        <v>0</v>
      </c>
      <c r="H1582" s="91">
        <v>0</v>
      </c>
      <c r="I1582" s="100" t="s">
        <v>2337</v>
      </c>
    </row>
    <row r="1583" spans="1:9">
      <c r="A1583" s="95" t="s">
        <v>2409</v>
      </c>
      <c r="B1583" s="96" t="s">
        <v>2333</v>
      </c>
      <c r="C1583" s="96" t="s">
        <v>1241</v>
      </c>
      <c r="D1583" s="96" t="s">
        <v>2676</v>
      </c>
      <c r="E1583" s="96" t="s">
        <v>2677</v>
      </c>
      <c r="F1583" s="96" t="s">
        <v>2678</v>
      </c>
      <c r="G1583" s="88">
        <v>15204920000000</v>
      </c>
      <c r="H1583" s="91">
        <v>15204.92</v>
      </c>
      <c r="I1583" s="100" t="s">
        <v>2337</v>
      </c>
    </row>
    <row r="1584" spans="1:9">
      <c r="A1584" s="95" t="s">
        <v>2409</v>
      </c>
      <c r="B1584" s="96" t="s">
        <v>2333</v>
      </c>
      <c r="C1584" s="96" t="s">
        <v>1241</v>
      </c>
      <c r="D1584" s="96" t="s">
        <v>2679</v>
      </c>
      <c r="E1584" s="96" t="s">
        <v>2680</v>
      </c>
      <c r="F1584" s="96" t="s">
        <v>2681</v>
      </c>
      <c r="G1584" s="88">
        <v>0</v>
      </c>
      <c r="H1584" s="91">
        <v>0</v>
      </c>
      <c r="I1584" s="100" t="s">
        <v>2337</v>
      </c>
    </row>
    <row r="1585" spans="1:9">
      <c r="A1585" s="95" t="s">
        <v>2409</v>
      </c>
      <c r="B1585" s="96" t="s">
        <v>2333</v>
      </c>
      <c r="C1585" s="96" t="s">
        <v>1241</v>
      </c>
      <c r="D1585" s="96" t="s">
        <v>2682</v>
      </c>
      <c r="E1585" s="96" t="s">
        <v>2683</v>
      </c>
      <c r="F1585" s="96" t="s">
        <v>2684</v>
      </c>
      <c r="G1585" s="88">
        <v>9326870000000</v>
      </c>
      <c r="H1585" s="91">
        <v>9326.8700000000008</v>
      </c>
      <c r="I1585" s="100" t="s">
        <v>2337</v>
      </c>
    </row>
    <row r="1586" spans="1:9">
      <c r="A1586" s="95" t="s">
        <v>2409</v>
      </c>
      <c r="B1586" s="96" t="s">
        <v>2333</v>
      </c>
      <c r="C1586" s="96" t="s">
        <v>1241</v>
      </c>
      <c r="D1586" s="96" t="s">
        <v>2685</v>
      </c>
      <c r="E1586" s="96" t="s">
        <v>2686</v>
      </c>
      <c r="F1586" s="96" t="s">
        <v>2687</v>
      </c>
      <c r="G1586" s="88">
        <v>5028739000000</v>
      </c>
      <c r="H1586" s="91">
        <v>5028.7389999999996</v>
      </c>
      <c r="I1586" s="100" t="s">
        <v>2337</v>
      </c>
    </row>
    <row r="1587" spans="1:9">
      <c r="A1587" s="95" t="s">
        <v>2409</v>
      </c>
      <c r="B1587" s="96" t="s">
        <v>2333</v>
      </c>
      <c r="C1587" s="96" t="s">
        <v>1241</v>
      </c>
      <c r="D1587" s="96" t="s">
        <v>1810</v>
      </c>
      <c r="E1587" s="96" t="s">
        <v>2688</v>
      </c>
      <c r="F1587" s="96" t="s">
        <v>2689</v>
      </c>
      <c r="G1587" s="88">
        <v>1160909000000</v>
      </c>
      <c r="H1587" s="91">
        <v>1160.9090000000001</v>
      </c>
      <c r="I1587" s="100" t="s">
        <v>2337</v>
      </c>
    </row>
    <row r="1588" spans="1:9">
      <c r="A1588" s="95" t="s">
        <v>2409</v>
      </c>
      <c r="B1588" s="96" t="s">
        <v>2333</v>
      </c>
      <c r="C1588" s="96" t="s">
        <v>1241</v>
      </c>
      <c r="D1588" s="96" t="s">
        <v>1834</v>
      </c>
      <c r="E1588" s="96" t="s">
        <v>2690</v>
      </c>
      <c r="F1588" s="96" t="s">
        <v>2691</v>
      </c>
      <c r="G1588" s="88">
        <v>2967798000000</v>
      </c>
      <c r="H1588" s="91">
        <v>2967.7979999999998</v>
      </c>
      <c r="I1588" s="100" t="s">
        <v>2337</v>
      </c>
    </row>
    <row r="1589" spans="1:9">
      <c r="A1589" s="95" t="s">
        <v>2409</v>
      </c>
      <c r="B1589" s="96" t="s">
        <v>2333</v>
      </c>
      <c r="C1589" s="96" t="s">
        <v>1241</v>
      </c>
      <c r="D1589" s="96" t="s">
        <v>2390</v>
      </c>
      <c r="E1589" s="96" t="s">
        <v>2391</v>
      </c>
      <c r="F1589" s="96" t="s">
        <v>2692</v>
      </c>
      <c r="G1589" s="88">
        <v>9730488000000</v>
      </c>
      <c r="H1589" s="91">
        <v>9730.4879999999994</v>
      </c>
      <c r="I1589" s="100" t="s">
        <v>2337</v>
      </c>
    </row>
    <row r="1590" spans="1:9">
      <c r="A1590" s="95" t="s">
        <v>2409</v>
      </c>
      <c r="B1590" s="96" t="s">
        <v>2333</v>
      </c>
      <c r="C1590" s="96" t="s">
        <v>1241</v>
      </c>
      <c r="D1590" s="96" t="s">
        <v>2693</v>
      </c>
      <c r="E1590" s="96" t="s">
        <v>2694</v>
      </c>
      <c r="F1590" s="96" t="s">
        <v>2695</v>
      </c>
      <c r="G1590" s="88">
        <v>0</v>
      </c>
      <c r="H1590" s="91">
        <v>0</v>
      </c>
      <c r="I1590" s="100" t="s">
        <v>2337</v>
      </c>
    </row>
    <row r="1591" spans="1:9">
      <c r="A1591" s="95" t="s">
        <v>2409</v>
      </c>
      <c r="B1591" s="96" t="s">
        <v>2404</v>
      </c>
      <c r="C1591" s="96" t="s">
        <v>1241</v>
      </c>
      <c r="D1591" s="96" t="s">
        <v>68</v>
      </c>
      <c r="E1591" s="96" t="s">
        <v>2411</v>
      </c>
      <c r="F1591" s="96" t="s">
        <v>2412</v>
      </c>
      <c r="G1591" s="88">
        <v>48551323000000</v>
      </c>
      <c r="H1591" s="91">
        <v>48551.322999999997</v>
      </c>
      <c r="I1591" s="100" t="s">
        <v>2405</v>
      </c>
    </row>
    <row r="1592" spans="1:9">
      <c r="A1592" s="95" t="s">
        <v>2409</v>
      </c>
      <c r="B1592" s="96" t="s">
        <v>2404</v>
      </c>
      <c r="C1592" s="96" t="s">
        <v>1241</v>
      </c>
      <c r="D1592" s="96" t="s">
        <v>58</v>
      </c>
      <c r="E1592" s="96" t="s">
        <v>2413</v>
      </c>
      <c r="F1592" s="96" t="s">
        <v>2414</v>
      </c>
      <c r="G1592" s="88">
        <v>12769105000000</v>
      </c>
      <c r="H1592" s="91">
        <v>12769.105</v>
      </c>
      <c r="I1592" s="100" t="s">
        <v>2405</v>
      </c>
    </row>
    <row r="1593" spans="1:9">
      <c r="A1593" s="95" t="s">
        <v>2409</v>
      </c>
      <c r="B1593" s="96" t="s">
        <v>2404</v>
      </c>
      <c r="C1593" s="96" t="s">
        <v>1241</v>
      </c>
      <c r="D1593" s="96" t="s">
        <v>1699</v>
      </c>
      <c r="E1593" s="96" t="s">
        <v>2415</v>
      </c>
      <c r="F1593" s="96" t="s">
        <v>2416</v>
      </c>
      <c r="G1593" s="88">
        <v>2555199000000</v>
      </c>
      <c r="H1593" s="91">
        <v>2555.1990000000001</v>
      </c>
      <c r="I1593" s="100" t="s">
        <v>2405</v>
      </c>
    </row>
    <row r="1594" spans="1:9">
      <c r="A1594" s="95" t="s">
        <v>2409</v>
      </c>
      <c r="B1594" s="96" t="s">
        <v>2404</v>
      </c>
      <c r="C1594" s="96" t="s">
        <v>1241</v>
      </c>
      <c r="D1594" s="96" t="s">
        <v>1701</v>
      </c>
      <c r="E1594" s="96" t="s">
        <v>2417</v>
      </c>
      <c r="F1594" s="96" t="s">
        <v>2418</v>
      </c>
      <c r="G1594" s="88">
        <v>10213906000000</v>
      </c>
      <c r="H1594" s="91">
        <v>10213.906000000001</v>
      </c>
      <c r="I1594" s="100" t="s">
        <v>2405</v>
      </c>
    </row>
    <row r="1595" spans="1:9">
      <c r="A1595" s="95" t="s">
        <v>2409</v>
      </c>
      <c r="B1595" s="96" t="s">
        <v>2404</v>
      </c>
      <c r="C1595" s="96" t="s">
        <v>1241</v>
      </c>
      <c r="D1595" s="96" t="s">
        <v>2053</v>
      </c>
      <c r="E1595" s="96" t="s">
        <v>2419</v>
      </c>
      <c r="F1595" s="96" t="s">
        <v>2420</v>
      </c>
      <c r="G1595" s="88">
        <v>404193000000</v>
      </c>
      <c r="H1595" s="91">
        <v>404.19299999999998</v>
      </c>
      <c r="I1595" s="100" t="s">
        <v>2405</v>
      </c>
    </row>
    <row r="1596" spans="1:9">
      <c r="A1596" s="95" t="s">
        <v>2409</v>
      </c>
      <c r="B1596" s="96" t="s">
        <v>2404</v>
      </c>
      <c r="C1596" s="96" t="s">
        <v>1241</v>
      </c>
      <c r="D1596" s="96" t="s">
        <v>2053</v>
      </c>
      <c r="E1596" s="96" t="s">
        <v>2419</v>
      </c>
      <c r="F1596" s="96" t="s">
        <v>2420</v>
      </c>
      <c r="G1596" s="88">
        <v>0</v>
      </c>
      <c r="H1596" s="91">
        <v>0</v>
      </c>
      <c r="I1596" s="100" t="s">
        <v>2405</v>
      </c>
    </row>
    <row r="1597" spans="1:9">
      <c r="A1597" s="95" t="s">
        <v>2409</v>
      </c>
      <c r="B1597" s="96" t="s">
        <v>2404</v>
      </c>
      <c r="C1597" s="96" t="s">
        <v>1241</v>
      </c>
      <c r="D1597" s="96" t="s">
        <v>2421</v>
      </c>
      <c r="E1597" s="96" t="s">
        <v>2422</v>
      </c>
      <c r="F1597" s="96" t="s">
        <v>2423</v>
      </c>
      <c r="G1597" s="88">
        <v>0</v>
      </c>
      <c r="H1597" s="91">
        <v>0</v>
      </c>
      <c r="I1597" s="100" t="s">
        <v>2405</v>
      </c>
    </row>
    <row r="1598" spans="1:9">
      <c r="A1598" s="95" t="s">
        <v>2409</v>
      </c>
      <c r="B1598" s="96" t="s">
        <v>2404</v>
      </c>
      <c r="C1598" s="96" t="s">
        <v>1241</v>
      </c>
      <c r="D1598" s="96" t="s">
        <v>2424</v>
      </c>
      <c r="E1598" s="96" t="s">
        <v>2425</v>
      </c>
      <c r="F1598" s="96" t="s">
        <v>2426</v>
      </c>
      <c r="G1598" s="88">
        <v>23734255000000</v>
      </c>
      <c r="H1598" s="91">
        <v>23734.255000000001</v>
      </c>
      <c r="I1598" s="100" t="s">
        <v>2405</v>
      </c>
    </row>
    <row r="1599" spans="1:9">
      <c r="A1599" s="95" t="s">
        <v>2409</v>
      </c>
      <c r="B1599" s="96" t="s">
        <v>2404</v>
      </c>
      <c r="C1599" s="96" t="s">
        <v>1241</v>
      </c>
      <c r="D1599" s="96" t="s">
        <v>2427</v>
      </c>
      <c r="E1599" s="96" t="s">
        <v>2428</v>
      </c>
      <c r="F1599" s="96" t="s">
        <v>2429</v>
      </c>
      <c r="G1599" s="88">
        <v>943158000000</v>
      </c>
      <c r="H1599" s="91">
        <v>943.15800000000002</v>
      </c>
      <c r="I1599" s="100" t="s">
        <v>2405</v>
      </c>
    </row>
    <row r="1600" spans="1:9">
      <c r="A1600" s="95" t="s">
        <v>2409</v>
      </c>
      <c r="B1600" s="96" t="s">
        <v>2404</v>
      </c>
      <c r="C1600" s="96" t="s">
        <v>1241</v>
      </c>
      <c r="D1600" s="96" t="s">
        <v>2430</v>
      </c>
      <c r="E1600" s="96" t="s">
        <v>2431</v>
      </c>
      <c r="F1600" s="96" t="s">
        <v>2432</v>
      </c>
      <c r="G1600" s="88">
        <v>573046000000</v>
      </c>
      <c r="H1600" s="91">
        <v>573.04600000000005</v>
      </c>
      <c r="I1600" s="100" t="s">
        <v>2405</v>
      </c>
    </row>
    <row r="1601" spans="1:9">
      <c r="A1601" s="95" t="s">
        <v>2409</v>
      </c>
      <c r="B1601" s="96" t="s">
        <v>2404</v>
      </c>
      <c r="C1601" s="96" t="s">
        <v>1241</v>
      </c>
      <c r="D1601" s="96" t="s">
        <v>2433</v>
      </c>
      <c r="E1601" s="96" t="s">
        <v>2434</v>
      </c>
      <c r="F1601" s="96" t="s">
        <v>2435</v>
      </c>
      <c r="G1601" s="88">
        <v>0</v>
      </c>
      <c r="H1601" s="91">
        <v>0</v>
      </c>
      <c r="I1601" s="100" t="s">
        <v>2405</v>
      </c>
    </row>
    <row r="1602" spans="1:9">
      <c r="A1602" s="95" t="s">
        <v>2409</v>
      </c>
      <c r="B1602" s="96" t="s">
        <v>2404</v>
      </c>
      <c r="C1602" s="96" t="s">
        <v>1241</v>
      </c>
      <c r="D1602" s="96" t="s">
        <v>2436</v>
      </c>
      <c r="E1602" s="96" t="s">
        <v>2437</v>
      </c>
      <c r="F1602" s="96" t="s">
        <v>2438</v>
      </c>
      <c r="G1602" s="88">
        <v>0</v>
      </c>
      <c r="H1602" s="91">
        <v>0</v>
      </c>
      <c r="I1602" s="100" t="s">
        <v>2405</v>
      </c>
    </row>
    <row r="1603" spans="1:9">
      <c r="A1603" s="95" t="s">
        <v>2409</v>
      </c>
      <c r="B1603" s="96" t="s">
        <v>2404</v>
      </c>
      <c r="C1603" s="96" t="s">
        <v>1241</v>
      </c>
      <c r="D1603" s="96" t="s">
        <v>2439</v>
      </c>
      <c r="E1603" s="96" t="s">
        <v>2440</v>
      </c>
      <c r="F1603" s="96" t="s">
        <v>2441</v>
      </c>
      <c r="G1603" s="88">
        <v>22199183000000</v>
      </c>
      <c r="H1603" s="91">
        <v>22199.183000000001</v>
      </c>
      <c r="I1603" s="100" t="s">
        <v>2405</v>
      </c>
    </row>
    <row r="1604" spans="1:9">
      <c r="A1604" s="95" t="s">
        <v>2409</v>
      </c>
      <c r="B1604" s="96" t="s">
        <v>2404</v>
      </c>
      <c r="C1604" s="96" t="s">
        <v>1241</v>
      </c>
      <c r="D1604" s="96" t="s">
        <v>2442</v>
      </c>
      <c r="E1604" s="96" t="s">
        <v>2443</v>
      </c>
      <c r="F1604" s="96" t="s">
        <v>2444</v>
      </c>
      <c r="G1604" s="88">
        <v>-78270000000</v>
      </c>
      <c r="H1604" s="91">
        <v>-78.27</v>
      </c>
      <c r="I1604" s="100" t="s">
        <v>2405</v>
      </c>
    </row>
    <row r="1605" spans="1:9">
      <c r="A1605" s="95" t="s">
        <v>2409</v>
      </c>
      <c r="B1605" s="96" t="s">
        <v>2404</v>
      </c>
      <c r="C1605" s="96" t="s">
        <v>1241</v>
      </c>
      <c r="D1605" s="96" t="s">
        <v>2445</v>
      </c>
      <c r="E1605" s="96" t="s">
        <v>2446</v>
      </c>
      <c r="F1605" s="96" t="s">
        <v>2447</v>
      </c>
      <c r="G1605" s="88">
        <v>9798127000000</v>
      </c>
      <c r="H1605" s="91">
        <v>9798.1270000000004</v>
      </c>
      <c r="I1605" s="100" t="s">
        <v>2405</v>
      </c>
    </row>
    <row r="1606" spans="1:9">
      <c r="A1606" s="95" t="s">
        <v>2409</v>
      </c>
      <c r="B1606" s="96" t="s">
        <v>2404</v>
      </c>
      <c r="C1606" s="96" t="s">
        <v>1241</v>
      </c>
      <c r="D1606" s="96" t="s">
        <v>64</v>
      </c>
      <c r="E1606" s="96" t="s">
        <v>2448</v>
      </c>
      <c r="F1606" s="96" t="s">
        <v>2449</v>
      </c>
      <c r="G1606" s="88">
        <v>9994353000000</v>
      </c>
      <c r="H1606" s="91">
        <v>9994.3529999999992</v>
      </c>
      <c r="I1606" s="100" t="s">
        <v>2405</v>
      </c>
    </row>
    <row r="1607" spans="1:9">
      <c r="A1607" s="95" t="s">
        <v>2409</v>
      </c>
      <c r="B1607" s="96" t="s">
        <v>2404</v>
      </c>
      <c r="C1607" s="96" t="s">
        <v>1241</v>
      </c>
      <c r="D1607" s="96" t="s">
        <v>2450</v>
      </c>
      <c r="E1607" s="96" t="s">
        <v>2451</v>
      </c>
      <c r="F1607" s="96" t="s">
        <v>2452</v>
      </c>
      <c r="G1607" s="88">
        <v>-196226000000</v>
      </c>
      <c r="H1607" s="91">
        <v>-196.226</v>
      </c>
      <c r="I1607" s="100" t="s">
        <v>2405</v>
      </c>
    </row>
    <row r="1608" spans="1:9">
      <c r="A1608" s="95" t="s">
        <v>2409</v>
      </c>
      <c r="B1608" s="96" t="s">
        <v>2404</v>
      </c>
      <c r="C1608" s="96" t="s">
        <v>1241</v>
      </c>
      <c r="D1608" s="96" t="s">
        <v>2059</v>
      </c>
      <c r="E1608" s="96" t="s">
        <v>2453</v>
      </c>
      <c r="F1608" s="96" t="s">
        <v>2454</v>
      </c>
      <c r="G1608" s="88">
        <v>1845643000000</v>
      </c>
      <c r="H1608" s="91">
        <v>1845.643</v>
      </c>
      <c r="I1608" s="100" t="s">
        <v>2405</v>
      </c>
    </row>
    <row r="1609" spans="1:9">
      <c r="A1609" s="95" t="s">
        <v>2409</v>
      </c>
      <c r="B1609" s="96" t="s">
        <v>2404</v>
      </c>
      <c r="C1609" s="96" t="s">
        <v>1241</v>
      </c>
      <c r="D1609" s="96" t="s">
        <v>2455</v>
      </c>
      <c r="E1609" s="96" t="s">
        <v>2456</v>
      </c>
      <c r="F1609" s="96" t="s">
        <v>2457</v>
      </c>
      <c r="G1609" s="88">
        <v>451082000000</v>
      </c>
      <c r="H1609" s="91">
        <v>451.08199999999999</v>
      </c>
      <c r="I1609" s="100" t="s">
        <v>2405</v>
      </c>
    </row>
    <row r="1610" spans="1:9">
      <c r="A1610" s="95" t="s">
        <v>2409</v>
      </c>
      <c r="B1610" s="96" t="s">
        <v>2404</v>
      </c>
      <c r="C1610" s="96" t="s">
        <v>1241</v>
      </c>
      <c r="D1610" s="96" t="s">
        <v>2458</v>
      </c>
      <c r="E1610" s="96" t="s">
        <v>2459</v>
      </c>
      <c r="F1610" s="96" t="s">
        <v>2460</v>
      </c>
      <c r="G1610" s="88">
        <v>1277838000000</v>
      </c>
      <c r="H1610" s="91">
        <v>1277.838</v>
      </c>
      <c r="I1610" s="100" t="s">
        <v>2405</v>
      </c>
    </row>
    <row r="1611" spans="1:9">
      <c r="A1611" s="95" t="s">
        <v>2409</v>
      </c>
      <c r="B1611" s="96" t="s">
        <v>2404</v>
      </c>
      <c r="C1611" s="96" t="s">
        <v>1241</v>
      </c>
      <c r="D1611" s="96" t="s">
        <v>2461</v>
      </c>
      <c r="E1611" s="96" t="s">
        <v>2462</v>
      </c>
      <c r="F1611" s="96" t="s">
        <v>2463</v>
      </c>
      <c r="G1611" s="88">
        <v>116723000000</v>
      </c>
      <c r="H1611" s="91">
        <v>116.723</v>
      </c>
      <c r="I1611" s="100" t="s">
        <v>2405</v>
      </c>
    </row>
    <row r="1612" spans="1:9">
      <c r="A1612" s="95" t="s">
        <v>2409</v>
      </c>
      <c r="B1612" s="96" t="s">
        <v>2404</v>
      </c>
      <c r="C1612" s="96" t="s">
        <v>1241</v>
      </c>
      <c r="D1612" s="96" t="s">
        <v>2059</v>
      </c>
      <c r="E1612" s="96" t="s">
        <v>2453</v>
      </c>
      <c r="F1612" s="96" t="s">
        <v>2454</v>
      </c>
      <c r="G1612" s="88">
        <v>0</v>
      </c>
      <c r="H1612" s="91">
        <v>0</v>
      </c>
      <c r="I1612" s="100" t="s">
        <v>2405</v>
      </c>
    </row>
    <row r="1613" spans="1:9">
      <c r="A1613" s="95" t="s">
        <v>2409</v>
      </c>
      <c r="B1613" s="96" t="s">
        <v>2404</v>
      </c>
      <c r="C1613" s="96" t="s">
        <v>1241</v>
      </c>
      <c r="D1613" s="96" t="s">
        <v>1753</v>
      </c>
      <c r="E1613" s="96" t="s">
        <v>2464</v>
      </c>
      <c r="F1613" s="96" t="s">
        <v>2465</v>
      </c>
      <c r="G1613" s="88">
        <v>94600840000000</v>
      </c>
      <c r="H1613" s="91">
        <v>94600.84</v>
      </c>
      <c r="I1613" s="100" t="s">
        <v>2405</v>
      </c>
    </row>
    <row r="1614" spans="1:9">
      <c r="A1614" s="95" t="s">
        <v>2409</v>
      </c>
      <c r="B1614" s="96" t="s">
        <v>2404</v>
      </c>
      <c r="C1614" s="96" t="s">
        <v>1241</v>
      </c>
      <c r="D1614" s="96" t="s">
        <v>1757</v>
      </c>
      <c r="E1614" s="96" t="s">
        <v>2466</v>
      </c>
      <c r="F1614" s="96" t="s">
        <v>2467</v>
      </c>
      <c r="G1614" s="88">
        <v>9276499000000</v>
      </c>
      <c r="H1614" s="91">
        <v>9276.4989999999998</v>
      </c>
      <c r="I1614" s="100" t="s">
        <v>2405</v>
      </c>
    </row>
    <row r="1615" spans="1:9">
      <c r="A1615" s="95" t="s">
        <v>2409</v>
      </c>
      <c r="B1615" s="96" t="s">
        <v>2404</v>
      </c>
      <c r="C1615" s="96" t="s">
        <v>1241</v>
      </c>
      <c r="D1615" s="96" t="s">
        <v>2468</v>
      </c>
      <c r="E1615" s="96" t="s">
        <v>2469</v>
      </c>
      <c r="F1615" s="96" t="s">
        <v>2470</v>
      </c>
      <c r="G1615" s="88">
        <v>0</v>
      </c>
      <c r="H1615" s="91">
        <v>0</v>
      </c>
      <c r="I1615" s="100" t="s">
        <v>2405</v>
      </c>
    </row>
    <row r="1616" spans="1:9">
      <c r="A1616" s="95" t="s">
        <v>2409</v>
      </c>
      <c r="B1616" s="96" t="s">
        <v>2404</v>
      </c>
      <c r="C1616" s="96" t="s">
        <v>1241</v>
      </c>
      <c r="D1616" s="96" t="s">
        <v>2471</v>
      </c>
      <c r="E1616" s="96" t="s">
        <v>2472</v>
      </c>
      <c r="F1616" s="96" t="s">
        <v>2473</v>
      </c>
      <c r="G1616" s="88">
        <v>0</v>
      </c>
      <c r="H1616" s="91">
        <v>0</v>
      </c>
      <c r="I1616" s="100" t="s">
        <v>2405</v>
      </c>
    </row>
    <row r="1617" spans="1:9">
      <c r="A1617" s="95" t="s">
        <v>2409</v>
      </c>
      <c r="B1617" s="96" t="s">
        <v>2404</v>
      </c>
      <c r="C1617" s="96" t="s">
        <v>1241</v>
      </c>
      <c r="D1617" s="96" t="s">
        <v>1767</v>
      </c>
      <c r="E1617" s="96" t="s">
        <v>2474</v>
      </c>
      <c r="F1617" s="96" t="s">
        <v>2475</v>
      </c>
      <c r="G1617" s="88">
        <v>9197299000000</v>
      </c>
      <c r="H1617" s="91">
        <v>9197.2990000000009</v>
      </c>
      <c r="I1617" s="100" t="s">
        <v>2405</v>
      </c>
    </row>
    <row r="1618" spans="1:9">
      <c r="A1618" s="95" t="s">
        <v>2409</v>
      </c>
      <c r="B1618" s="96" t="s">
        <v>2404</v>
      </c>
      <c r="C1618" s="96" t="s">
        <v>1241</v>
      </c>
      <c r="D1618" s="96" t="s">
        <v>2476</v>
      </c>
      <c r="E1618" s="96" t="s">
        <v>2477</v>
      </c>
      <c r="F1618" s="96" t="s">
        <v>2478</v>
      </c>
      <c r="G1618" s="88">
        <v>0</v>
      </c>
      <c r="H1618" s="91">
        <v>0</v>
      </c>
      <c r="I1618" s="100" t="s">
        <v>2405</v>
      </c>
    </row>
    <row r="1619" spans="1:9">
      <c r="A1619" s="95" t="s">
        <v>2409</v>
      </c>
      <c r="B1619" s="96" t="s">
        <v>2404</v>
      </c>
      <c r="C1619" s="96" t="s">
        <v>1241</v>
      </c>
      <c r="D1619" s="96" t="s">
        <v>70</v>
      </c>
      <c r="E1619" s="96" t="s">
        <v>2061</v>
      </c>
      <c r="F1619" s="96" t="s">
        <v>2479</v>
      </c>
      <c r="G1619" s="88">
        <v>36348738000000</v>
      </c>
      <c r="H1619" s="91">
        <v>36348.737999999998</v>
      </c>
      <c r="I1619" s="100" t="s">
        <v>2405</v>
      </c>
    </row>
    <row r="1620" spans="1:9">
      <c r="A1620" s="95" t="s">
        <v>2409</v>
      </c>
      <c r="B1620" s="96" t="s">
        <v>2404</v>
      </c>
      <c r="C1620" s="96" t="s">
        <v>1241</v>
      </c>
      <c r="D1620" s="96" t="s">
        <v>1771</v>
      </c>
      <c r="E1620" s="96" t="s">
        <v>2480</v>
      </c>
      <c r="F1620" s="96" t="s">
        <v>2481</v>
      </c>
      <c r="G1620" s="88">
        <v>26713147000000</v>
      </c>
      <c r="H1620" s="91">
        <v>26713.147000000001</v>
      </c>
      <c r="I1620" s="100" t="s">
        <v>2405</v>
      </c>
    </row>
    <row r="1621" spans="1:9">
      <c r="A1621" s="95" t="s">
        <v>2409</v>
      </c>
      <c r="B1621" s="96" t="s">
        <v>2404</v>
      </c>
      <c r="C1621" s="96" t="s">
        <v>1241</v>
      </c>
      <c r="D1621" s="96" t="s">
        <v>1773</v>
      </c>
      <c r="E1621" s="96" t="s">
        <v>2482</v>
      </c>
      <c r="F1621" s="96" t="s">
        <v>2483</v>
      </c>
      <c r="G1621" s="88">
        <v>47769184000000</v>
      </c>
      <c r="H1621" s="91">
        <v>47769.184000000001</v>
      </c>
      <c r="I1621" s="100" t="s">
        <v>2405</v>
      </c>
    </row>
    <row r="1622" spans="1:9">
      <c r="A1622" s="95" t="s">
        <v>2409</v>
      </c>
      <c r="B1622" s="96" t="s">
        <v>2404</v>
      </c>
      <c r="C1622" s="96" t="s">
        <v>1241</v>
      </c>
      <c r="D1622" s="96" t="s">
        <v>1775</v>
      </c>
      <c r="E1622" s="96" t="s">
        <v>2484</v>
      </c>
      <c r="F1622" s="96" t="s">
        <v>2485</v>
      </c>
      <c r="G1622" s="88">
        <v>-21056037000000</v>
      </c>
      <c r="H1622" s="91">
        <v>-21056.037</v>
      </c>
      <c r="I1622" s="100" t="s">
        <v>2405</v>
      </c>
    </row>
    <row r="1623" spans="1:9">
      <c r="A1623" s="95" t="s">
        <v>2409</v>
      </c>
      <c r="B1623" s="96" t="s">
        <v>2404</v>
      </c>
      <c r="C1623" s="96" t="s">
        <v>1241</v>
      </c>
      <c r="D1623" s="96" t="s">
        <v>2486</v>
      </c>
      <c r="E1623" s="96" t="s">
        <v>2487</v>
      </c>
      <c r="F1623" s="96" t="s">
        <v>2488</v>
      </c>
      <c r="G1623" s="88">
        <v>218091000000</v>
      </c>
      <c r="H1623" s="91">
        <v>218.09100000000001</v>
      </c>
      <c r="I1623" s="100" t="s">
        <v>2405</v>
      </c>
    </row>
    <row r="1624" spans="1:9">
      <c r="A1624" s="95" t="s">
        <v>2409</v>
      </c>
      <c r="B1624" s="96" t="s">
        <v>2404</v>
      </c>
      <c r="C1624" s="96" t="s">
        <v>1241</v>
      </c>
      <c r="D1624" s="96" t="s">
        <v>1773</v>
      </c>
      <c r="E1624" s="96" t="s">
        <v>2482</v>
      </c>
      <c r="F1624" s="96" t="s">
        <v>2489</v>
      </c>
      <c r="G1624" s="88">
        <v>345223000000</v>
      </c>
      <c r="H1624" s="91">
        <v>345.22300000000001</v>
      </c>
      <c r="I1624" s="100" t="s">
        <v>2405</v>
      </c>
    </row>
    <row r="1625" spans="1:9">
      <c r="A1625" s="95" t="s">
        <v>2409</v>
      </c>
      <c r="B1625" s="96" t="s">
        <v>2404</v>
      </c>
      <c r="C1625" s="96" t="s">
        <v>1241</v>
      </c>
      <c r="D1625" s="96" t="s">
        <v>1775</v>
      </c>
      <c r="E1625" s="96" t="s">
        <v>2484</v>
      </c>
      <c r="F1625" s="96" t="s">
        <v>2490</v>
      </c>
      <c r="G1625" s="88">
        <v>-127132000000</v>
      </c>
      <c r="H1625" s="91">
        <v>-127.13200000000001</v>
      </c>
      <c r="I1625" s="100" t="s">
        <v>2405</v>
      </c>
    </row>
    <row r="1626" spans="1:9">
      <c r="A1626" s="95" t="s">
        <v>2409</v>
      </c>
      <c r="B1626" s="96" t="s">
        <v>2404</v>
      </c>
      <c r="C1626" s="96" t="s">
        <v>1241</v>
      </c>
      <c r="D1626" s="96" t="s">
        <v>1781</v>
      </c>
      <c r="E1626" s="96" t="s">
        <v>2491</v>
      </c>
      <c r="F1626" s="96" t="s">
        <v>2492</v>
      </c>
      <c r="G1626" s="88">
        <v>9417500000000</v>
      </c>
      <c r="H1626" s="91">
        <v>9417.5</v>
      </c>
      <c r="I1626" s="100" t="s">
        <v>2405</v>
      </c>
    </row>
    <row r="1627" spans="1:9">
      <c r="A1627" s="95" t="s">
        <v>2409</v>
      </c>
      <c r="B1627" s="96" t="s">
        <v>2404</v>
      </c>
      <c r="C1627" s="96" t="s">
        <v>1241</v>
      </c>
      <c r="D1627" s="96" t="s">
        <v>1773</v>
      </c>
      <c r="E1627" s="96" t="s">
        <v>2482</v>
      </c>
      <c r="F1627" s="96" t="s">
        <v>2493</v>
      </c>
      <c r="G1627" s="88">
        <v>13755526000000</v>
      </c>
      <c r="H1627" s="91">
        <v>13755.526</v>
      </c>
      <c r="I1627" s="100" t="s">
        <v>2405</v>
      </c>
    </row>
    <row r="1628" spans="1:9">
      <c r="A1628" s="95" t="s">
        <v>2409</v>
      </c>
      <c r="B1628" s="96" t="s">
        <v>2404</v>
      </c>
      <c r="C1628" s="96" t="s">
        <v>1241</v>
      </c>
      <c r="D1628" s="96" t="s">
        <v>1775</v>
      </c>
      <c r="E1628" s="96" t="s">
        <v>2484</v>
      </c>
      <c r="F1628" s="96" t="s">
        <v>2494</v>
      </c>
      <c r="G1628" s="88">
        <v>-4338026000000</v>
      </c>
      <c r="H1628" s="91">
        <v>-4338.0259999999998</v>
      </c>
      <c r="I1628" s="100" t="s">
        <v>2405</v>
      </c>
    </row>
    <row r="1629" spans="1:9">
      <c r="A1629" s="95" t="s">
        <v>2409</v>
      </c>
      <c r="B1629" s="96" t="s">
        <v>2404</v>
      </c>
      <c r="C1629" s="96" t="s">
        <v>1241</v>
      </c>
      <c r="D1629" s="96" t="s">
        <v>2495</v>
      </c>
      <c r="E1629" s="96" t="s">
        <v>2496</v>
      </c>
      <c r="F1629" s="96" t="s">
        <v>2497</v>
      </c>
      <c r="G1629" s="88">
        <v>0</v>
      </c>
      <c r="H1629" s="91">
        <v>0</v>
      </c>
      <c r="I1629" s="100" t="s">
        <v>2405</v>
      </c>
    </row>
    <row r="1630" spans="1:9">
      <c r="A1630" s="95" t="s">
        <v>2409</v>
      </c>
      <c r="B1630" s="96" t="s">
        <v>2404</v>
      </c>
      <c r="C1630" s="96" t="s">
        <v>1241</v>
      </c>
      <c r="D1630" s="96" t="s">
        <v>1802</v>
      </c>
      <c r="E1630" s="96" t="s">
        <v>2498</v>
      </c>
      <c r="F1630" s="96" t="s">
        <v>2499</v>
      </c>
      <c r="G1630" s="88">
        <v>3785000000</v>
      </c>
      <c r="H1630" s="91">
        <v>3.7850000000000001</v>
      </c>
      <c r="I1630" s="100" t="s">
        <v>2405</v>
      </c>
    </row>
    <row r="1631" spans="1:9">
      <c r="A1631" s="95" t="s">
        <v>2409</v>
      </c>
      <c r="B1631" s="96" t="s">
        <v>2404</v>
      </c>
      <c r="C1631" s="96" t="s">
        <v>1241</v>
      </c>
      <c r="D1631" s="96" t="s">
        <v>1773</v>
      </c>
      <c r="E1631" s="96" t="s">
        <v>2482</v>
      </c>
      <c r="F1631" s="96" t="s">
        <v>2500</v>
      </c>
      <c r="G1631" s="88">
        <v>18628000000</v>
      </c>
      <c r="H1631" s="91">
        <v>18.628</v>
      </c>
      <c r="I1631" s="100" t="s">
        <v>2405</v>
      </c>
    </row>
    <row r="1632" spans="1:9">
      <c r="A1632" s="95" t="s">
        <v>2409</v>
      </c>
      <c r="B1632" s="96" t="s">
        <v>2404</v>
      </c>
      <c r="C1632" s="96" t="s">
        <v>1241</v>
      </c>
      <c r="D1632" s="96" t="s">
        <v>1775</v>
      </c>
      <c r="E1632" s="96" t="s">
        <v>2484</v>
      </c>
      <c r="F1632" s="96" t="s">
        <v>2501</v>
      </c>
      <c r="G1632" s="88">
        <v>-14843000000</v>
      </c>
      <c r="H1632" s="91">
        <v>-14.843</v>
      </c>
      <c r="I1632" s="100" t="s">
        <v>2405</v>
      </c>
    </row>
    <row r="1633" spans="1:9">
      <c r="A1633" s="95" t="s">
        <v>2409</v>
      </c>
      <c r="B1633" s="96" t="s">
        <v>2404</v>
      </c>
      <c r="C1633" s="96" t="s">
        <v>1241</v>
      </c>
      <c r="D1633" s="96" t="s">
        <v>2063</v>
      </c>
      <c r="E1633" s="96" t="s">
        <v>2502</v>
      </c>
      <c r="F1633" s="96" t="s">
        <v>2503</v>
      </c>
      <c r="G1633" s="88">
        <v>36210272000000</v>
      </c>
      <c r="H1633" s="91">
        <v>36210.271999999997</v>
      </c>
      <c r="I1633" s="100" t="s">
        <v>2405</v>
      </c>
    </row>
    <row r="1634" spans="1:9">
      <c r="A1634" s="95" t="s">
        <v>2409</v>
      </c>
      <c r="B1634" s="96" t="s">
        <v>2404</v>
      </c>
      <c r="C1634" s="96" t="s">
        <v>1241</v>
      </c>
      <c r="D1634" s="96" t="s">
        <v>1812</v>
      </c>
      <c r="E1634" s="96" t="s">
        <v>2504</v>
      </c>
      <c r="F1634" s="96" t="s">
        <v>2505</v>
      </c>
      <c r="G1634" s="88">
        <v>0</v>
      </c>
      <c r="H1634" s="91">
        <v>0</v>
      </c>
      <c r="I1634" s="100" t="s">
        <v>2405</v>
      </c>
    </row>
    <row r="1635" spans="1:9">
      <c r="A1635" s="95" t="s">
        <v>2409</v>
      </c>
      <c r="B1635" s="96" t="s">
        <v>2404</v>
      </c>
      <c r="C1635" s="96" t="s">
        <v>1241</v>
      </c>
      <c r="D1635" s="96" t="s">
        <v>2506</v>
      </c>
      <c r="E1635" s="96" t="s">
        <v>2507</v>
      </c>
      <c r="F1635" s="96" t="s">
        <v>2508</v>
      </c>
      <c r="G1635" s="88">
        <v>34401422000000</v>
      </c>
      <c r="H1635" s="91">
        <v>34401.421999999999</v>
      </c>
      <c r="I1635" s="100" t="s">
        <v>2405</v>
      </c>
    </row>
    <row r="1636" spans="1:9">
      <c r="A1636" s="95" t="s">
        <v>2409</v>
      </c>
      <c r="B1636" s="96" t="s">
        <v>2404</v>
      </c>
      <c r="C1636" s="96" t="s">
        <v>1241</v>
      </c>
      <c r="D1636" s="96" t="s">
        <v>1824</v>
      </c>
      <c r="E1636" s="96" t="s">
        <v>2509</v>
      </c>
      <c r="F1636" s="96" t="s">
        <v>2510</v>
      </c>
      <c r="G1636" s="88">
        <v>2932523000000</v>
      </c>
      <c r="H1636" s="91">
        <v>2932.5230000000001</v>
      </c>
      <c r="I1636" s="100" t="s">
        <v>2405</v>
      </c>
    </row>
    <row r="1637" spans="1:9">
      <c r="A1637" s="95" t="s">
        <v>2409</v>
      </c>
      <c r="B1637" s="96" t="s">
        <v>2404</v>
      </c>
      <c r="C1637" s="96" t="s">
        <v>1241</v>
      </c>
      <c r="D1637" s="96" t="s">
        <v>2511</v>
      </c>
      <c r="E1637" s="96" t="s">
        <v>2512</v>
      </c>
      <c r="F1637" s="96" t="s">
        <v>2513</v>
      </c>
      <c r="G1637" s="88">
        <v>-1123673000000</v>
      </c>
      <c r="H1637" s="91">
        <v>-1123.673</v>
      </c>
      <c r="I1637" s="100" t="s">
        <v>2405</v>
      </c>
    </row>
    <row r="1638" spans="1:9">
      <c r="A1638" s="95" t="s">
        <v>2409</v>
      </c>
      <c r="B1638" s="96" t="s">
        <v>2404</v>
      </c>
      <c r="C1638" s="96" t="s">
        <v>1241</v>
      </c>
      <c r="D1638" s="96" t="s">
        <v>1836</v>
      </c>
      <c r="E1638" s="96" t="s">
        <v>2514</v>
      </c>
      <c r="F1638" s="96" t="s">
        <v>2515</v>
      </c>
      <c r="G1638" s="88">
        <v>0</v>
      </c>
      <c r="H1638" s="91">
        <v>0</v>
      </c>
      <c r="I1638" s="100" t="s">
        <v>2405</v>
      </c>
    </row>
    <row r="1639" spans="1:9">
      <c r="A1639" s="95" t="s">
        <v>2409</v>
      </c>
      <c r="B1639" s="96" t="s">
        <v>2404</v>
      </c>
      <c r="C1639" s="96" t="s">
        <v>1241</v>
      </c>
      <c r="D1639" s="96" t="s">
        <v>74</v>
      </c>
      <c r="E1639" s="96" t="s">
        <v>2064</v>
      </c>
      <c r="F1639" s="96" t="s">
        <v>2516</v>
      </c>
      <c r="G1639" s="88">
        <v>11075636000000</v>
      </c>
      <c r="H1639" s="91">
        <v>11075.636</v>
      </c>
      <c r="I1639" s="100" t="s">
        <v>2405</v>
      </c>
    </row>
    <row r="1640" spans="1:9">
      <c r="A1640" s="95" t="s">
        <v>2409</v>
      </c>
      <c r="B1640" s="96" t="s">
        <v>2404</v>
      </c>
      <c r="C1640" s="96" t="s">
        <v>1241</v>
      </c>
      <c r="D1640" s="96" t="s">
        <v>2517</v>
      </c>
      <c r="E1640" s="96" t="s">
        <v>2518</v>
      </c>
      <c r="F1640" s="96" t="s">
        <v>2519</v>
      </c>
      <c r="G1640" s="88">
        <v>6985737000000</v>
      </c>
      <c r="H1640" s="91">
        <v>6985.7370000000001</v>
      </c>
      <c r="I1640" s="100" t="s">
        <v>2405</v>
      </c>
    </row>
    <row r="1641" spans="1:9">
      <c r="A1641" s="95" t="s">
        <v>2409</v>
      </c>
      <c r="B1641" s="96" t="s">
        <v>2404</v>
      </c>
      <c r="C1641" s="96" t="s">
        <v>1241</v>
      </c>
      <c r="D1641" s="96" t="s">
        <v>1828</v>
      </c>
      <c r="E1641" s="96" t="s">
        <v>2520</v>
      </c>
      <c r="F1641" s="96" t="s">
        <v>2521</v>
      </c>
      <c r="G1641" s="88">
        <v>641488000000</v>
      </c>
      <c r="H1641" s="91">
        <v>641.48800000000006</v>
      </c>
      <c r="I1641" s="100" t="s">
        <v>2405</v>
      </c>
    </row>
    <row r="1642" spans="1:9">
      <c r="A1642" s="95" t="s">
        <v>2409</v>
      </c>
      <c r="B1642" s="96" t="s">
        <v>2404</v>
      </c>
      <c r="C1642" s="96" t="s">
        <v>1241</v>
      </c>
      <c r="D1642" s="96" t="s">
        <v>74</v>
      </c>
      <c r="E1642" s="96" t="s">
        <v>2064</v>
      </c>
      <c r="F1642" s="96" t="s">
        <v>2522</v>
      </c>
      <c r="G1642" s="88">
        <v>0</v>
      </c>
      <c r="H1642" s="91">
        <v>0</v>
      </c>
      <c r="I1642" s="100" t="s">
        <v>2405</v>
      </c>
    </row>
    <row r="1643" spans="1:9">
      <c r="A1643" s="95" t="s">
        <v>2409</v>
      </c>
      <c r="B1643" s="96" t="s">
        <v>2404</v>
      </c>
      <c r="C1643" s="96" t="s">
        <v>1241</v>
      </c>
      <c r="D1643" s="96" t="s">
        <v>76</v>
      </c>
      <c r="E1643" s="96" t="s">
        <v>75</v>
      </c>
      <c r="F1643" s="96" t="s">
        <v>1643</v>
      </c>
      <c r="G1643" s="88">
        <v>143152163000000</v>
      </c>
      <c r="H1643" s="91">
        <v>143152.163</v>
      </c>
      <c r="I1643" s="100" t="s">
        <v>2405</v>
      </c>
    </row>
    <row r="1644" spans="1:9">
      <c r="A1644" s="95" t="s">
        <v>2409</v>
      </c>
      <c r="B1644" s="96" t="s">
        <v>2404</v>
      </c>
      <c r="C1644" s="96" t="s">
        <v>1241</v>
      </c>
      <c r="D1644" s="96" t="s">
        <v>2523</v>
      </c>
      <c r="E1644" s="96" t="s">
        <v>487</v>
      </c>
      <c r="F1644" s="96" t="s">
        <v>2524</v>
      </c>
      <c r="G1644" s="88">
        <v>99823728000000</v>
      </c>
      <c r="H1644" s="91">
        <v>99823.728000000003</v>
      </c>
      <c r="I1644" s="100" t="s">
        <v>2405</v>
      </c>
    </row>
    <row r="1645" spans="1:9">
      <c r="A1645" s="95" t="s">
        <v>2409</v>
      </c>
      <c r="B1645" s="96" t="s">
        <v>2404</v>
      </c>
      <c r="C1645" s="96" t="s">
        <v>1241</v>
      </c>
      <c r="D1645" s="96" t="s">
        <v>82</v>
      </c>
      <c r="E1645" s="96" t="s">
        <v>2070</v>
      </c>
      <c r="F1645" s="96" t="s">
        <v>2525</v>
      </c>
      <c r="G1645" s="88">
        <v>52674701000000</v>
      </c>
      <c r="H1645" s="91">
        <v>52674.701000000001</v>
      </c>
      <c r="I1645" s="100" t="s">
        <v>2405</v>
      </c>
    </row>
    <row r="1646" spans="1:9">
      <c r="A1646" s="95" t="s">
        <v>2409</v>
      </c>
      <c r="B1646" s="96" t="s">
        <v>2404</v>
      </c>
      <c r="C1646" s="96" t="s">
        <v>1241</v>
      </c>
      <c r="D1646" s="96" t="s">
        <v>2526</v>
      </c>
      <c r="E1646" s="96" t="s">
        <v>2527</v>
      </c>
      <c r="F1646" s="96" t="s">
        <v>2528</v>
      </c>
      <c r="G1646" s="88">
        <v>24205929000000</v>
      </c>
      <c r="H1646" s="91">
        <v>24205.929</v>
      </c>
      <c r="I1646" s="100" t="s">
        <v>2405</v>
      </c>
    </row>
    <row r="1647" spans="1:9">
      <c r="A1647" s="95" t="s">
        <v>2409</v>
      </c>
      <c r="B1647" s="96" t="s">
        <v>2404</v>
      </c>
      <c r="C1647" s="96" t="s">
        <v>1241</v>
      </c>
      <c r="D1647" s="96" t="s">
        <v>2529</v>
      </c>
      <c r="E1647" s="96" t="s">
        <v>2530</v>
      </c>
      <c r="F1647" s="96" t="s">
        <v>2531</v>
      </c>
      <c r="G1647" s="88">
        <v>5827040000000</v>
      </c>
      <c r="H1647" s="91">
        <v>5827.04</v>
      </c>
      <c r="I1647" s="100" t="s">
        <v>2405</v>
      </c>
    </row>
    <row r="1648" spans="1:9">
      <c r="A1648" s="95" t="s">
        <v>2409</v>
      </c>
      <c r="B1648" s="96" t="s">
        <v>2404</v>
      </c>
      <c r="C1648" s="96" t="s">
        <v>1241</v>
      </c>
      <c r="D1648" s="96" t="s">
        <v>2532</v>
      </c>
      <c r="E1648" s="96" t="s">
        <v>2533</v>
      </c>
      <c r="F1648" s="96" t="s">
        <v>2534</v>
      </c>
      <c r="G1648" s="88">
        <v>184616000000</v>
      </c>
      <c r="H1648" s="91">
        <v>184.61600000000001</v>
      </c>
      <c r="I1648" s="100" t="s">
        <v>2405</v>
      </c>
    </row>
    <row r="1649" spans="1:9">
      <c r="A1649" s="95" t="s">
        <v>2409</v>
      </c>
      <c r="B1649" s="96" t="s">
        <v>2404</v>
      </c>
      <c r="C1649" s="96" t="s">
        <v>1241</v>
      </c>
      <c r="D1649" s="96" t="s">
        <v>2535</v>
      </c>
      <c r="E1649" s="96" t="s">
        <v>2536</v>
      </c>
      <c r="F1649" s="96" t="s">
        <v>2537</v>
      </c>
      <c r="G1649" s="88">
        <v>480317000000</v>
      </c>
      <c r="H1649" s="91">
        <v>480.31700000000001</v>
      </c>
      <c r="I1649" s="100" t="s">
        <v>2405</v>
      </c>
    </row>
    <row r="1650" spans="1:9">
      <c r="A1650" s="95" t="s">
        <v>2409</v>
      </c>
      <c r="B1650" s="96" t="s">
        <v>2404</v>
      </c>
      <c r="C1650" s="96" t="s">
        <v>1241</v>
      </c>
      <c r="D1650" s="96" t="s">
        <v>1846</v>
      </c>
      <c r="E1650" s="96" t="s">
        <v>2538</v>
      </c>
      <c r="F1650" s="96" t="s">
        <v>2539</v>
      </c>
      <c r="G1650" s="88">
        <v>362186000000</v>
      </c>
      <c r="H1650" s="91">
        <v>362.18599999999998</v>
      </c>
      <c r="I1650" s="100" t="s">
        <v>2405</v>
      </c>
    </row>
    <row r="1651" spans="1:9">
      <c r="A1651" s="95" t="s">
        <v>2409</v>
      </c>
      <c r="B1651" s="96" t="s">
        <v>2404</v>
      </c>
      <c r="C1651" s="96" t="s">
        <v>1241</v>
      </c>
      <c r="D1651" s="96" t="s">
        <v>2540</v>
      </c>
      <c r="E1651" s="96" t="s">
        <v>2541</v>
      </c>
      <c r="F1651" s="96" t="s">
        <v>2542</v>
      </c>
      <c r="G1651" s="88">
        <v>4230212000000</v>
      </c>
      <c r="H1651" s="91">
        <v>4230.2120000000004</v>
      </c>
      <c r="I1651" s="100" t="s">
        <v>2405</v>
      </c>
    </row>
    <row r="1652" spans="1:9">
      <c r="A1652" s="95" t="s">
        <v>2409</v>
      </c>
      <c r="B1652" s="96" t="s">
        <v>2404</v>
      </c>
      <c r="C1652" s="96" t="s">
        <v>1241</v>
      </c>
      <c r="D1652" s="96" t="s">
        <v>2543</v>
      </c>
      <c r="E1652" s="96" t="s">
        <v>2544</v>
      </c>
      <c r="F1652" s="96" t="s">
        <v>2545</v>
      </c>
      <c r="G1652" s="88">
        <v>0</v>
      </c>
      <c r="H1652" s="91">
        <v>0</v>
      </c>
      <c r="I1652" s="100" t="s">
        <v>2405</v>
      </c>
    </row>
    <row r="1653" spans="1:9">
      <c r="A1653" s="95" t="s">
        <v>2409</v>
      </c>
      <c r="B1653" s="96" t="s">
        <v>2404</v>
      </c>
      <c r="C1653" s="96" t="s">
        <v>1241</v>
      </c>
      <c r="D1653" s="96" t="s">
        <v>2546</v>
      </c>
      <c r="E1653" s="96" t="s">
        <v>2547</v>
      </c>
      <c r="F1653" s="96" t="s">
        <v>2548</v>
      </c>
      <c r="G1653" s="88">
        <v>0</v>
      </c>
      <c r="H1653" s="91">
        <v>0</v>
      </c>
      <c r="I1653" s="100" t="s">
        <v>2405</v>
      </c>
    </row>
    <row r="1654" spans="1:9">
      <c r="A1654" s="95" t="s">
        <v>2409</v>
      </c>
      <c r="B1654" s="96" t="s">
        <v>2404</v>
      </c>
      <c r="C1654" s="96" t="s">
        <v>1241</v>
      </c>
      <c r="D1654" s="96" t="s">
        <v>2549</v>
      </c>
      <c r="E1654" s="96" t="s">
        <v>2550</v>
      </c>
      <c r="F1654" s="96" t="s">
        <v>2551</v>
      </c>
      <c r="G1654" s="88">
        <v>17308844000000</v>
      </c>
      <c r="H1654" s="91">
        <v>17308.844000000001</v>
      </c>
      <c r="I1654" s="100" t="s">
        <v>2405</v>
      </c>
    </row>
    <row r="1655" spans="1:9">
      <c r="A1655" s="95" t="s">
        <v>2409</v>
      </c>
      <c r="B1655" s="96" t="s">
        <v>2404</v>
      </c>
      <c r="C1655" s="96" t="s">
        <v>1241</v>
      </c>
      <c r="D1655" s="96" t="s">
        <v>2552</v>
      </c>
      <c r="E1655" s="96" t="s">
        <v>2553</v>
      </c>
      <c r="F1655" s="96" t="s">
        <v>2554</v>
      </c>
      <c r="G1655" s="88">
        <v>16734000000</v>
      </c>
      <c r="H1655" s="91">
        <v>16.734000000000002</v>
      </c>
      <c r="I1655" s="100" t="s">
        <v>2405</v>
      </c>
    </row>
    <row r="1656" spans="1:9">
      <c r="A1656" s="95" t="s">
        <v>2409</v>
      </c>
      <c r="B1656" s="96" t="s">
        <v>2404</v>
      </c>
      <c r="C1656" s="96" t="s">
        <v>1241</v>
      </c>
      <c r="D1656" s="96" t="s">
        <v>2555</v>
      </c>
      <c r="E1656" s="96" t="s">
        <v>2556</v>
      </c>
      <c r="F1656" s="96" t="s">
        <v>2557</v>
      </c>
      <c r="G1656" s="88">
        <v>31125000000</v>
      </c>
      <c r="H1656" s="91">
        <v>31.125</v>
      </c>
      <c r="I1656" s="100" t="s">
        <v>2405</v>
      </c>
    </row>
    <row r="1657" spans="1:9">
      <c r="A1657" s="95" t="s">
        <v>2409</v>
      </c>
      <c r="B1657" s="96" t="s">
        <v>2404</v>
      </c>
      <c r="C1657" s="96" t="s">
        <v>1241</v>
      </c>
      <c r="D1657" s="96" t="s">
        <v>86</v>
      </c>
      <c r="E1657" s="96" t="s">
        <v>2073</v>
      </c>
      <c r="F1657" s="96" t="s">
        <v>2558</v>
      </c>
      <c r="G1657" s="88">
        <v>47149027000000</v>
      </c>
      <c r="H1657" s="91">
        <v>47149.027000000002</v>
      </c>
      <c r="I1657" s="100" t="s">
        <v>2405</v>
      </c>
    </row>
    <row r="1658" spans="1:9">
      <c r="A1658" s="95" t="s">
        <v>2409</v>
      </c>
      <c r="B1658" s="96" t="s">
        <v>2404</v>
      </c>
      <c r="C1658" s="96" t="s">
        <v>1241</v>
      </c>
      <c r="D1658" s="96" t="s">
        <v>1866</v>
      </c>
      <c r="E1658" s="96" t="s">
        <v>2559</v>
      </c>
      <c r="F1658" s="96" t="s">
        <v>2560</v>
      </c>
      <c r="G1658" s="88">
        <v>17327000000</v>
      </c>
      <c r="H1658" s="91">
        <v>17.327000000000002</v>
      </c>
      <c r="I1658" s="100" t="s">
        <v>2405</v>
      </c>
    </row>
    <row r="1659" spans="1:9">
      <c r="A1659" s="95" t="s">
        <v>2409</v>
      </c>
      <c r="B1659" s="96" t="s">
        <v>2404</v>
      </c>
      <c r="C1659" s="96" t="s">
        <v>1241</v>
      </c>
      <c r="D1659" s="96" t="s">
        <v>2561</v>
      </c>
      <c r="E1659" s="96" t="s">
        <v>2562</v>
      </c>
      <c r="F1659" s="96" t="s">
        <v>2563</v>
      </c>
      <c r="G1659" s="88">
        <v>0</v>
      </c>
      <c r="H1659" s="91">
        <v>0</v>
      </c>
      <c r="I1659" s="100" t="s">
        <v>2405</v>
      </c>
    </row>
    <row r="1660" spans="1:9">
      <c r="A1660" s="95" t="s">
        <v>2409</v>
      </c>
      <c r="B1660" s="96" t="s">
        <v>2404</v>
      </c>
      <c r="C1660" s="96" t="s">
        <v>1241</v>
      </c>
      <c r="D1660" s="96" t="s">
        <v>2564</v>
      </c>
      <c r="E1660" s="96" t="s">
        <v>2565</v>
      </c>
      <c r="F1660" s="96" t="s">
        <v>2566</v>
      </c>
      <c r="G1660" s="88">
        <v>6914282000000</v>
      </c>
      <c r="H1660" s="91">
        <v>6914.2820000000002</v>
      </c>
      <c r="I1660" s="100" t="s">
        <v>2405</v>
      </c>
    </row>
    <row r="1661" spans="1:9">
      <c r="A1661" s="95" t="s">
        <v>2409</v>
      </c>
      <c r="B1661" s="96" t="s">
        <v>2404</v>
      </c>
      <c r="C1661" s="96" t="s">
        <v>1241</v>
      </c>
      <c r="D1661" s="96" t="s">
        <v>2567</v>
      </c>
      <c r="E1661" s="96" t="s">
        <v>2568</v>
      </c>
      <c r="F1661" s="96" t="s">
        <v>2569</v>
      </c>
      <c r="G1661" s="88">
        <v>37107493000000</v>
      </c>
      <c r="H1661" s="91">
        <v>37107.493000000002</v>
      </c>
      <c r="I1661" s="100" t="s">
        <v>2405</v>
      </c>
    </row>
    <row r="1662" spans="1:9">
      <c r="A1662" s="95" t="s">
        <v>2409</v>
      </c>
      <c r="B1662" s="96" t="s">
        <v>2404</v>
      </c>
      <c r="C1662" s="96" t="s">
        <v>1241</v>
      </c>
      <c r="D1662" s="96" t="s">
        <v>1886</v>
      </c>
      <c r="E1662" s="96" t="s">
        <v>2570</v>
      </c>
      <c r="F1662" s="96" t="s">
        <v>2521</v>
      </c>
      <c r="G1662" s="88">
        <v>2418890000000</v>
      </c>
      <c r="H1662" s="91">
        <v>2418.89</v>
      </c>
      <c r="I1662" s="100" t="s">
        <v>2405</v>
      </c>
    </row>
    <row r="1663" spans="1:9">
      <c r="A1663" s="95" t="s">
        <v>2409</v>
      </c>
      <c r="B1663" s="96" t="s">
        <v>2404</v>
      </c>
      <c r="C1663" s="96" t="s">
        <v>1241</v>
      </c>
      <c r="D1663" s="96" t="s">
        <v>1892</v>
      </c>
      <c r="E1663" s="96" t="s">
        <v>2571</v>
      </c>
      <c r="F1663" s="96" t="s">
        <v>2572</v>
      </c>
      <c r="G1663" s="88">
        <v>0</v>
      </c>
      <c r="H1663" s="91">
        <v>0</v>
      </c>
      <c r="I1663" s="100" t="s">
        <v>2405</v>
      </c>
    </row>
    <row r="1664" spans="1:9">
      <c r="A1664" s="95" t="s">
        <v>2409</v>
      </c>
      <c r="B1664" s="96" t="s">
        <v>2404</v>
      </c>
      <c r="C1664" s="96" t="s">
        <v>1241</v>
      </c>
      <c r="D1664" s="96" t="s">
        <v>1888</v>
      </c>
      <c r="E1664" s="96" t="s">
        <v>2573</v>
      </c>
      <c r="F1664" s="96" t="s">
        <v>2574</v>
      </c>
      <c r="G1664" s="88">
        <v>490098000000</v>
      </c>
      <c r="H1664" s="91">
        <v>490.09800000000001</v>
      </c>
      <c r="I1664" s="100" t="s">
        <v>2405</v>
      </c>
    </row>
    <row r="1665" spans="1:9">
      <c r="A1665" s="95" t="s">
        <v>2409</v>
      </c>
      <c r="B1665" s="96" t="s">
        <v>2404</v>
      </c>
      <c r="C1665" s="96" t="s">
        <v>1241</v>
      </c>
      <c r="D1665" s="96" t="s">
        <v>2575</v>
      </c>
      <c r="E1665" s="96" t="s">
        <v>2576</v>
      </c>
      <c r="F1665" s="96" t="s">
        <v>2577</v>
      </c>
      <c r="G1665" s="88">
        <v>0</v>
      </c>
      <c r="H1665" s="91">
        <v>0</v>
      </c>
      <c r="I1665" s="100" t="s">
        <v>2405</v>
      </c>
    </row>
    <row r="1666" spans="1:9">
      <c r="A1666" s="95" t="s">
        <v>2409</v>
      </c>
      <c r="B1666" s="96" t="s">
        <v>2404</v>
      </c>
      <c r="C1666" s="96" t="s">
        <v>1241</v>
      </c>
      <c r="D1666" s="96" t="s">
        <v>2578</v>
      </c>
      <c r="E1666" s="96" t="s">
        <v>2579</v>
      </c>
      <c r="F1666" s="96" t="s">
        <v>2580</v>
      </c>
      <c r="G1666" s="88">
        <v>0</v>
      </c>
      <c r="H1666" s="91">
        <v>0</v>
      </c>
      <c r="I1666" s="100" t="s">
        <v>2405</v>
      </c>
    </row>
    <row r="1667" spans="1:9">
      <c r="A1667" s="95" t="s">
        <v>2409</v>
      </c>
      <c r="B1667" s="96" t="s">
        <v>2404</v>
      </c>
      <c r="C1667" s="96" t="s">
        <v>1241</v>
      </c>
      <c r="D1667" s="96" t="s">
        <v>2581</v>
      </c>
      <c r="E1667" s="96" t="s">
        <v>2582</v>
      </c>
      <c r="F1667" s="96" t="s">
        <v>2583</v>
      </c>
      <c r="G1667" s="88">
        <v>43328435000000</v>
      </c>
      <c r="H1667" s="91">
        <v>43328.434999999998</v>
      </c>
      <c r="I1667" s="100" t="s">
        <v>2405</v>
      </c>
    </row>
    <row r="1668" spans="1:9">
      <c r="A1668" s="95" t="s">
        <v>2409</v>
      </c>
      <c r="B1668" s="96" t="s">
        <v>2404</v>
      </c>
      <c r="C1668" s="96" t="s">
        <v>1241</v>
      </c>
      <c r="D1668" s="96" t="s">
        <v>2584</v>
      </c>
      <c r="E1668" s="96" t="s">
        <v>2585</v>
      </c>
      <c r="F1668" s="96" t="s">
        <v>2586</v>
      </c>
      <c r="G1668" s="88">
        <v>43328435000000</v>
      </c>
      <c r="H1668" s="91">
        <v>43328.434999999998</v>
      </c>
      <c r="I1668" s="100" t="s">
        <v>2405</v>
      </c>
    </row>
    <row r="1669" spans="1:9">
      <c r="A1669" s="95" t="s">
        <v>2409</v>
      </c>
      <c r="B1669" s="96" t="s">
        <v>2404</v>
      </c>
      <c r="C1669" s="96" t="s">
        <v>1241</v>
      </c>
      <c r="D1669" s="96" t="s">
        <v>2587</v>
      </c>
      <c r="E1669" s="96" t="s">
        <v>2588</v>
      </c>
      <c r="F1669" s="96" t="s">
        <v>2589</v>
      </c>
      <c r="G1669" s="88">
        <v>15129281000000</v>
      </c>
      <c r="H1669" s="91">
        <v>15129.281000000001</v>
      </c>
      <c r="I1669" s="100" t="s">
        <v>2405</v>
      </c>
    </row>
    <row r="1670" spans="1:9">
      <c r="A1670" s="95" t="s">
        <v>2409</v>
      </c>
      <c r="B1670" s="96" t="s">
        <v>2404</v>
      </c>
      <c r="C1670" s="96" t="s">
        <v>1241</v>
      </c>
      <c r="D1670" s="96" t="s">
        <v>1900</v>
      </c>
      <c r="E1670" s="96" t="s">
        <v>2590</v>
      </c>
      <c r="F1670" s="96" t="s">
        <v>2591</v>
      </c>
      <c r="G1670" s="88">
        <v>14164558000000</v>
      </c>
      <c r="H1670" s="91">
        <v>14164.558000000001</v>
      </c>
      <c r="I1670" s="100" t="s">
        <v>2405</v>
      </c>
    </row>
    <row r="1671" spans="1:9">
      <c r="A1671" s="95" t="s">
        <v>2409</v>
      </c>
      <c r="B1671" s="96" t="s">
        <v>2404</v>
      </c>
      <c r="C1671" s="96" t="s">
        <v>1241</v>
      </c>
      <c r="D1671" s="96" t="s">
        <v>2592</v>
      </c>
      <c r="E1671" s="96" t="s">
        <v>2593</v>
      </c>
      <c r="F1671" s="96" t="s">
        <v>2594</v>
      </c>
      <c r="G1671" s="88">
        <v>-8388147000000</v>
      </c>
      <c r="H1671" s="91">
        <v>-8388.1470000000008</v>
      </c>
      <c r="I1671" s="100" t="s">
        <v>2405</v>
      </c>
    </row>
    <row r="1672" spans="1:9">
      <c r="A1672" s="95" t="s">
        <v>2409</v>
      </c>
      <c r="B1672" s="96" t="s">
        <v>2404</v>
      </c>
      <c r="C1672" s="96" t="s">
        <v>1241</v>
      </c>
      <c r="D1672" s="96" t="s">
        <v>1906</v>
      </c>
      <c r="E1672" s="96" t="s">
        <v>2595</v>
      </c>
      <c r="F1672" s="96" t="s">
        <v>2596</v>
      </c>
      <c r="G1672" s="88">
        <v>0</v>
      </c>
      <c r="H1672" s="91">
        <v>0</v>
      </c>
      <c r="I1672" s="100" t="s">
        <v>2405</v>
      </c>
    </row>
    <row r="1673" spans="1:9">
      <c r="A1673" s="95" t="s">
        <v>2409</v>
      </c>
      <c r="B1673" s="96" t="s">
        <v>2404</v>
      </c>
      <c r="C1673" s="96" t="s">
        <v>1241</v>
      </c>
      <c r="D1673" s="96" t="s">
        <v>2597</v>
      </c>
      <c r="E1673" s="96" t="s">
        <v>2598</v>
      </c>
      <c r="F1673" s="96" t="s">
        <v>2599</v>
      </c>
      <c r="G1673" s="88">
        <v>0</v>
      </c>
      <c r="H1673" s="91">
        <v>0</v>
      </c>
      <c r="I1673" s="100" t="s">
        <v>2405</v>
      </c>
    </row>
    <row r="1674" spans="1:9">
      <c r="A1674" s="95" t="s">
        <v>2409</v>
      </c>
      <c r="B1674" s="96" t="s">
        <v>2404</v>
      </c>
      <c r="C1674" s="96" t="s">
        <v>1241</v>
      </c>
      <c r="D1674" s="96" t="s">
        <v>1910</v>
      </c>
      <c r="E1674" s="96" t="s">
        <v>2600</v>
      </c>
      <c r="F1674" s="96" t="s">
        <v>2601</v>
      </c>
      <c r="G1674" s="88">
        <v>9890000000</v>
      </c>
      <c r="H1674" s="91">
        <v>9.89</v>
      </c>
      <c r="I1674" s="100" t="s">
        <v>2405</v>
      </c>
    </row>
    <row r="1675" spans="1:9">
      <c r="A1675" s="95" t="s">
        <v>2409</v>
      </c>
      <c r="B1675" s="96" t="s">
        <v>2404</v>
      </c>
      <c r="C1675" s="96" t="s">
        <v>1241</v>
      </c>
      <c r="D1675" s="96" t="s">
        <v>2602</v>
      </c>
      <c r="E1675" s="96" t="s">
        <v>2603</v>
      </c>
      <c r="F1675" s="96" t="s">
        <v>2604</v>
      </c>
      <c r="G1675" s="88">
        <v>0</v>
      </c>
      <c r="H1675" s="91">
        <v>0</v>
      </c>
      <c r="I1675" s="100" t="s">
        <v>2405</v>
      </c>
    </row>
    <row r="1676" spans="1:9">
      <c r="A1676" s="95" t="s">
        <v>2409</v>
      </c>
      <c r="B1676" s="96" t="s">
        <v>2404</v>
      </c>
      <c r="C1676" s="96" t="s">
        <v>1241</v>
      </c>
      <c r="D1676" s="96" t="s">
        <v>2605</v>
      </c>
      <c r="E1676" s="96" t="s">
        <v>2606</v>
      </c>
      <c r="F1676" s="96" t="s">
        <v>2607</v>
      </c>
      <c r="G1676" s="88">
        <v>0</v>
      </c>
      <c r="H1676" s="91">
        <v>0</v>
      </c>
      <c r="I1676" s="100" t="s">
        <v>2405</v>
      </c>
    </row>
    <row r="1677" spans="1:9">
      <c r="A1677" s="95" t="s">
        <v>2409</v>
      </c>
      <c r="B1677" s="96" t="s">
        <v>2404</v>
      </c>
      <c r="C1677" s="96" t="s">
        <v>1241</v>
      </c>
      <c r="D1677" s="96" t="s">
        <v>2608</v>
      </c>
      <c r="E1677" s="96" t="s">
        <v>2609</v>
      </c>
      <c r="F1677" s="96" t="s">
        <v>2610</v>
      </c>
      <c r="G1677" s="88">
        <v>0</v>
      </c>
      <c r="H1677" s="91">
        <v>0</v>
      </c>
      <c r="I1677" s="100" t="s">
        <v>2405</v>
      </c>
    </row>
    <row r="1678" spans="1:9">
      <c r="A1678" s="95" t="s">
        <v>2409</v>
      </c>
      <c r="B1678" s="96" t="s">
        <v>2404</v>
      </c>
      <c r="C1678" s="96" t="s">
        <v>1241</v>
      </c>
      <c r="D1678" s="96" t="s">
        <v>2611</v>
      </c>
      <c r="E1678" s="96" t="s">
        <v>2612</v>
      </c>
      <c r="F1678" s="96" t="s">
        <v>2613</v>
      </c>
      <c r="G1678" s="88">
        <v>9834497000000</v>
      </c>
      <c r="H1678" s="91">
        <v>9834.4969999999994</v>
      </c>
      <c r="I1678" s="100" t="s">
        <v>2405</v>
      </c>
    </row>
    <row r="1679" spans="1:9">
      <c r="A1679" s="95" t="s">
        <v>2409</v>
      </c>
      <c r="B1679" s="96" t="s">
        <v>2404</v>
      </c>
      <c r="C1679" s="96" t="s">
        <v>1241</v>
      </c>
      <c r="D1679" s="96" t="s">
        <v>2614</v>
      </c>
      <c r="E1679" s="96" t="s">
        <v>2615</v>
      </c>
      <c r="F1679" s="96" t="s">
        <v>2616</v>
      </c>
      <c r="G1679" s="88">
        <v>0</v>
      </c>
      <c r="H1679" s="91">
        <v>0</v>
      </c>
      <c r="I1679" s="100" t="s">
        <v>2405</v>
      </c>
    </row>
    <row r="1680" spans="1:9">
      <c r="A1680" s="95" t="s">
        <v>2409</v>
      </c>
      <c r="B1680" s="96" t="s">
        <v>2404</v>
      </c>
      <c r="C1680" s="96" t="s">
        <v>1241</v>
      </c>
      <c r="D1680" s="96" t="s">
        <v>2617</v>
      </c>
      <c r="E1680" s="96" t="s">
        <v>2618</v>
      </c>
      <c r="F1680" s="96" t="s">
        <v>2619</v>
      </c>
      <c r="G1680" s="88">
        <v>0</v>
      </c>
      <c r="H1680" s="91">
        <v>0</v>
      </c>
      <c r="I1680" s="100" t="s">
        <v>2405</v>
      </c>
    </row>
    <row r="1681" spans="1:9">
      <c r="A1681" s="95" t="s">
        <v>2409</v>
      </c>
      <c r="B1681" s="96" t="s">
        <v>2404</v>
      </c>
      <c r="C1681" s="96" t="s">
        <v>1241</v>
      </c>
      <c r="D1681" s="96" t="s">
        <v>2620</v>
      </c>
      <c r="E1681" s="96" t="s">
        <v>2621</v>
      </c>
      <c r="F1681" s="96" t="s">
        <v>2622</v>
      </c>
      <c r="G1681" s="88">
        <v>0</v>
      </c>
      <c r="H1681" s="91">
        <v>0</v>
      </c>
      <c r="I1681" s="100" t="s">
        <v>2405</v>
      </c>
    </row>
    <row r="1682" spans="1:9">
      <c r="A1682" s="95" t="s">
        <v>2409</v>
      </c>
      <c r="B1682" s="96" t="s">
        <v>2404</v>
      </c>
      <c r="C1682" s="96" t="s">
        <v>1241</v>
      </c>
      <c r="D1682" s="96" t="s">
        <v>2617</v>
      </c>
      <c r="E1682" s="96" t="s">
        <v>2618</v>
      </c>
      <c r="F1682" s="96" t="s">
        <v>2623</v>
      </c>
      <c r="G1682" s="88">
        <v>0</v>
      </c>
      <c r="H1682" s="91">
        <v>0</v>
      </c>
      <c r="I1682" s="100" t="s">
        <v>2405</v>
      </c>
    </row>
    <row r="1683" spans="1:9">
      <c r="A1683" s="95" t="s">
        <v>2409</v>
      </c>
      <c r="B1683" s="96" t="s">
        <v>2404</v>
      </c>
      <c r="C1683" s="96" t="s">
        <v>1241</v>
      </c>
      <c r="D1683" s="96" t="s">
        <v>2624</v>
      </c>
      <c r="E1683" s="96" t="s">
        <v>2625</v>
      </c>
      <c r="F1683" s="96" t="s">
        <v>1631</v>
      </c>
      <c r="G1683" s="88">
        <v>0</v>
      </c>
      <c r="H1683" s="91">
        <v>0</v>
      </c>
      <c r="I1683" s="100" t="s">
        <v>2405</v>
      </c>
    </row>
    <row r="1684" spans="1:9">
      <c r="A1684" s="95" t="s">
        <v>2409</v>
      </c>
      <c r="B1684" s="96" t="s">
        <v>2404</v>
      </c>
      <c r="C1684" s="96" t="s">
        <v>1241</v>
      </c>
      <c r="D1684" s="96" t="s">
        <v>2626</v>
      </c>
      <c r="E1684" s="96" t="s">
        <v>2627</v>
      </c>
      <c r="F1684" s="96" t="s">
        <v>2628</v>
      </c>
      <c r="G1684" s="88">
        <v>143152163000000</v>
      </c>
      <c r="H1684" s="91">
        <v>143152.163</v>
      </c>
      <c r="I1684" s="100" t="s">
        <v>2405</v>
      </c>
    </row>
    <row r="1685" spans="1:9">
      <c r="A1685" s="95" t="s">
        <v>2409</v>
      </c>
      <c r="B1685" s="96" t="s">
        <v>2404</v>
      </c>
      <c r="C1685" s="96" t="s">
        <v>1241</v>
      </c>
      <c r="D1685" s="96" t="s">
        <v>2629</v>
      </c>
      <c r="E1685" s="96" t="s">
        <v>2630</v>
      </c>
      <c r="F1685" s="96" t="s">
        <v>2631</v>
      </c>
      <c r="G1685" s="88">
        <v>0</v>
      </c>
      <c r="H1685" s="91">
        <v>0</v>
      </c>
      <c r="I1685" s="100" t="s">
        <v>2405</v>
      </c>
    </row>
    <row r="1686" spans="1:9">
      <c r="A1686" s="95" t="s">
        <v>2409</v>
      </c>
      <c r="B1686" s="96" t="s">
        <v>2404</v>
      </c>
      <c r="C1686" s="96" t="s">
        <v>1241</v>
      </c>
      <c r="D1686" s="96" t="s">
        <v>2632</v>
      </c>
      <c r="E1686" s="96" t="s">
        <v>2633</v>
      </c>
      <c r="F1686" s="96" t="s">
        <v>2634</v>
      </c>
      <c r="G1686" s="88">
        <v>404193000000</v>
      </c>
      <c r="H1686" s="91">
        <v>404.19299999999998</v>
      </c>
      <c r="I1686" s="100" t="s">
        <v>2405</v>
      </c>
    </row>
    <row r="1687" spans="1:9">
      <c r="A1687" s="95" t="s">
        <v>2409</v>
      </c>
      <c r="B1687" s="96" t="s">
        <v>2404</v>
      </c>
      <c r="C1687" s="96" t="s">
        <v>1241</v>
      </c>
      <c r="D1687" s="96" t="s">
        <v>2635</v>
      </c>
      <c r="E1687" s="96" t="s">
        <v>2636</v>
      </c>
      <c r="F1687" s="96" t="s">
        <v>2637</v>
      </c>
      <c r="G1687" s="88">
        <v>0</v>
      </c>
      <c r="H1687" s="91">
        <v>0</v>
      </c>
      <c r="I1687" s="100" t="s">
        <v>2405</v>
      </c>
    </row>
    <row r="1688" spans="1:9">
      <c r="A1688" s="95" t="s">
        <v>2409</v>
      </c>
      <c r="B1688" s="96" t="s">
        <v>2404</v>
      </c>
      <c r="C1688" s="96" t="s">
        <v>1241</v>
      </c>
      <c r="D1688" s="96" t="s">
        <v>2638</v>
      </c>
      <c r="E1688" s="96" t="s">
        <v>2639</v>
      </c>
      <c r="F1688" s="96" t="s">
        <v>2640</v>
      </c>
      <c r="G1688" s="88">
        <v>15988000000</v>
      </c>
      <c r="H1688" s="91">
        <v>15.988</v>
      </c>
      <c r="I1688" s="100" t="s">
        <v>2405</v>
      </c>
    </row>
    <row r="1689" spans="1:9">
      <c r="A1689" s="95" t="s">
        <v>2409</v>
      </c>
      <c r="B1689" s="96" t="s">
        <v>2404</v>
      </c>
      <c r="C1689" s="96" t="s">
        <v>1241</v>
      </c>
      <c r="D1689" s="96" t="s">
        <v>2641</v>
      </c>
      <c r="E1689" s="96" t="s">
        <v>2642</v>
      </c>
      <c r="F1689" s="96" t="s">
        <v>2643</v>
      </c>
      <c r="G1689" s="88">
        <v>81150000000</v>
      </c>
      <c r="H1689" s="91">
        <v>81.150000000000006</v>
      </c>
      <c r="I1689" s="100" t="s">
        <v>2405</v>
      </c>
    </row>
    <row r="1690" spans="1:9">
      <c r="A1690" s="95" t="s">
        <v>2409</v>
      </c>
      <c r="B1690" s="96" t="s">
        <v>2404</v>
      </c>
      <c r="C1690" s="96" t="s">
        <v>1241</v>
      </c>
      <c r="D1690" s="96" t="s">
        <v>2644</v>
      </c>
      <c r="E1690" s="96" t="s">
        <v>2645</v>
      </c>
      <c r="F1690" s="96" t="s">
        <v>2646</v>
      </c>
      <c r="G1690" s="88">
        <v>0</v>
      </c>
      <c r="H1690" s="91">
        <v>0</v>
      </c>
      <c r="I1690" s="100" t="s">
        <v>2405</v>
      </c>
    </row>
    <row r="1691" spans="1:9">
      <c r="A1691" s="95" t="s">
        <v>2409</v>
      </c>
      <c r="B1691" s="96" t="s">
        <v>2404</v>
      </c>
      <c r="C1691" s="96" t="s">
        <v>1241</v>
      </c>
      <c r="D1691" s="96" t="s">
        <v>1759</v>
      </c>
      <c r="E1691" s="96" t="s">
        <v>2647</v>
      </c>
      <c r="F1691" s="96" t="s">
        <v>2648</v>
      </c>
      <c r="G1691" s="88">
        <v>0</v>
      </c>
      <c r="H1691" s="91">
        <v>0</v>
      </c>
      <c r="I1691" s="100" t="s">
        <v>2405</v>
      </c>
    </row>
    <row r="1692" spans="1:9">
      <c r="A1692" s="95" t="s">
        <v>2409</v>
      </c>
      <c r="B1692" s="96" t="s">
        <v>2404</v>
      </c>
      <c r="C1692" s="96" t="s">
        <v>1241</v>
      </c>
      <c r="D1692" s="96" t="s">
        <v>2649</v>
      </c>
      <c r="E1692" s="96" t="s">
        <v>2650</v>
      </c>
      <c r="F1692" s="96" t="s">
        <v>2651</v>
      </c>
      <c r="G1692" s="88">
        <v>79200000000</v>
      </c>
      <c r="H1692" s="91">
        <v>79.2</v>
      </c>
      <c r="I1692" s="100" t="s">
        <v>2405</v>
      </c>
    </row>
    <row r="1693" spans="1:9">
      <c r="A1693" s="95" t="s">
        <v>2409</v>
      </c>
      <c r="B1693" s="96" t="s">
        <v>2404</v>
      </c>
      <c r="C1693" s="96" t="s">
        <v>1241</v>
      </c>
      <c r="D1693" s="96" t="s">
        <v>2652</v>
      </c>
      <c r="E1693" s="96" t="s">
        <v>2653</v>
      </c>
      <c r="F1693" s="96" t="s">
        <v>2654</v>
      </c>
      <c r="G1693" s="88">
        <v>1685910000000</v>
      </c>
      <c r="H1693" s="91">
        <v>1685.91</v>
      </c>
      <c r="I1693" s="100" t="s">
        <v>2405</v>
      </c>
    </row>
    <row r="1694" spans="1:9">
      <c r="A1694" s="95" t="s">
        <v>2409</v>
      </c>
      <c r="B1694" s="96" t="s">
        <v>2404</v>
      </c>
      <c r="C1694" s="96" t="s">
        <v>1241</v>
      </c>
      <c r="D1694" s="96" t="s">
        <v>2655</v>
      </c>
      <c r="E1694" s="96" t="s">
        <v>2656</v>
      </c>
      <c r="F1694" s="96" t="s">
        <v>2657</v>
      </c>
      <c r="G1694" s="88">
        <v>0</v>
      </c>
      <c r="H1694" s="91">
        <v>0</v>
      </c>
      <c r="I1694" s="100" t="s">
        <v>2405</v>
      </c>
    </row>
    <row r="1695" spans="1:9">
      <c r="A1695" s="95" t="s">
        <v>2409</v>
      </c>
      <c r="B1695" s="96" t="s">
        <v>2404</v>
      </c>
      <c r="C1695" s="96" t="s">
        <v>1241</v>
      </c>
      <c r="D1695" s="96" t="s">
        <v>2632</v>
      </c>
      <c r="E1695" s="96" t="s">
        <v>2633</v>
      </c>
      <c r="F1695" s="96" t="s">
        <v>2634</v>
      </c>
      <c r="G1695" s="88">
        <v>0</v>
      </c>
      <c r="H1695" s="91">
        <v>0</v>
      </c>
      <c r="I1695" s="100" t="s">
        <v>2405</v>
      </c>
    </row>
    <row r="1696" spans="1:9">
      <c r="A1696" s="95" t="s">
        <v>2409</v>
      </c>
      <c r="B1696" s="96" t="s">
        <v>2404</v>
      </c>
      <c r="C1696" s="96" t="s">
        <v>1241</v>
      </c>
      <c r="D1696" s="96" t="s">
        <v>2658</v>
      </c>
      <c r="E1696" s="96" t="s">
        <v>2659</v>
      </c>
      <c r="F1696" s="96" t="s">
        <v>2660</v>
      </c>
      <c r="G1696" s="88">
        <v>0</v>
      </c>
      <c r="H1696" s="91">
        <v>0</v>
      </c>
      <c r="I1696" s="100" t="s">
        <v>2405</v>
      </c>
    </row>
    <row r="1697" spans="1:9">
      <c r="A1697" s="95" t="s">
        <v>2409</v>
      </c>
      <c r="B1697" s="96" t="s">
        <v>2404</v>
      </c>
      <c r="C1697" s="96" t="s">
        <v>1241</v>
      </c>
      <c r="D1697" s="96" t="s">
        <v>2661</v>
      </c>
      <c r="E1697" s="96" t="s">
        <v>2662</v>
      </c>
      <c r="F1697" s="96" t="s">
        <v>2663</v>
      </c>
      <c r="G1697" s="88">
        <v>27698000000</v>
      </c>
      <c r="H1697" s="91">
        <v>27.698</v>
      </c>
      <c r="I1697" s="100" t="s">
        <v>2405</v>
      </c>
    </row>
    <row r="1698" spans="1:9">
      <c r="A1698" s="95" t="s">
        <v>2409</v>
      </c>
      <c r="B1698" s="96" t="s">
        <v>2404</v>
      </c>
      <c r="C1698" s="96" t="s">
        <v>1241</v>
      </c>
      <c r="D1698" s="96" t="s">
        <v>1862</v>
      </c>
      <c r="E1698" s="96" t="s">
        <v>2664</v>
      </c>
      <c r="F1698" s="96" t="s">
        <v>2665</v>
      </c>
      <c r="G1698" s="88">
        <v>0</v>
      </c>
      <c r="H1698" s="91">
        <v>0</v>
      </c>
      <c r="I1698" s="100" t="s">
        <v>2405</v>
      </c>
    </row>
    <row r="1699" spans="1:9">
      <c r="A1699" s="95" t="s">
        <v>2409</v>
      </c>
      <c r="B1699" s="96" t="s">
        <v>2404</v>
      </c>
      <c r="C1699" s="96" t="s">
        <v>1241</v>
      </c>
      <c r="D1699" s="96" t="s">
        <v>2644</v>
      </c>
      <c r="E1699" s="96" t="s">
        <v>2645</v>
      </c>
      <c r="F1699" s="96" t="s">
        <v>2666</v>
      </c>
      <c r="G1699" s="88">
        <v>0</v>
      </c>
      <c r="H1699" s="91">
        <v>0</v>
      </c>
      <c r="I1699" s="100" t="s">
        <v>2405</v>
      </c>
    </row>
    <row r="1700" spans="1:9">
      <c r="A1700" s="95" t="s">
        <v>2409</v>
      </c>
      <c r="B1700" s="96" t="s">
        <v>2404</v>
      </c>
      <c r="C1700" s="96" t="s">
        <v>1241</v>
      </c>
      <c r="D1700" s="96" t="s">
        <v>1868</v>
      </c>
      <c r="E1700" s="96" t="s">
        <v>2667</v>
      </c>
      <c r="F1700" s="96" t="s">
        <v>2668</v>
      </c>
      <c r="G1700" s="88">
        <v>0</v>
      </c>
      <c r="H1700" s="91">
        <v>0</v>
      </c>
      <c r="I1700" s="100" t="s">
        <v>2405</v>
      </c>
    </row>
    <row r="1701" spans="1:9">
      <c r="A1701" s="95" t="s">
        <v>2409</v>
      </c>
      <c r="B1701" s="96" t="s">
        <v>2404</v>
      </c>
      <c r="C1701" s="96" t="s">
        <v>1241</v>
      </c>
      <c r="D1701" s="96" t="s">
        <v>1872</v>
      </c>
      <c r="E1701" s="96" t="s">
        <v>2669</v>
      </c>
      <c r="F1701" s="96" t="s">
        <v>2670</v>
      </c>
      <c r="G1701" s="88">
        <v>200937000000</v>
      </c>
      <c r="H1701" s="91">
        <v>200.93700000000001</v>
      </c>
      <c r="I1701" s="100" t="s">
        <v>2405</v>
      </c>
    </row>
    <row r="1702" spans="1:9">
      <c r="A1702" s="95" t="s">
        <v>2409</v>
      </c>
      <c r="B1702" s="96" t="s">
        <v>2404</v>
      </c>
      <c r="C1702" s="96" t="s">
        <v>1241</v>
      </c>
      <c r="D1702" s="96" t="s">
        <v>2671</v>
      </c>
      <c r="E1702" s="96" t="s">
        <v>2672</v>
      </c>
      <c r="F1702" s="96" t="s">
        <v>2673</v>
      </c>
      <c r="G1702" s="88">
        <v>0</v>
      </c>
      <c r="H1702" s="91">
        <v>0</v>
      </c>
      <c r="I1702" s="100" t="s">
        <v>2405</v>
      </c>
    </row>
    <row r="1703" spans="1:9">
      <c r="A1703" s="95" t="s">
        <v>2409</v>
      </c>
      <c r="B1703" s="96" t="s">
        <v>2404</v>
      </c>
      <c r="C1703" s="96" t="s">
        <v>1241</v>
      </c>
      <c r="D1703" s="96" t="s">
        <v>1882</v>
      </c>
      <c r="E1703" s="96" t="s">
        <v>2674</v>
      </c>
      <c r="F1703" s="96" t="s">
        <v>2675</v>
      </c>
      <c r="G1703" s="88">
        <v>0</v>
      </c>
      <c r="H1703" s="91">
        <v>0</v>
      </c>
      <c r="I1703" s="100" t="s">
        <v>2405</v>
      </c>
    </row>
    <row r="1704" spans="1:9">
      <c r="A1704" s="95" t="s">
        <v>2409</v>
      </c>
      <c r="B1704" s="96" t="s">
        <v>2404</v>
      </c>
      <c r="C1704" s="96" t="s">
        <v>1241</v>
      </c>
      <c r="D1704" s="96" t="s">
        <v>2629</v>
      </c>
      <c r="E1704" s="96" t="s">
        <v>2630</v>
      </c>
      <c r="F1704" s="96" t="s">
        <v>2631</v>
      </c>
      <c r="G1704" s="88">
        <v>0</v>
      </c>
      <c r="H1704" s="91">
        <v>0</v>
      </c>
      <c r="I1704" s="100" t="s">
        <v>2405</v>
      </c>
    </row>
    <row r="1705" spans="1:9">
      <c r="A1705" s="95" t="s">
        <v>2409</v>
      </c>
      <c r="B1705" s="96" t="s">
        <v>2404</v>
      </c>
      <c r="C1705" s="96" t="s">
        <v>1241</v>
      </c>
      <c r="D1705" s="96" t="s">
        <v>2676</v>
      </c>
      <c r="E1705" s="96" t="s">
        <v>2677</v>
      </c>
      <c r="F1705" s="96" t="s">
        <v>2678</v>
      </c>
      <c r="G1705" s="88">
        <v>15129281000000</v>
      </c>
      <c r="H1705" s="91">
        <v>15129.281000000001</v>
      </c>
      <c r="I1705" s="100" t="s">
        <v>2405</v>
      </c>
    </row>
    <row r="1706" spans="1:9">
      <c r="A1706" s="95" t="s">
        <v>2409</v>
      </c>
      <c r="B1706" s="96" t="s">
        <v>2404</v>
      </c>
      <c r="C1706" s="96" t="s">
        <v>1241</v>
      </c>
      <c r="D1706" s="96" t="s">
        <v>2679</v>
      </c>
      <c r="E1706" s="96" t="s">
        <v>2680</v>
      </c>
      <c r="F1706" s="96" t="s">
        <v>2681</v>
      </c>
      <c r="G1706" s="88">
        <v>0</v>
      </c>
      <c r="H1706" s="91">
        <v>0</v>
      </c>
      <c r="I1706" s="100" t="s">
        <v>2405</v>
      </c>
    </row>
    <row r="1707" spans="1:9">
      <c r="A1707" s="95" t="s">
        <v>2409</v>
      </c>
      <c r="B1707" s="96" t="s">
        <v>2404</v>
      </c>
      <c r="C1707" s="96" t="s">
        <v>1241</v>
      </c>
      <c r="D1707" s="96" t="s">
        <v>2682</v>
      </c>
      <c r="E1707" s="96" t="s">
        <v>2683</v>
      </c>
      <c r="F1707" s="96" t="s">
        <v>2684</v>
      </c>
      <c r="G1707" s="88">
        <v>9326870000000</v>
      </c>
      <c r="H1707" s="91">
        <v>9326.8700000000008</v>
      </c>
      <c r="I1707" s="100" t="s">
        <v>2405</v>
      </c>
    </row>
    <row r="1708" spans="1:9">
      <c r="A1708" s="95" t="s">
        <v>2409</v>
      </c>
      <c r="B1708" s="96" t="s">
        <v>2404</v>
      </c>
      <c r="C1708" s="96" t="s">
        <v>1241</v>
      </c>
      <c r="D1708" s="96" t="s">
        <v>2685</v>
      </c>
      <c r="E1708" s="96" t="s">
        <v>2686</v>
      </c>
      <c r="F1708" s="96" t="s">
        <v>2687</v>
      </c>
      <c r="G1708" s="88">
        <v>507627000000</v>
      </c>
      <c r="H1708" s="91">
        <v>507.62700000000001</v>
      </c>
      <c r="I1708" s="100" t="s">
        <v>2405</v>
      </c>
    </row>
    <row r="1709" spans="1:9">
      <c r="A1709" s="95" t="s">
        <v>2409</v>
      </c>
      <c r="B1709" s="96" t="s">
        <v>2404</v>
      </c>
      <c r="C1709" s="96" t="s">
        <v>1241</v>
      </c>
      <c r="D1709" s="96" t="s">
        <v>1810</v>
      </c>
      <c r="E1709" s="96" t="s">
        <v>2688</v>
      </c>
      <c r="F1709" s="96" t="s">
        <v>2689</v>
      </c>
      <c r="G1709" s="88">
        <v>1685910000000</v>
      </c>
      <c r="H1709" s="91">
        <v>1685.91</v>
      </c>
      <c r="I1709" s="100" t="s">
        <v>2405</v>
      </c>
    </row>
    <row r="1710" spans="1:9">
      <c r="A1710" s="95" t="s">
        <v>2409</v>
      </c>
      <c r="B1710" s="96" t="s">
        <v>2404</v>
      </c>
      <c r="C1710" s="96" t="s">
        <v>1241</v>
      </c>
      <c r="D1710" s="96" t="s">
        <v>1834</v>
      </c>
      <c r="E1710" s="96" t="s">
        <v>2690</v>
      </c>
      <c r="F1710" s="96" t="s">
        <v>2691</v>
      </c>
      <c r="G1710" s="88">
        <v>3448411000000</v>
      </c>
      <c r="H1710" s="91">
        <v>3448.4110000000001</v>
      </c>
      <c r="I1710" s="100" t="s">
        <v>2405</v>
      </c>
    </row>
    <row r="1711" spans="1:9">
      <c r="A1711" s="95" t="s">
        <v>2409</v>
      </c>
      <c r="B1711" s="96" t="s">
        <v>2404</v>
      </c>
      <c r="C1711" s="96" t="s">
        <v>1241</v>
      </c>
      <c r="D1711" s="96" t="s">
        <v>2390</v>
      </c>
      <c r="E1711" s="96" t="s">
        <v>2391</v>
      </c>
      <c r="F1711" s="96" t="s">
        <v>2692</v>
      </c>
      <c r="G1711" s="88">
        <v>12578356000000</v>
      </c>
      <c r="H1711" s="91">
        <v>12578.356</v>
      </c>
      <c r="I1711" s="100" t="s">
        <v>2405</v>
      </c>
    </row>
    <row r="1712" spans="1:9">
      <c r="A1712" s="95" t="s">
        <v>2409</v>
      </c>
      <c r="B1712" s="96" t="s">
        <v>2404</v>
      </c>
      <c r="C1712" s="96" t="s">
        <v>1241</v>
      </c>
      <c r="D1712" s="96" t="s">
        <v>2693</v>
      </c>
      <c r="E1712" s="96" t="s">
        <v>2694</v>
      </c>
      <c r="F1712" s="96" t="s">
        <v>2695</v>
      </c>
      <c r="G1712" s="88">
        <v>0</v>
      </c>
      <c r="H1712" s="91">
        <v>0</v>
      </c>
      <c r="I1712" s="100" t="s">
        <v>2405</v>
      </c>
    </row>
    <row r="1713" spans="1:9">
      <c r="A1713" s="95" t="s">
        <v>2409</v>
      </c>
      <c r="B1713" s="96" t="s">
        <v>1034</v>
      </c>
      <c r="C1713" s="96" t="s">
        <v>1241</v>
      </c>
      <c r="D1713" s="96" t="s">
        <v>68</v>
      </c>
      <c r="E1713" s="96" t="s">
        <v>2411</v>
      </c>
      <c r="F1713" s="96" t="s">
        <v>2412</v>
      </c>
      <c r="G1713" s="88">
        <v>31419317000000</v>
      </c>
      <c r="H1713" s="91">
        <v>31419.316999999999</v>
      </c>
      <c r="I1713" s="100" t="s">
        <v>2405</v>
      </c>
    </row>
    <row r="1714" spans="1:9">
      <c r="A1714" s="95" t="s">
        <v>2409</v>
      </c>
      <c r="B1714" s="96" t="s">
        <v>1034</v>
      </c>
      <c r="C1714" s="96" t="s">
        <v>1241</v>
      </c>
      <c r="D1714" s="96" t="s">
        <v>58</v>
      </c>
      <c r="E1714" s="96" t="s">
        <v>2413</v>
      </c>
      <c r="F1714" s="96" t="s">
        <v>2414</v>
      </c>
      <c r="G1714" s="88">
        <v>7081065000000</v>
      </c>
      <c r="H1714" s="91">
        <v>7081.0649999999996</v>
      </c>
      <c r="I1714" s="100" t="s">
        <v>2405</v>
      </c>
    </row>
    <row r="1715" spans="1:9">
      <c r="A1715" s="95" t="s">
        <v>2409</v>
      </c>
      <c r="B1715" s="96" t="s">
        <v>1034</v>
      </c>
      <c r="C1715" s="96" t="s">
        <v>1241</v>
      </c>
      <c r="D1715" s="96" t="s">
        <v>1699</v>
      </c>
      <c r="E1715" s="96" t="s">
        <v>2415</v>
      </c>
      <c r="F1715" s="96" t="s">
        <v>2416</v>
      </c>
      <c r="G1715" s="88">
        <v>1634806000000</v>
      </c>
      <c r="H1715" s="91">
        <v>1634.806</v>
      </c>
      <c r="I1715" s="100" t="s">
        <v>2405</v>
      </c>
    </row>
    <row r="1716" spans="1:9">
      <c r="A1716" s="95" t="s">
        <v>2409</v>
      </c>
      <c r="B1716" s="96" t="s">
        <v>1034</v>
      </c>
      <c r="C1716" s="96" t="s">
        <v>1241</v>
      </c>
      <c r="D1716" s="96" t="s">
        <v>1701</v>
      </c>
      <c r="E1716" s="96" t="s">
        <v>2417</v>
      </c>
      <c r="F1716" s="96" t="s">
        <v>2418</v>
      </c>
      <c r="G1716" s="88">
        <v>5446259000000</v>
      </c>
      <c r="H1716" s="91">
        <v>5446.259</v>
      </c>
      <c r="I1716" s="100" t="s">
        <v>2405</v>
      </c>
    </row>
    <row r="1717" spans="1:9">
      <c r="A1717" s="95" t="s">
        <v>2409</v>
      </c>
      <c r="B1717" s="96" t="s">
        <v>1034</v>
      </c>
      <c r="C1717" s="96" t="s">
        <v>1241</v>
      </c>
      <c r="D1717" s="96" t="s">
        <v>2053</v>
      </c>
      <c r="E1717" s="96" t="s">
        <v>2419</v>
      </c>
      <c r="F1717" s="96" t="s">
        <v>2420</v>
      </c>
      <c r="G1717" s="88">
        <v>6924137000000</v>
      </c>
      <c r="H1717" s="91">
        <v>6924.1369999999997</v>
      </c>
      <c r="I1717" s="100" t="s">
        <v>2405</v>
      </c>
    </row>
    <row r="1718" spans="1:9">
      <c r="A1718" s="95" t="s">
        <v>2409</v>
      </c>
      <c r="B1718" s="96" t="s">
        <v>1034</v>
      </c>
      <c r="C1718" s="96" t="s">
        <v>1241</v>
      </c>
      <c r="D1718" s="96" t="s">
        <v>2053</v>
      </c>
      <c r="E1718" s="96" t="s">
        <v>2419</v>
      </c>
      <c r="F1718" s="96" t="s">
        <v>2420</v>
      </c>
      <c r="G1718" s="88">
        <v>2203028000000</v>
      </c>
      <c r="H1718" s="91">
        <v>2203.0279999999998</v>
      </c>
      <c r="I1718" s="100" t="s">
        <v>2405</v>
      </c>
    </row>
    <row r="1719" spans="1:9">
      <c r="A1719" s="95" t="s">
        <v>2409</v>
      </c>
      <c r="B1719" s="96" t="s">
        <v>1034</v>
      </c>
      <c r="C1719" s="96" t="s">
        <v>1241</v>
      </c>
      <c r="D1719" s="96" t="s">
        <v>2421</v>
      </c>
      <c r="E1719" s="96" t="s">
        <v>2422</v>
      </c>
      <c r="F1719" s="96" t="s">
        <v>2423</v>
      </c>
      <c r="G1719" s="88">
        <v>0</v>
      </c>
      <c r="H1719" s="91">
        <v>0</v>
      </c>
      <c r="I1719" s="100" t="s">
        <v>2405</v>
      </c>
    </row>
    <row r="1720" spans="1:9">
      <c r="A1720" s="95" t="s">
        <v>2409</v>
      </c>
      <c r="B1720" s="96" t="s">
        <v>1034</v>
      </c>
      <c r="C1720" s="96" t="s">
        <v>1241</v>
      </c>
      <c r="D1720" s="96" t="s">
        <v>2424</v>
      </c>
      <c r="E1720" s="96" t="s">
        <v>2425</v>
      </c>
      <c r="F1720" s="96" t="s">
        <v>2426</v>
      </c>
      <c r="G1720" s="88">
        <v>3603236000000</v>
      </c>
      <c r="H1720" s="91">
        <v>3603.2359999999999</v>
      </c>
      <c r="I1720" s="100" t="s">
        <v>2405</v>
      </c>
    </row>
    <row r="1721" spans="1:9">
      <c r="A1721" s="95" t="s">
        <v>2409</v>
      </c>
      <c r="B1721" s="96" t="s">
        <v>1034</v>
      </c>
      <c r="C1721" s="96" t="s">
        <v>1241</v>
      </c>
      <c r="D1721" s="96" t="s">
        <v>2427</v>
      </c>
      <c r="E1721" s="96" t="s">
        <v>2428</v>
      </c>
      <c r="F1721" s="96" t="s">
        <v>2429</v>
      </c>
      <c r="G1721" s="88">
        <v>1543918000000</v>
      </c>
      <c r="H1721" s="91">
        <v>1543.9179999999999</v>
      </c>
      <c r="I1721" s="100" t="s">
        <v>2405</v>
      </c>
    </row>
    <row r="1722" spans="1:9">
      <c r="A1722" s="95" t="s">
        <v>2409</v>
      </c>
      <c r="B1722" s="96" t="s">
        <v>1034</v>
      </c>
      <c r="C1722" s="96" t="s">
        <v>1241</v>
      </c>
      <c r="D1722" s="96" t="s">
        <v>2430</v>
      </c>
      <c r="E1722" s="96" t="s">
        <v>2431</v>
      </c>
      <c r="F1722" s="96" t="s">
        <v>2432</v>
      </c>
      <c r="G1722" s="88">
        <v>624101000000</v>
      </c>
      <c r="H1722" s="91">
        <v>624.101</v>
      </c>
      <c r="I1722" s="100" t="s">
        <v>2405</v>
      </c>
    </row>
    <row r="1723" spans="1:9">
      <c r="A1723" s="95" t="s">
        <v>2409</v>
      </c>
      <c r="B1723" s="96" t="s">
        <v>1034</v>
      </c>
      <c r="C1723" s="96" t="s">
        <v>1241</v>
      </c>
      <c r="D1723" s="96" t="s">
        <v>2433</v>
      </c>
      <c r="E1723" s="96" t="s">
        <v>2434</v>
      </c>
      <c r="F1723" s="96" t="s">
        <v>2435</v>
      </c>
      <c r="G1723" s="88">
        <v>0</v>
      </c>
      <c r="H1723" s="91">
        <v>0</v>
      </c>
      <c r="I1723" s="100" t="s">
        <v>2405</v>
      </c>
    </row>
    <row r="1724" spans="1:9">
      <c r="A1724" s="95" t="s">
        <v>2409</v>
      </c>
      <c r="B1724" s="96" t="s">
        <v>1034</v>
      </c>
      <c r="C1724" s="96" t="s">
        <v>1241</v>
      </c>
      <c r="D1724" s="96" t="s">
        <v>2436</v>
      </c>
      <c r="E1724" s="96" t="s">
        <v>2437</v>
      </c>
      <c r="F1724" s="96" t="s">
        <v>2438</v>
      </c>
      <c r="G1724" s="88">
        <v>0</v>
      </c>
      <c r="H1724" s="91">
        <v>0</v>
      </c>
      <c r="I1724" s="100" t="s">
        <v>2405</v>
      </c>
    </row>
    <row r="1725" spans="1:9">
      <c r="A1725" s="95" t="s">
        <v>2409</v>
      </c>
      <c r="B1725" s="96" t="s">
        <v>1034</v>
      </c>
      <c r="C1725" s="96" t="s">
        <v>1241</v>
      </c>
      <c r="D1725" s="96" t="s">
        <v>2439</v>
      </c>
      <c r="E1725" s="96" t="s">
        <v>2440</v>
      </c>
      <c r="F1725" s="96" t="s">
        <v>2441</v>
      </c>
      <c r="G1725" s="88">
        <v>1410295000000</v>
      </c>
      <c r="H1725" s="91">
        <v>1410.2950000000001</v>
      </c>
      <c r="I1725" s="100" t="s">
        <v>2405</v>
      </c>
    </row>
    <row r="1726" spans="1:9">
      <c r="A1726" s="95" t="s">
        <v>2409</v>
      </c>
      <c r="B1726" s="96" t="s">
        <v>1034</v>
      </c>
      <c r="C1726" s="96" t="s">
        <v>1241</v>
      </c>
      <c r="D1726" s="96" t="s">
        <v>2442</v>
      </c>
      <c r="E1726" s="96" t="s">
        <v>2443</v>
      </c>
      <c r="F1726" s="96" t="s">
        <v>2444</v>
      </c>
      <c r="G1726" s="88">
        <v>-30500000000</v>
      </c>
      <c r="H1726" s="91">
        <v>-30.5</v>
      </c>
      <c r="I1726" s="100" t="s">
        <v>2405</v>
      </c>
    </row>
    <row r="1727" spans="1:9">
      <c r="A1727" s="95" t="s">
        <v>2409</v>
      </c>
      <c r="B1727" s="96" t="s">
        <v>1034</v>
      </c>
      <c r="C1727" s="96" t="s">
        <v>1241</v>
      </c>
      <c r="D1727" s="96" t="s">
        <v>2445</v>
      </c>
      <c r="E1727" s="96" t="s">
        <v>2446</v>
      </c>
      <c r="F1727" s="96" t="s">
        <v>2447</v>
      </c>
      <c r="G1727" s="88">
        <v>11329909000000</v>
      </c>
      <c r="H1727" s="91">
        <v>11329.909</v>
      </c>
      <c r="I1727" s="100" t="s">
        <v>2405</v>
      </c>
    </row>
    <row r="1728" spans="1:9">
      <c r="A1728" s="95" t="s">
        <v>2409</v>
      </c>
      <c r="B1728" s="96" t="s">
        <v>1034</v>
      </c>
      <c r="C1728" s="96" t="s">
        <v>1241</v>
      </c>
      <c r="D1728" s="96" t="s">
        <v>64</v>
      </c>
      <c r="E1728" s="96" t="s">
        <v>2448</v>
      </c>
      <c r="F1728" s="96" t="s">
        <v>2449</v>
      </c>
      <c r="G1728" s="88">
        <v>11544171000000</v>
      </c>
      <c r="H1728" s="91">
        <v>11544.171</v>
      </c>
      <c r="I1728" s="100" t="s">
        <v>2405</v>
      </c>
    </row>
    <row r="1729" spans="1:9">
      <c r="A1729" s="95" t="s">
        <v>2409</v>
      </c>
      <c r="B1729" s="96" t="s">
        <v>1034</v>
      </c>
      <c r="C1729" s="96" t="s">
        <v>1241</v>
      </c>
      <c r="D1729" s="96" t="s">
        <v>2450</v>
      </c>
      <c r="E1729" s="96" t="s">
        <v>2451</v>
      </c>
      <c r="F1729" s="96" t="s">
        <v>2452</v>
      </c>
      <c r="G1729" s="88">
        <v>-214262000000</v>
      </c>
      <c r="H1729" s="91">
        <v>-214.262</v>
      </c>
      <c r="I1729" s="100" t="s">
        <v>2405</v>
      </c>
    </row>
    <row r="1730" spans="1:9">
      <c r="A1730" s="95" t="s">
        <v>2409</v>
      </c>
      <c r="B1730" s="96" t="s">
        <v>1034</v>
      </c>
      <c r="C1730" s="96" t="s">
        <v>1241</v>
      </c>
      <c r="D1730" s="96" t="s">
        <v>2059</v>
      </c>
      <c r="E1730" s="96" t="s">
        <v>2453</v>
      </c>
      <c r="F1730" s="96" t="s">
        <v>2454</v>
      </c>
      <c r="G1730" s="88">
        <v>1896445000000</v>
      </c>
      <c r="H1730" s="91">
        <v>1896.4449999999999</v>
      </c>
      <c r="I1730" s="100" t="s">
        <v>2405</v>
      </c>
    </row>
    <row r="1731" spans="1:9">
      <c r="A1731" s="95" t="s">
        <v>2409</v>
      </c>
      <c r="B1731" s="96" t="s">
        <v>1034</v>
      </c>
      <c r="C1731" s="96" t="s">
        <v>1241</v>
      </c>
      <c r="D1731" s="96" t="s">
        <v>2455</v>
      </c>
      <c r="E1731" s="96" t="s">
        <v>2456</v>
      </c>
      <c r="F1731" s="96" t="s">
        <v>2457</v>
      </c>
      <c r="G1731" s="88">
        <v>354761000000</v>
      </c>
      <c r="H1731" s="91">
        <v>354.76100000000002</v>
      </c>
      <c r="I1731" s="100" t="s">
        <v>2405</v>
      </c>
    </row>
    <row r="1732" spans="1:9">
      <c r="A1732" s="95" t="s">
        <v>2409</v>
      </c>
      <c r="B1732" s="96" t="s">
        <v>1034</v>
      </c>
      <c r="C1732" s="96" t="s">
        <v>1241</v>
      </c>
      <c r="D1732" s="96" t="s">
        <v>2458</v>
      </c>
      <c r="E1732" s="96" t="s">
        <v>2459</v>
      </c>
      <c r="F1732" s="96" t="s">
        <v>2460</v>
      </c>
      <c r="G1732" s="88">
        <v>1431119000000</v>
      </c>
      <c r="H1732" s="91">
        <v>1431.1189999999999</v>
      </c>
      <c r="I1732" s="100" t="s">
        <v>2405</v>
      </c>
    </row>
    <row r="1733" spans="1:9">
      <c r="A1733" s="95" t="s">
        <v>2409</v>
      </c>
      <c r="B1733" s="96" t="s">
        <v>1034</v>
      </c>
      <c r="C1733" s="96" t="s">
        <v>1241</v>
      </c>
      <c r="D1733" s="96" t="s">
        <v>2461</v>
      </c>
      <c r="E1733" s="96" t="s">
        <v>2462</v>
      </c>
      <c r="F1733" s="96" t="s">
        <v>2463</v>
      </c>
      <c r="G1733" s="88">
        <v>110565000000</v>
      </c>
      <c r="H1733" s="91">
        <v>110.565</v>
      </c>
      <c r="I1733" s="100" t="s">
        <v>2405</v>
      </c>
    </row>
    <row r="1734" spans="1:9">
      <c r="A1734" s="95" t="s">
        <v>2409</v>
      </c>
      <c r="B1734" s="96" t="s">
        <v>1034</v>
      </c>
      <c r="C1734" s="96" t="s">
        <v>1241</v>
      </c>
      <c r="D1734" s="96" t="s">
        <v>2059</v>
      </c>
      <c r="E1734" s="96" t="s">
        <v>2453</v>
      </c>
      <c r="F1734" s="96" t="s">
        <v>2454</v>
      </c>
      <c r="G1734" s="88">
        <v>0</v>
      </c>
      <c r="H1734" s="91">
        <v>0</v>
      </c>
      <c r="I1734" s="100" t="s">
        <v>2405</v>
      </c>
    </row>
    <row r="1735" spans="1:9">
      <c r="A1735" s="95" t="s">
        <v>2409</v>
      </c>
      <c r="B1735" s="96" t="s">
        <v>1034</v>
      </c>
      <c r="C1735" s="96" t="s">
        <v>1241</v>
      </c>
      <c r="D1735" s="96" t="s">
        <v>1753</v>
      </c>
      <c r="E1735" s="96" t="s">
        <v>2464</v>
      </c>
      <c r="F1735" s="96" t="s">
        <v>2465</v>
      </c>
      <c r="G1735" s="88">
        <v>99298623000000</v>
      </c>
      <c r="H1735" s="91">
        <v>99298.623000000007</v>
      </c>
      <c r="I1735" s="100" t="s">
        <v>2405</v>
      </c>
    </row>
    <row r="1736" spans="1:9">
      <c r="A1736" s="95" t="s">
        <v>2409</v>
      </c>
      <c r="B1736" s="96" t="s">
        <v>1034</v>
      </c>
      <c r="C1736" s="96" t="s">
        <v>1241</v>
      </c>
      <c r="D1736" s="96" t="s">
        <v>1757</v>
      </c>
      <c r="E1736" s="96" t="s">
        <v>2466</v>
      </c>
      <c r="F1736" s="96" t="s">
        <v>2467</v>
      </c>
      <c r="G1736" s="88">
        <v>1725152000000</v>
      </c>
      <c r="H1736" s="91">
        <v>1725.152</v>
      </c>
      <c r="I1736" s="100" t="s">
        <v>2405</v>
      </c>
    </row>
    <row r="1737" spans="1:9">
      <c r="A1737" s="95" t="s">
        <v>2409</v>
      </c>
      <c r="B1737" s="96" t="s">
        <v>1034</v>
      </c>
      <c r="C1737" s="96" t="s">
        <v>1241</v>
      </c>
      <c r="D1737" s="96" t="s">
        <v>2468</v>
      </c>
      <c r="E1737" s="96" t="s">
        <v>2469</v>
      </c>
      <c r="F1737" s="96" t="s">
        <v>2470</v>
      </c>
      <c r="G1737" s="88">
        <v>0</v>
      </c>
      <c r="H1737" s="91">
        <v>0</v>
      </c>
      <c r="I1737" s="100" t="s">
        <v>2405</v>
      </c>
    </row>
    <row r="1738" spans="1:9">
      <c r="A1738" s="95" t="s">
        <v>2409</v>
      </c>
      <c r="B1738" s="96" t="s">
        <v>1034</v>
      </c>
      <c r="C1738" s="96" t="s">
        <v>1241</v>
      </c>
      <c r="D1738" s="96" t="s">
        <v>2471</v>
      </c>
      <c r="E1738" s="96" t="s">
        <v>2472</v>
      </c>
      <c r="F1738" s="96" t="s">
        <v>2473</v>
      </c>
      <c r="G1738" s="88">
        <v>0</v>
      </c>
      <c r="H1738" s="91">
        <v>0</v>
      </c>
      <c r="I1738" s="100" t="s">
        <v>2405</v>
      </c>
    </row>
    <row r="1739" spans="1:9">
      <c r="A1739" s="95" t="s">
        <v>2409</v>
      </c>
      <c r="B1739" s="96" t="s">
        <v>1034</v>
      </c>
      <c r="C1739" s="96" t="s">
        <v>1241</v>
      </c>
      <c r="D1739" s="96" t="s">
        <v>1767</v>
      </c>
      <c r="E1739" s="96" t="s">
        <v>2474</v>
      </c>
      <c r="F1739" s="96" t="s">
        <v>2475</v>
      </c>
      <c r="G1739" s="88">
        <v>1725152000000</v>
      </c>
      <c r="H1739" s="91">
        <v>1725.152</v>
      </c>
      <c r="I1739" s="100" t="s">
        <v>2405</v>
      </c>
    </row>
    <row r="1740" spans="1:9">
      <c r="A1740" s="95" t="s">
        <v>2409</v>
      </c>
      <c r="B1740" s="96" t="s">
        <v>1034</v>
      </c>
      <c r="C1740" s="96" t="s">
        <v>1241</v>
      </c>
      <c r="D1740" s="96" t="s">
        <v>2476</v>
      </c>
      <c r="E1740" s="96" t="s">
        <v>2477</v>
      </c>
      <c r="F1740" s="96" t="s">
        <v>2478</v>
      </c>
      <c r="G1740" s="88">
        <v>0</v>
      </c>
      <c r="H1740" s="91">
        <v>0</v>
      </c>
      <c r="I1740" s="100" t="s">
        <v>2405</v>
      </c>
    </row>
    <row r="1741" spans="1:9">
      <c r="A1741" s="95" t="s">
        <v>2409</v>
      </c>
      <c r="B1741" s="96" t="s">
        <v>1034</v>
      </c>
      <c r="C1741" s="96" t="s">
        <v>1241</v>
      </c>
      <c r="D1741" s="96" t="s">
        <v>70</v>
      </c>
      <c r="E1741" s="96" t="s">
        <v>2061</v>
      </c>
      <c r="F1741" s="96" t="s">
        <v>2479</v>
      </c>
      <c r="G1741" s="88">
        <v>35310874000000</v>
      </c>
      <c r="H1741" s="91">
        <v>35310.874000000003</v>
      </c>
      <c r="I1741" s="100" t="s">
        <v>2405</v>
      </c>
    </row>
    <row r="1742" spans="1:9">
      <c r="A1742" s="95" t="s">
        <v>2409</v>
      </c>
      <c r="B1742" s="96" t="s">
        <v>1034</v>
      </c>
      <c r="C1742" s="96" t="s">
        <v>1241</v>
      </c>
      <c r="D1742" s="96" t="s">
        <v>1771</v>
      </c>
      <c r="E1742" s="96" t="s">
        <v>2480</v>
      </c>
      <c r="F1742" s="96" t="s">
        <v>2481</v>
      </c>
      <c r="G1742" s="88">
        <v>26322243000000</v>
      </c>
      <c r="H1742" s="91">
        <v>26322.242999999999</v>
      </c>
      <c r="I1742" s="100" t="s">
        <v>2405</v>
      </c>
    </row>
    <row r="1743" spans="1:9">
      <c r="A1743" s="95" t="s">
        <v>2409</v>
      </c>
      <c r="B1743" s="96" t="s">
        <v>1034</v>
      </c>
      <c r="C1743" s="96" t="s">
        <v>1241</v>
      </c>
      <c r="D1743" s="96" t="s">
        <v>1773</v>
      </c>
      <c r="E1743" s="96" t="s">
        <v>2482</v>
      </c>
      <c r="F1743" s="96" t="s">
        <v>2483</v>
      </c>
      <c r="G1743" s="88">
        <v>49295707000000</v>
      </c>
      <c r="H1743" s="91">
        <v>49295.707000000002</v>
      </c>
      <c r="I1743" s="100" t="s">
        <v>2405</v>
      </c>
    </row>
    <row r="1744" spans="1:9">
      <c r="A1744" s="95" t="s">
        <v>2409</v>
      </c>
      <c r="B1744" s="96" t="s">
        <v>1034</v>
      </c>
      <c r="C1744" s="96" t="s">
        <v>1241</v>
      </c>
      <c r="D1744" s="96" t="s">
        <v>1775</v>
      </c>
      <c r="E1744" s="96" t="s">
        <v>2484</v>
      </c>
      <c r="F1744" s="96" t="s">
        <v>2485</v>
      </c>
      <c r="G1744" s="88">
        <v>-22973464000000</v>
      </c>
      <c r="H1744" s="91">
        <v>-22973.464</v>
      </c>
      <c r="I1744" s="100" t="s">
        <v>2405</v>
      </c>
    </row>
    <row r="1745" spans="1:9">
      <c r="A1745" s="95" t="s">
        <v>2409</v>
      </c>
      <c r="B1745" s="96" t="s">
        <v>1034</v>
      </c>
      <c r="C1745" s="96" t="s">
        <v>1241</v>
      </c>
      <c r="D1745" s="96" t="s">
        <v>2486</v>
      </c>
      <c r="E1745" s="96" t="s">
        <v>2487</v>
      </c>
      <c r="F1745" s="96" t="s">
        <v>2488</v>
      </c>
      <c r="G1745" s="88">
        <v>199488000000</v>
      </c>
      <c r="H1745" s="91">
        <v>199.488</v>
      </c>
      <c r="I1745" s="100" t="s">
        <v>2405</v>
      </c>
    </row>
    <row r="1746" spans="1:9">
      <c r="A1746" s="95" t="s">
        <v>2409</v>
      </c>
      <c r="B1746" s="96" t="s">
        <v>1034</v>
      </c>
      <c r="C1746" s="96" t="s">
        <v>1241</v>
      </c>
      <c r="D1746" s="96" t="s">
        <v>1773</v>
      </c>
      <c r="E1746" s="96" t="s">
        <v>2482</v>
      </c>
      <c r="F1746" s="96" t="s">
        <v>2489</v>
      </c>
      <c r="G1746" s="88">
        <v>345223000000</v>
      </c>
      <c r="H1746" s="91">
        <v>345.22300000000001</v>
      </c>
      <c r="I1746" s="100" t="s">
        <v>2405</v>
      </c>
    </row>
    <row r="1747" spans="1:9">
      <c r="A1747" s="95" t="s">
        <v>2409</v>
      </c>
      <c r="B1747" s="96" t="s">
        <v>1034</v>
      </c>
      <c r="C1747" s="96" t="s">
        <v>1241</v>
      </c>
      <c r="D1747" s="96" t="s">
        <v>1775</v>
      </c>
      <c r="E1747" s="96" t="s">
        <v>2484</v>
      </c>
      <c r="F1747" s="96" t="s">
        <v>2490</v>
      </c>
      <c r="G1747" s="88">
        <v>-145735000000</v>
      </c>
      <c r="H1747" s="91">
        <v>-145.73500000000001</v>
      </c>
      <c r="I1747" s="100" t="s">
        <v>2405</v>
      </c>
    </row>
    <row r="1748" spans="1:9">
      <c r="A1748" s="95" t="s">
        <v>2409</v>
      </c>
      <c r="B1748" s="96" t="s">
        <v>1034</v>
      </c>
      <c r="C1748" s="96" t="s">
        <v>1241</v>
      </c>
      <c r="D1748" s="96" t="s">
        <v>1781</v>
      </c>
      <c r="E1748" s="96" t="s">
        <v>2491</v>
      </c>
      <c r="F1748" s="96" t="s">
        <v>2492</v>
      </c>
      <c r="G1748" s="88">
        <v>8789143000000</v>
      </c>
      <c r="H1748" s="91">
        <v>8789.143</v>
      </c>
      <c r="I1748" s="100" t="s">
        <v>2405</v>
      </c>
    </row>
    <row r="1749" spans="1:9">
      <c r="A1749" s="95" t="s">
        <v>2409</v>
      </c>
      <c r="B1749" s="96" t="s">
        <v>1034</v>
      </c>
      <c r="C1749" s="96" t="s">
        <v>1241</v>
      </c>
      <c r="D1749" s="96" t="s">
        <v>1773</v>
      </c>
      <c r="E1749" s="96" t="s">
        <v>2482</v>
      </c>
      <c r="F1749" s="96" t="s">
        <v>2493</v>
      </c>
      <c r="G1749" s="88">
        <v>13399019000000</v>
      </c>
      <c r="H1749" s="91">
        <v>13399.019</v>
      </c>
      <c r="I1749" s="100" t="s">
        <v>2405</v>
      </c>
    </row>
    <row r="1750" spans="1:9">
      <c r="A1750" s="95" t="s">
        <v>2409</v>
      </c>
      <c r="B1750" s="96" t="s">
        <v>1034</v>
      </c>
      <c r="C1750" s="96" t="s">
        <v>1241</v>
      </c>
      <c r="D1750" s="96" t="s">
        <v>1775</v>
      </c>
      <c r="E1750" s="96" t="s">
        <v>2484</v>
      </c>
      <c r="F1750" s="96" t="s">
        <v>2494</v>
      </c>
      <c r="G1750" s="88">
        <v>-4609876000000</v>
      </c>
      <c r="H1750" s="91">
        <v>-4609.8760000000002</v>
      </c>
      <c r="I1750" s="100" t="s">
        <v>2405</v>
      </c>
    </row>
    <row r="1751" spans="1:9">
      <c r="A1751" s="95" t="s">
        <v>2409</v>
      </c>
      <c r="B1751" s="96" t="s">
        <v>1034</v>
      </c>
      <c r="C1751" s="96" t="s">
        <v>1241</v>
      </c>
      <c r="D1751" s="96" t="s">
        <v>2495</v>
      </c>
      <c r="E1751" s="96" t="s">
        <v>2496</v>
      </c>
      <c r="F1751" s="96" t="s">
        <v>2497</v>
      </c>
      <c r="G1751" s="88">
        <v>0</v>
      </c>
      <c r="H1751" s="91">
        <v>0</v>
      </c>
      <c r="I1751" s="100" t="s">
        <v>2405</v>
      </c>
    </row>
    <row r="1752" spans="1:9">
      <c r="A1752" s="95" t="s">
        <v>2409</v>
      </c>
      <c r="B1752" s="96" t="s">
        <v>1034</v>
      </c>
      <c r="C1752" s="96" t="s">
        <v>1241</v>
      </c>
      <c r="D1752" s="96" t="s">
        <v>1802</v>
      </c>
      <c r="E1752" s="96" t="s">
        <v>2498</v>
      </c>
      <c r="F1752" s="96" t="s">
        <v>2499</v>
      </c>
      <c r="G1752" s="88">
        <v>0</v>
      </c>
      <c r="H1752" s="91">
        <v>0</v>
      </c>
      <c r="I1752" s="100" t="s">
        <v>2405</v>
      </c>
    </row>
    <row r="1753" spans="1:9">
      <c r="A1753" s="95" t="s">
        <v>2409</v>
      </c>
      <c r="B1753" s="96" t="s">
        <v>1034</v>
      </c>
      <c r="C1753" s="96" t="s">
        <v>1241</v>
      </c>
      <c r="D1753" s="96" t="s">
        <v>1773</v>
      </c>
      <c r="E1753" s="96" t="s">
        <v>2482</v>
      </c>
      <c r="F1753" s="96" t="s">
        <v>2500</v>
      </c>
      <c r="G1753" s="88">
        <v>0</v>
      </c>
      <c r="H1753" s="91">
        <v>0</v>
      </c>
      <c r="I1753" s="100" t="s">
        <v>2405</v>
      </c>
    </row>
    <row r="1754" spans="1:9">
      <c r="A1754" s="95" t="s">
        <v>2409</v>
      </c>
      <c r="B1754" s="96" t="s">
        <v>1034</v>
      </c>
      <c r="C1754" s="96" t="s">
        <v>1241</v>
      </c>
      <c r="D1754" s="96" t="s">
        <v>1775</v>
      </c>
      <c r="E1754" s="96" t="s">
        <v>2484</v>
      </c>
      <c r="F1754" s="96" t="s">
        <v>2501</v>
      </c>
      <c r="G1754" s="88">
        <v>0</v>
      </c>
      <c r="H1754" s="91">
        <v>0</v>
      </c>
      <c r="I1754" s="100" t="s">
        <v>2405</v>
      </c>
    </row>
    <row r="1755" spans="1:9">
      <c r="A1755" s="95" t="s">
        <v>2409</v>
      </c>
      <c r="B1755" s="96" t="s">
        <v>1034</v>
      </c>
      <c r="C1755" s="96" t="s">
        <v>1241</v>
      </c>
      <c r="D1755" s="96" t="s">
        <v>2063</v>
      </c>
      <c r="E1755" s="96" t="s">
        <v>2502</v>
      </c>
      <c r="F1755" s="96" t="s">
        <v>2503</v>
      </c>
      <c r="G1755" s="88">
        <v>50404426000000</v>
      </c>
      <c r="H1755" s="91">
        <v>50404.425999999999</v>
      </c>
      <c r="I1755" s="100" t="s">
        <v>2405</v>
      </c>
    </row>
    <row r="1756" spans="1:9">
      <c r="A1756" s="95" t="s">
        <v>2409</v>
      </c>
      <c r="B1756" s="96" t="s">
        <v>1034</v>
      </c>
      <c r="C1756" s="96" t="s">
        <v>1241</v>
      </c>
      <c r="D1756" s="96" t="s">
        <v>1812</v>
      </c>
      <c r="E1756" s="96" t="s">
        <v>2504</v>
      </c>
      <c r="F1756" s="96" t="s">
        <v>2505</v>
      </c>
      <c r="G1756" s="88">
        <v>0</v>
      </c>
      <c r="H1756" s="91">
        <v>0</v>
      </c>
      <c r="I1756" s="100" t="s">
        <v>2405</v>
      </c>
    </row>
    <row r="1757" spans="1:9">
      <c r="A1757" s="95" t="s">
        <v>2409</v>
      </c>
      <c r="B1757" s="96" t="s">
        <v>1034</v>
      </c>
      <c r="C1757" s="96" t="s">
        <v>1241</v>
      </c>
      <c r="D1757" s="96" t="s">
        <v>2506</v>
      </c>
      <c r="E1757" s="96" t="s">
        <v>2507</v>
      </c>
      <c r="F1757" s="96" t="s">
        <v>2508</v>
      </c>
      <c r="G1757" s="88">
        <v>39237735000000</v>
      </c>
      <c r="H1757" s="91">
        <v>39237.735000000001</v>
      </c>
      <c r="I1757" s="100" t="s">
        <v>2405</v>
      </c>
    </row>
    <row r="1758" spans="1:9">
      <c r="A1758" s="95" t="s">
        <v>2409</v>
      </c>
      <c r="B1758" s="96" t="s">
        <v>1034</v>
      </c>
      <c r="C1758" s="96" t="s">
        <v>1241</v>
      </c>
      <c r="D1758" s="96" t="s">
        <v>1824</v>
      </c>
      <c r="E1758" s="96" t="s">
        <v>2509</v>
      </c>
      <c r="F1758" s="96" t="s">
        <v>2510</v>
      </c>
      <c r="G1758" s="88">
        <v>2932523000000</v>
      </c>
      <c r="H1758" s="91">
        <v>2932.5230000000001</v>
      </c>
      <c r="I1758" s="100" t="s">
        <v>2405</v>
      </c>
    </row>
    <row r="1759" spans="1:9">
      <c r="A1759" s="95" t="s">
        <v>2409</v>
      </c>
      <c r="B1759" s="96" t="s">
        <v>1034</v>
      </c>
      <c r="C1759" s="96" t="s">
        <v>1241</v>
      </c>
      <c r="D1759" s="96" t="s">
        <v>2511</v>
      </c>
      <c r="E1759" s="96" t="s">
        <v>2512</v>
      </c>
      <c r="F1759" s="96" t="s">
        <v>2513</v>
      </c>
      <c r="G1759" s="88">
        <v>-1835667000000</v>
      </c>
      <c r="H1759" s="91">
        <v>-1835.6669999999999</v>
      </c>
      <c r="I1759" s="100" t="s">
        <v>2405</v>
      </c>
    </row>
    <row r="1760" spans="1:9">
      <c r="A1760" s="95" t="s">
        <v>2409</v>
      </c>
      <c r="B1760" s="96" t="s">
        <v>1034</v>
      </c>
      <c r="C1760" s="96" t="s">
        <v>1241</v>
      </c>
      <c r="D1760" s="96" t="s">
        <v>1836</v>
      </c>
      <c r="E1760" s="96" t="s">
        <v>2514</v>
      </c>
      <c r="F1760" s="96" t="s">
        <v>2515</v>
      </c>
      <c r="G1760" s="88">
        <v>0</v>
      </c>
      <c r="H1760" s="91">
        <v>0</v>
      </c>
      <c r="I1760" s="100" t="s">
        <v>2405</v>
      </c>
    </row>
    <row r="1761" spans="1:9">
      <c r="A1761" s="95" t="s">
        <v>2409</v>
      </c>
      <c r="B1761" s="96" t="s">
        <v>1034</v>
      </c>
      <c r="C1761" s="96" t="s">
        <v>1241</v>
      </c>
      <c r="D1761" s="96" t="s">
        <v>74</v>
      </c>
      <c r="E1761" s="96" t="s">
        <v>2064</v>
      </c>
      <c r="F1761" s="96" t="s">
        <v>2516</v>
      </c>
      <c r="G1761" s="88">
        <v>10823540000000</v>
      </c>
      <c r="H1761" s="91">
        <v>10823.54</v>
      </c>
      <c r="I1761" s="100" t="s">
        <v>2405</v>
      </c>
    </row>
    <row r="1762" spans="1:9">
      <c r="A1762" s="95" t="s">
        <v>2409</v>
      </c>
      <c r="B1762" s="96" t="s">
        <v>1034</v>
      </c>
      <c r="C1762" s="96" t="s">
        <v>1241</v>
      </c>
      <c r="D1762" s="96" t="s">
        <v>2517</v>
      </c>
      <c r="E1762" s="96" t="s">
        <v>2518</v>
      </c>
      <c r="F1762" s="96" t="s">
        <v>2519</v>
      </c>
      <c r="G1762" s="88">
        <v>7472802000000</v>
      </c>
      <c r="H1762" s="91">
        <v>7472.8019999999997</v>
      </c>
      <c r="I1762" s="100" t="s">
        <v>2405</v>
      </c>
    </row>
    <row r="1763" spans="1:9">
      <c r="A1763" s="95" t="s">
        <v>2409</v>
      </c>
      <c r="B1763" s="96" t="s">
        <v>1034</v>
      </c>
      <c r="C1763" s="96" t="s">
        <v>1241</v>
      </c>
      <c r="D1763" s="96" t="s">
        <v>1828</v>
      </c>
      <c r="E1763" s="96" t="s">
        <v>2520</v>
      </c>
      <c r="F1763" s="96" t="s">
        <v>2521</v>
      </c>
      <c r="G1763" s="88">
        <v>540264000000</v>
      </c>
      <c r="H1763" s="91">
        <v>540.26400000000001</v>
      </c>
      <c r="I1763" s="100" t="s">
        <v>2405</v>
      </c>
    </row>
    <row r="1764" spans="1:9">
      <c r="A1764" s="95" t="s">
        <v>2409</v>
      </c>
      <c r="B1764" s="96" t="s">
        <v>1034</v>
      </c>
      <c r="C1764" s="96" t="s">
        <v>1241</v>
      </c>
      <c r="D1764" s="96" t="s">
        <v>74</v>
      </c>
      <c r="E1764" s="96" t="s">
        <v>2064</v>
      </c>
      <c r="F1764" s="96" t="s">
        <v>2522</v>
      </c>
      <c r="G1764" s="88">
        <v>2810474000000</v>
      </c>
      <c r="H1764" s="91">
        <v>2810.4740000000002</v>
      </c>
      <c r="I1764" s="100" t="s">
        <v>2405</v>
      </c>
    </row>
    <row r="1765" spans="1:9">
      <c r="A1765" s="95" t="s">
        <v>2409</v>
      </c>
      <c r="B1765" s="96" t="s">
        <v>1034</v>
      </c>
      <c r="C1765" s="96" t="s">
        <v>1241</v>
      </c>
      <c r="D1765" s="96" t="s">
        <v>76</v>
      </c>
      <c r="E1765" s="96" t="s">
        <v>75</v>
      </c>
      <c r="F1765" s="96" t="s">
        <v>1643</v>
      </c>
      <c r="G1765" s="88">
        <v>130717940000000</v>
      </c>
      <c r="H1765" s="91">
        <v>130717.94</v>
      </c>
      <c r="I1765" s="100" t="s">
        <v>2405</v>
      </c>
    </row>
    <row r="1766" spans="1:9">
      <c r="A1766" s="95" t="s">
        <v>2409</v>
      </c>
      <c r="B1766" s="96" t="s">
        <v>1034</v>
      </c>
      <c r="C1766" s="96" t="s">
        <v>1241</v>
      </c>
      <c r="D1766" s="96" t="s">
        <v>2523</v>
      </c>
      <c r="E1766" s="96" t="s">
        <v>487</v>
      </c>
      <c r="F1766" s="96" t="s">
        <v>2524</v>
      </c>
      <c r="G1766" s="88">
        <v>84455333000000</v>
      </c>
      <c r="H1766" s="91">
        <v>84455.332999999999</v>
      </c>
      <c r="I1766" s="100" t="s">
        <v>2405</v>
      </c>
    </row>
    <row r="1767" spans="1:9">
      <c r="A1767" s="95" t="s">
        <v>2409</v>
      </c>
      <c r="B1767" s="96" t="s">
        <v>1034</v>
      </c>
      <c r="C1767" s="96" t="s">
        <v>1241</v>
      </c>
      <c r="D1767" s="96" t="s">
        <v>82</v>
      </c>
      <c r="E1767" s="96" t="s">
        <v>2070</v>
      </c>
      <c r="F1767" s="96" t="s">
        <v>2525</v>
      </c>
      <c r="G1767" s="88">
        <v>41645707000000</v>
      </c>
      <c r="H1767" s="91">
        <v>41645.707000000002</v>
      </c>
      <c r="I1767" s="100" t="s">
        <v>2405</v>
      </c>
    </row>
    <row r="1768" spans="1:9">
      <c r="A1768" s="95" t="s">
        <v>2409</v>
      </c>
      <c r="B1768" s="96" t="s">
        <v>1034</v>
      </c>
      <c r="C1768" s="96" t="s">
        <v>1241</v>
      </c>
      <c r="D1768" s="96" t="s">
        <v>2526</v>
      </c>
      <c r="E1768" s="96" t="s">
        <v>2527</v>
      </c>
      <c r="F1768" s="96" t="s">
        <v>2528</v>
      </c>
      <c r="G1768" s="88">
        <v>25197545000000</v>
      </c>
      <c r="H1768" s="91">
        <v>25197.544999999998</v>
      </c>
      <c r="I1768" s="100" t="s">
        <v>2405</v>
      </c>
    </row>
    <row r="1769" spans="1:9">
      <c r="A1769" s="95" t="s">
        <v>2409</v>
      </c>
      <c r="B1769" s="96" t="s">
        <v>1034</v>
      </c>
      <c r="C1769" s="96" t="s">
        <v>1241</v>
      </c>
      <c r="D1769" s="96" t="s">
        <v>2529</v>
      </c>
      <c r="E1769" s="96" t="s">
        <v>2530</v>
      </c>
      <c r="F1769" s="96" t="s">
        <v>2531</v>
      </c>
      <c r="G1769" s="88">
        <v>9162989000000</v>
      </c>
      <c r="H1769" s="91">
        <v>9162.9889999999996</v>
      </c>
      <c r="I1769" s="100" t="s">
        <v>2405</v>
      </c>
    </row>
    <row r="1770" spans="1:9">
      <c r="A1770" s="95" t="s">
        <v>2409</v>
      </c>
      <c r="B1770" s="96" t="s">
        <v>1034</v>
      </c>
      <c r="C1770" s="96" t="s">
        <v>1241</v>
      </c>
      <c r="D1770" s="96" t="s">
        <v>2532</v>
      </c>
      <c r="E1770" s="96" t="s">
        <v>2533</v>
      </c>
      <c r="F1770" s="96" t="s">
        <v>2534</v>
      </c>
      <c r="G1770" s="88">
        <v>341975000000</v>
      </c>
      <c r="H1770" s="91">
        <v>341.97500000000002</v>
      </c>
      <c r="I1770" s="100" t="s">
        <v>2405</v>
      </c>
    </row>
    <row r="1771" spans="1:9">
      <c r="A1771" s="95" t="s">
        <v>2409</v>
      </c>
      <c r="B1771" s="96" t="s">
        <v>1034</v>
      </c>
      <c r="C1771" s="96" t="s">
        <v>1241</v>
      </c>
      <c r="D1771" s="96" t="s">
        <v>2535</v>
      </c>
      <c r="E1771" s="96" t="s">
        <v>2536</v>
      </c>
      <c r="F1771" s="96" t="s">
        <v>2537</v>
      </c>
      <c r="G1771" s="88">
        <v>621937000000</v>
      </c>
      <c r="H1771" s="91">
        <v>621.93700000000001</v>
      </c>
      <c r="I1771" s="100" t="s">
        <v>2405</v>
      </c>
    </row>
    <row r="1772" spans="1:9">
      <c r="A1772" s="95" t="s">
        <v>2409</v>
      </c>
      <c r="B1772" s="96" t="s">
        <v>1034</v>
      </c>
      <c r="C1772" s="96" t="s">
        <v>1241</v>
      </c>
      <c r="D1772" s="96" t="s">
        <v>1846</v>
      </c>
      <c r="E1772" s="96" t="s">
        <v>2538</v>
      </c>
      <c r="F1772" s="96" t="s">
        <v>2539</v>
      </c>
      <c r="G1772" s="88">
        <v>451418000000</v>
      </c>
      <c r="H1772" s="91">
        <v>451.41800000000001</v>
      </c>
      <c r="I1772" s="100" t="s">
        <v>2405</v>
      </c>
    </row>
    <row r="1773" spans="1:9">
      <c r="A1773" s="95" t="s">
        <v>2409</v>
      </c>
      <c r="B1773" s="96" t="s">
        <v>1034</v>
      </c>
      <c r="C1773" s="96" t="s">
        <v>1241</v>
      </c>
      <c r="D1773" s="96" t="s">
        <v>2540</v>
      </c>
      <c r="E1773" s="96" t="s">
        <v>2541</v>
      </c>
      <c r="F1773" s="96" t="s">
        <v>2542</v>
      </c>
      <c r="G1773" s="88">
        <v>5248130000000</v>
      </c>
      <c r="H1773" s="91">
        <v>5248.13</v>
      </c>
      <c r="I1773" s="100" t="s">
        <v>2405</v>
      </c>
    </row>
    <row r="1774" spans="1:9">
      <c r="A1774" s="95" t="s">
        <v>2409</v>
      </c>
      <c r="B1774" s="96" t="s">
        <v>1034</v>
      </c>
      <c r="C1774" s="96" t="s">
        <v>1241</v>
      </c>
      <c r="D1774" s="96" t="s">
        <v>2543</v>
      </c>
      <c r="E1774" s="96" t="s">
        <v>2544</v>
      </c>
      <c r="F1774" s="96" t="s">
        <v>2545</v>
      </c>
      <c r="G1774" s="88">
        <v>0</v>
      </c>
      <c r="H1774" s="91">
        <v>0</v>
      </c>
      <c r="I1774" s="100" t="s">
        <v>2405</v>
      </c>
    </row>
    <row r="1775" spans="1:9">
      <c r="A1775" s="95" t="s">
        <v>2409</v>
      </c>
      <c r="B1775" s="96" t="s">
        <v>1034</v>
      </c>
      <c r="C1775" s="96" t="s">
        <v>1241</v>
      </c>
      <c r="D1775" s="96" t="s">
        <v>2546</v>
      </c>
      <c r="E1775" s="96" t="s">
        <v>2547</v>
      </c>
      <c r="F1775" s="96" t="s">
        <v>2548</v>
      </c>
      <c r="G1775" s="88">
        <v>0</v>
      </c>
      <c r="H1775" s="91">
        <v>0</v>
      </c>
      <c r="I1775" s="100" t="s">
        <v>2405</v>
      </c>
    </row>
    <row r="1776" spans="1:9">
      <c r="A1776" s="95" t="s">
        <v>2409</v>
      </c>
      <c r="B1776" s="96" t="s">
        <v>1034</v>
      </c>
      <c r="C1776" s="96" t="s">
        <v>1241</v>
      </c>
      <c r="D1776" s="96" t="s">
        <v>2549</v>
      </c>
      <c r="E1776" s="96" t="s">
        <v>2550</v>
      </c>
      <c r="F1776" s="96" t="s">
        <v>2551</v>
      </c>
      <c r="G1776" s="88">
        <v>377392000000</v>
      </c>
      <c r="H1776" s="91">
        <v>377.392</v>
      </c>
      <c r="I1776" s="100" t="s">
        <v>2405</v>
      </c>
    </row>
    <row r="1777" spans="1:9">
      <c r="A1777" s="95" t="s">
        <v>2409</v>
      </c>
      <c r="B1777" s="96" t="s">
        <v>1034</v>
      </c>
      <c r="C1777" s="96" t="s">
        <v>1241</v>
      </c>
      <c r="D1777" s="96" t="s">
        <v>2552</v>
      </c>
      <c r="E1777" s="96" t="s">
        <v>2553</v>
      </c>
      <c r="F1777" s="96" t="s">
        <v>2554</v>
      </c>
      <c r="G1777" s="88">
        <v>91734000000</v>
      </c>
      <c r="H1777" s="91">
        <v>91.733999999999995</v>
      </c>
      <c r="I1777" s="100" t="s">
        <v>2405</v>
      </c>
    </row>
    <row r="1778" spans="1:9">
      <c r="A1778" s="95" t="s">
        <v>2409</v>
      </c>
      <c r="B1778" s="96" t="s">
        <v>1034</v>
      </c>
      <c r="C1778" s="96" t="s">
        <v>1241</v>
      </c>
      <c r="D1778" s="96" t="s">
        <v>2555</v>
      </c>
      <c r="E1778" s="96" t="s">
        <v>2556</v>
      </c>
      <c r="F1778" s="96" t="s">
        <v>2557</v>
      </c>
      <c r="G1778" s="88">
        <v>31125000000</v>
      </c>
      <c r="H1778" s="91">
        <v>31.125</v>
      </c>
      <c r="I1778" s="100" t="s">
        <v>2405</v>
      </c>
    </row>
    <row r="1779" spans="1:9">
      <c r="A1779" s="95" t="s">
        <v>2409</v>
      </c>
      <c r="B1779" s="96" t="s">
        <v>1034</v>
      </c>
      <c r="C1779" s="96" t="s">
        <v>1241</v>
      </c>
      <c r="D1779" s="96" t="s">
        <v>86</v>
      </c>
      <c r="E1779" s="96" t="s">
        <v>2073</v>
      </c>
      <c r="F1779" s="96" t="s">
        <v>2558</v>
      </c>
      <c r="G1779" s="88">
        <v>42809626000000</v>
      </c>
      <c r="H1779" s="91">
        <v>42809.625999999997</v>
      </c>
      <c r="I1779" s="100" t="s">
        <v>2405</v>
      </c>
    </row>
    <row r="1780" spans="1:9">
      <c r="A1780" s="95" t="s">
        <v>2409</v>
      </c>
      <c r="B1780" s="96" t="s">
        <v>1034</v>
      </c>
      <c r="C1780" s="96" t="s">
        <v>1241</v>
      </c>
      <c r="D1780" s="96" t="s">
        <v>1866</v>
      </c>
      <c r="E1780" s="96" t="s">
        <v>2559</v>
      </c>
      <c r="F1780" s="96" t="s">
        <v>2560</v>
      </c>
      <c r="G1780" s="88">
        <v>11376000000</v>
      </c>
      <c r="H1780" s="91">
        <v>11.375999999999999</v>
      </c>
      <c r="I1780" s="100" t="s">
        <v>2405</v>
      </c>
    </row>
    <row r="1781" spans="1:9">
      <c r="A1781" s="95" t="s">
        <v>2409</v>
      </c>
      <c r="B1781" s="96" t="s">
        <v>1034</v>
      </c>
      <c r="C1781" s="96" t="s">
        <v>1241</v>
      </c>
      <c r="D1781" s="96" t="s">
        <v>2561</v>
      </c>
      <c r="E1781" s="96" t="s">
        <v>2562</v>
      </c>
      <c r="F1781" s="96" t="s">
        <v>2563</v>
      </c>
      <c r="G1781" s="88">
        <v>0</v>
      </c>
      <c r="H1781" s="91">
        <v>0</v>
      </c>
      <c r="I1781" s="100" t="s">
        <v>2405</v>
      </c>
    </row>
    <row r="1782" spans="1:9">
      <c r="A1782" s="95" t="s">
        <v>2409</v>
      </c>
      <c r="B1782" s="96" t="s">
        <v>1034</v>
      </c>
      <c r="C1782" s="96" t="s">
        <v>1241</v>
      </c>
      <c r="D1782" s="96" t="s">
        <v>2564</v>
      </c>
      <c r="E1782" s="96" t="s">
        <v>2565</v>
      </c>
      <c r="F1782" s="96" t="s">
        <v>2566</v>
      </c>
      <c r="G1782" s="88">
        <v>80573000000</v>
      </c>
      <c r="H1782" s="91">
        <v>80.572999999999993</v>
      </c>
      <c r="I1782" s="100" t="s">
        <v>2405</v>
      </c>
    </row>
    <row r="1783" spans="1:9">
      <c r="A1783" s="95" t="s">
        <v>2409</v>
      </c>
      <c r="B1783" s="96" t="s">
        <v>1034</v>
      </c>
      <c r="C1783" s="96" t="s">
        <v>1241</v>
      </c>
      <c r="D1783" s="96" t="s">
        <v>2567</v>
      </c>
      <c r="E1783" s="96" t="s">
        <v>2568</v>
      </c>
      <c r="F1783" s="96" t="s">
        <v>2569</v>
      </c>
      <c r="G1783" s="88">
        <v>39839621000000</v>
      </c>
      <c r="H1783" s="91">
        <v>39839.620999999999</v>
      </c>
      <c r="I1783" s="100" t="s">
        <v>2405</v>
      </c>
    </row>
    <row r="1784" spans="1:9">
      <c r="A1784" s="95" t="s">
        <v>2409</v>
      </c>
      <c r="B1784" s="96" t="s">
        <v>1034</v>
      </c>
      <c r="C1784" s="96" t="s">
        <v>1241</v>
      </c>
      <c r="D1784" s="96" t="s">
        <v>1886</v>
      </c>
      <c r="E1784" s="96" t="s">
        <v>2570</v>
      </c>
      <c r="F1784" s="96" t="s">
        <v>2521</v>
      </c>
      <c r="G1784" s="88">
        <v>2331823000000</v>
      </c>
      <c r="H1784" s="91">
        <v>2331.8229999999999</v>
      </c>
      <c r="I1784" s="100" t="s">
        <v>2405</v>
      </c>
    </row>
    <row r="1785" spans="1:9">
      <c r="A1785" s="95" t="s">
        <v>2409</v>
      </c>
      <c r="B1785" s="96" t="s">
        <v>1034</v>
      </c>
      <c r="C1785" s="96" t="s">
        <v>1241</v>
      </c>
      <c r="D1785" s="96" t="s">
        <v>1892</v>
      </c>
      <c r="E1785" s="96" t="s">
        <v>2571</v>
      </c>
      <c r="F1785" s="96" t="s">
        <v>2572</v>
      </c>
      <c r="G1785" s="88">
        <v>0</v>
      </c>
      <c r="H1785" s="91">
        <v>0</v>
      </c>
      <c r="I1785" s="100" t="s">
        <v>2405</v>
      </c>
    </row>
    <row r="1786" spans="1:9">
      <c r="A1786" s="95" t="s">
        <v>2409</v>
      </c>
      <c r="B1786" s="96" t="s">
        <v>1034</v>
      </c>
      <c r="C1786" s="96" t="s">
        <v>1241</v>
      </c>
      <c r="D1786" s="96" t="s">
        <v>1888</v>
      </c>
      <c r="E1786" s="96" t="s">
        <v>2573</v>
      </c>
      <c r="F1786" s="96" t="s">
        <v>2574</v>
      </c>
      <c r="G1786" s="88">
        <v>542337000000</v>
      </c>
      <c r="H1786" s="91">
        <v>542.33699999999999</v>
      </c>
      <c r="I1786" s="100" t="s">
        <v>2405</v>
      </c>
    </row>
    <row r="1787" spans="1:9">
      <c r="A1787" s="95" t="s">
        <v>2409</v>
      </c>
      <c r="B1787" s="96" t="s">
        <v>1034</v>
      </c>
      <c r="C1787" s="96" t="s">
        <v>1241</v>
      </c>
      <c r="D1787" s="96" t="s">
        <v>2575</v>
      </c>
      <c r="E1787" s="96" t="s">
        <v>2576</v>
      </c>
      <c r="F1787" s="96" t="s">
        <v>2577</v>
      </c>
      <c r="G1787" s="88">
        <v>0</v>
      </c>
      <c r="H1787" s="91">
        <v>0</v>
      </c>
      <c r="I1787" s="100" t="s">
        <v>2405</v>
      </c>
    </row>
    <row r="1788" spans="1:9">
      <c r="A1788" s="95" t="s">
        <v>2409</v>
      </c>
      <c r="B1788" s="96" t="s">
        <v>1034</v>
      </c>
      <c r="C1788" s="96" t="s">
        <v>1241</v>
      </c>
      <c r="D1788" s="96" t="s">
        <v>2578</v>
      </c>
      <c r="E1788" s="96" t="s">
        <v>2579</v>
      </c>
      <c r="F1788" s="96" t="s">
        <v>2580</v>
      </c>
      <c r="G1788" s="88">
        <v>0</v>
      </c>
      <c r="H1788" s="91">
        <v>0</v>
      </c>
      <c r="I1788" s="100" t="s">
        <v>2405</v>
      </c>
    </row>
    <row r="1789" spans="1:9">
      <c r="A1789" s="95" t="s">
        <v>2409</v>
      </c>
      <c r="B1789" s="96" t="s">
        <v>1034</v>
      </c>
      <c r="C1789" s="96" t="s">
        <v>1241</v>
      </c>
      <c r="D1789" s="96" t="s">
        <v>2581</v>
      </c>
      <c r="E1789" s="96" t="s">
        <v>2582</v>
      </c>
      <c r="F1789" s="96" t="s">
        <v>2583</v>
      </c>
      <c r="G1789" s="88">
        <v>46262607000000</v>
      </c>
      <c r="H1789" s="91">
        <v>46262.607000000004</v>
      </c>
      <c r="I1789" s="100" t="s">
        <v>2405</v>
      </c>
    </row>
    <row r="1790" spans="1:9">
      <c r="A1790" s="95" t="s">
        <v>2409</v>
      </c>
      <c r="B1790" s="96" t="s">
        <v>1034</v>
      </c>
      <c r="C1790" s="96" t="s">
        <v>1241</v>
      </c>
      <c r="D1790" s="96" t="s">
        <v>2584</v>
      </c>
      <c r="E1790" s="96" t="s">
        <v>2585</v>
      </c>
      <c r="F1790" s="96" t="s">
        <v>2586</v>
      </c>
      <c r="G1790" s="88">
        <v>46262607000000</v>
      </c>
      <c r="H1790" s="91">
        <v>46262.607000000004</v>
      </c>
      <c r="I1790" s="100" t="s">
        <v>2405</v>
      </c>
    </row>
    <row r="1791" spans="1:9">
      <c r="A1791" s="95" t="s">
        <v>2409</v>
      </c>
      <c r="B1791" s="96" t="s">
        <v>1034</v>
      </c>
      <c r="C1791" s="96" t="s">
        <v>1241</v>
      </c>
      <c r="D1791" s="96" t="s">
        <v>2587</v>
      </c>
      <c r="E1791" s="96" t="s">
        <v>2588</v>
      </c>
      <c r="F1791" s="96" t="s">
        <v>2589</v>
      </c>
      <c r="G1791" s="88">
        <v>15204920000000</v>
      </c>
      <c r="H1791" s="91">
        <v>15204.92</v>
      </c>
      <c r="I1791" s="100" t="s">
        <v>2405</v>
      </c>
    </row>
    <row r="1792" spans="1:9">
      <c r="A1792" s="95" t="s">
        <v>2409</v>
      </c>
      <c r="B1792" s="96" t="s">
        <v>1034</v>
      </c>
      <c r="C1792" s="96" t="s">
        <v>1241</v>
      </c>
      <c r="D1792" s="96" t="s">
        <v>1900</v>
      </c>
      <c r="E1792" s="96" t="s">
        <v>2590</v>
      </c>
      <c r="F1792" s="96" t="s">
        <v>2591</v>
      </c>
      <c r="G1792" s="88">
        <v>14164508000000</v>
      </c>
      <c r="H1792" s="91">
        <v>14164.508</v>
      </c>
      <c r="I1792" s="100" t="s">
        <v>2405</v>
      </c>
    </row>
    <row r="1793" spans="1:9">
      <c r="A1793" s="95" t="s">
        <v>2409</v>
      </c>
      <c r="B1793" s="96" t="s">
        <v>1034</v>
      </c>
      <c r="C1793" s="96" t="s">
        <v>1241</v>
      </c>
      <c r="D1793" s="96" t="s">
        <v>2592</v>
      </c>
      <c r="E1793" s="96" t="s">
        <v>2593</v>
      </c>
      <c r="F1793" s="96" t="s">
        <v>2594</v>
      </c>
      <c r="G1793" s="88">
        <v>-8388147000000</v>
      </c>
      <c r="H1793" s="91">
        <v>-8388.1470000000008</v>
      </c>
      <c r="I1793" s="100" t="s">
        <v>2405</v>
      </c>
    </row>
    <row r="1794" spans="1:9">
      <c r="A1794" s="95" t="s">
        <v>2409</v>
      </c>
      <c r="B1794" s="96" t="s">
        <v>1034</v>
      </c>
      <c r="C1794" s="96" t="s">
        <v>1241</v>
      </c>
      <c r="D1794" s="96" t="s">
        <v>1906</v>
      </c>
      <c r="E1794" s="96" t="s">
        <v>2595</v>
      </c>
      <c r="F1794" s="96" t="s">
        <v>2596</v>
      </c>
      <c r="G1794" s="88">
        <v>0</v>
      </c>
      <c r="H1794" s="91">
        <v>0</v>
      </c>
      <c r="I1794" s="100" t="s">
        <v>2405</v>
      </c>
    </row>
    <row r="1795" spans="1:9">
      <c r="A1795" s="95" t="s">
        <v>2409</v>
      </c>
      <c r="B1795" s="96" t="s">
        <v>1034</v>
      </c>
      <c r="C1795" s="96" t="s">
        <v>1241</v>
      </c>
      <c r="D1795" s="96" t="s">
        <v>2597</v>
      </c>
      <c r="E1795" s="96" t="s">
        <v>2598</v>
      </c>
      <c r="F1795" s="96" t="s">
        <v>2599</v>
      </c>
      <c r="G1795" s="88">
        <v>0</v>
      </c>
      <c r="H1795" s="91">
        <v>0</v>
      </c>
      <c r="I1795" s="100" t="s">
        <v>2405</v>
      </c>
    </row>
    <row r="1796" spans="1:9">
      <c r="A1796" s="95" t="s">
        <v>2409</v>
      </c>
      <c r="B1796" s="96" t="s">
        <v>1034</v>
      </c>
      <c r="C1796" s="96" t="s">
        <v>1241</v>
      </c>
      <c r="D1796" s="96" t="s">
        <v>1910</v>
      </c>
      <c r="E1796" s="96" t="s">
        <v>2600</v>
      </c>
      <c r="F1796" s="96" t="s">
        <v>2601</v>
      </c>
      <c r="G1796" s="88">
        <v>11533000000</v>
      </c>
      <c r="H1796" s="91">
        <v>11.532999999999999</v>
      </c>
      <c r="I1796" s="100" t="s">
        <v>2405</v>
      </c>
    </row>
    <row r="1797" spans="1:9">
      <c r="A1797" s="95" t="s">
        <v>2409</v>
      </c>
      <c r="B1797" s="96" t="s">
        <v>1034</v>
      </c>
      <c r="C1797" s="96" t="s">
        <v>1241</v>
      </c>
      <c r="D1797" s="96" t="s">
        <v>2602</v>
      </c>
      <c r="E1797" s="96" t="s">
        <v>2603</v>
      </c>
      <c r="F1797" s="96" t="s">
        <v>2604</v>
      </c>
      <c r="G1797" s="88">
        <v>0</v>
      </c>
      <c r="H1797" s="91">
        <v>0</v>
      </c>
      <c r="I1797" s="100" t="s">
        <v>2405</v>
      </c>
    </row>
    <row r="1798" spans="1:9">
      <c r="A1798" s="95" t="s">
        <v>2409</v>
      </c>
      <c r="B1798" s="96" t="s">
        <v>1034</v>
      </c>
      <c r="C1798" s="96" t="s">
        <v>1241</v>
      </c>
      <c r="D1798" s="96" t="s">
        <v>2605</v>
      </c>
      <c r="E1798" s="96" t="s">
        <v>2606</v>
      </c>
      <c r="F1798" s="96" t="s">
        <v>2607</v>
      </c>
      <c r="G1798" s="88">
        <v>0</v>
      </c>
      <c r="H1798" s="91">
        <v>0</v>
      </c>
      <c r="I1798" s="100" t="s">
        <v>2405</v>
      </c>
    </row>
    <row r="1799" spans="1:9">
      <c r="A1799" s="95" t="s">
        <v>2409</v>
      </c>
      <c r="B1799" s="96" t="s">
        <v>1034</v>
      </c>
      <c r="C1799" s="96" t="s">
        <v>1241</v>
      </c>
      <c r="D1799" s="96" t="s">
        <v>2608</v>
      </c>
      <c r="E1799" s="96" t="s">
        <v>2609</v>
      </c>
      <c r="F1799" s="96" t="s">
        <v>2610</v>
      </c>
      <c r="G1799" s="88">
        <v>0</v>
      </c>
      <c r="H1799" s="91">
        <v>0</v>
      </c>
      <c r="I1799" s="100" t="s">
        <v>2405</v>
      </c>
    </row>
    <row r="1800" spans="1:9">
      <c r="A1800" s="95" t="s">
        <v>2409</v>
      </c>
      <c r="B1800" s="96" t="s">
        <v>1034</v>
      </c>
      <c r="C1800" s="96" t="s">
        <v>1241</v>
      </c>
      <c r="D1800" s="96" t="s">
        <v>2611</v>
      </c>
      <c r="E1800" s="96" t="s">
        <v>2612</v>
      </c>
      <c r="F1800" s="96" t="s">
        <v>2613</v>
      </c>
      <c r="G1800" s="88">
        <v>15601403000000</v>
      </c>
      <c r="H1800" s="91">
        <v>15601.403</v>
      </c>
      <c r="I1800" s="100" t="s">
        <v>2405</v>
      </c>
    </row>
    <row r="1801" spans="1:9">
      <c r="A1801" s="95" t="s">
        <v>2409</v>
      </c>
      <c r="B1801" s="96" t="s">
        <v>1034</v>
      </c>
      <c r="C1801" s="96" t="s">
        <v>1241</v>
      </c>
      <c r="D1801" s="96" t="s">
        <v>2614</v>
      </c>
      <c r="E1801" s="96" t="s">
        <v>2615</v>
      </c>
      <c r="F1801" s="96" t="s">
        <v>2616</v>
      </c>
      <c r="G1801" s="88">
        <v>0</v>
      </c>
      <c r="H1801" s="91">
        <v>0</v>
      </c>
      <c r="I1801" s="100" t="s">
        <v>2405</v>
      </c>
    </row>
    <row r="1802" spans="1:9">
      <c r="A1802" s="95" t="s">
        <v>2409</v>
      </c>
      <c r="B1802" s="96" t="s">
        <v>1034</v>
      </c>
      <c r="C1802" s="96" t="s">
        <v>1241</v>
      </c>
      <c r="D1802" s="96" t="s">
        <v>2617</v>
      </c>
      <c r="E1802" s="96" t="s">
        <v>2618</v>
      </c>
      <c r="F1802" s="96" t="s">
        <v>2619</v>
      </c>
      <c r="G1802" s="88">
        <v>0</v>
      </c>
      <c r="H1802" s="91">
        <v>0</v>
      </c>
      <c r="I1802" s="100" t="s">
        <v>2405</v>
      </c>
    </row>
    <row r="1803" spans="1:9">
      <c r="A1803" s="95" t="s">
        <v>2409</v>
      </c>
      <c r="B1803" s="96" t="s">
        <v>1034</v>
      </c>
      <c r="C1803" s="96" t="s">
        <v>1241</v>
      </c>
      <c r="D1803" s="96" t="s">
        <v>2620</v>
      </c>
      <c r="E1803" s="96" t="s">
        <v>2621</v>
      </c>
      <c r="F1803" s="96" t="s">
        <v>2622</v>
      </c>
      <c r="G1803" s="88">
        <v>0</v>
      </c>
      <c r="H1803" s="91">
        <v>0</v>
      </c>
      <c r="I1803" s="100" t="s">
        <v>2405</v>
      </c>
    </row>
    <row r="1804" spans="1:9">
      <c r="A1804" s="95" t="s">
        <v>2409</v>
      </c>
      <c r="B1804" s="96" t="s">
        <v>1034</v>
      </c>
      <c r="C1804" s="96" t="s">
        <v>1241</v>
      </c>
      <c r="D1804" s="96" t="s">
        <v>2617</v>
      </c>
      <c r="E1804" s="96" t="s">
        <v>2618</v>
      </c>
      <c r="F1804" s="96" t="s">
        <v>2623</v>
      </c>
      <c r="G1804" s="88">
        <v>0</v>
      </c>
      <c r="H1804" s="91">
        <v>0</v>
      </c>
      <c r="I1804" s="100" t="s">
        <v>2405</v>
      </c>
    </row>
    <row r="1805" spans="1:9">
      <c r="A1805" s="95" t="s">
        <v>2409</v>
      </c>
      <c r="B1805" s="96" t="s">
        <v>1034</v>
      </c>
      <c r="C1805" s="96" t="s">
        <v>1241</v>
      </c>
      <c r="D1805" s="96" t="s">
        <v>2624</v>
      </c>
      <c r="E1805" s="96" t="s">
        <v>2625</v>
      </c>
      <c r="F1805" s="96" t="s">
        <v>1631</v>
      </c>
      <c r="G1805" s="88">
        <v>0</v>
      </c>
      <c r="H1805" s="91">
        <v>0</v>
      </c>
      <c r="I1805" s="100" t="s">
        <v>2405</v>
      </c>
    </row>
    <row r="1806" spans="1:9">
      <c r="A1806" s="95" t="s">
        <v>2409</v>
      </c>
      <c r="B1806" s="96" t="s">
        <v>1034</v>
      </c>
      <c r="C1806" s="96" t="s">
        <v>1241</v>
      </c>
      <c r="D1806" s="96" t="s">
        <v>2626</v>
      </c>
      <c r="E1806" s="96" t="s">
        <v>2627</v>
      </c>
      <c r="F1806" s="96" t="s">
        <v>2628</v>
      </c>
      <c r="G1806" s="88">
        <v>130717940000000</v>
      </c>
      <c r="H1806" s="91">
        <v>130717.94</v>
      </c>
      <c r="I1806" s="100" t="s">
        <v>2405</v>
      </c>
    </row>
    <row r="1807" spans="1:9">
      <c r="A1807" s="95" t="s">
        <v>2409</v>
      </c>
      <c r="B1807" s="96" t="s">
        <v>1034</v>
      </c>
      <c r="C1807" s="96" t="s">
        <v>1241</v>
      </c>
      <c r="D1807" s="96" t="s">
        <v>2629</v>
      </c>
      <c r="E1807" s="96" t="s">
        <v>2630</v>
      </c>
      <c r="F1807" s="96" t="s">
        <v>2631</v>
      </c>
      <c r="G1807" s="88">
        <v>0</v>
      </c>
      <c r="H1807" s="91">
        <v>0</v>
      </c>
      <c r="I1807" s="100" t="s">
        <v>2405</v>
      </c>
    </row>
    <row r="1808" spans="1:9">
      <c r="A1808" s="95" t="s">
        <v>2409</v>
      </c>
      <c r="B1808" s="96" t="s">
        <v>1034</v>
      </c>
      <c r="C1808" s="96" t="s">
        <v>1241</v>
      </c>
      <c r="D1808" s="96" t="s">
        <v>2632</v>
      </c>
      <c r="E1808" s="96" t="s">
        <v>2633</v>
      </c>
      <c r="F1808" s="96" t="s">
        <v>2634</v>
      </c>
      <c r="G1808" s="88">
        <v>4775894000000</v>
      </c>
      <c r="H1808" s="91">
        <v>4775.8940000000002</v>
      </c>
      <c r="I1808" s="100" t="s">
        <v>2405</v>
      </c>
    </row>
    <row r="1809" spans="1:9">
      <c r="A1809" s="95" t="s">
        <v>2409</v>
      </c>
      <c r="B1809" s="96" t="s">
        <v>1034</v>
      </c>
      <c r="C1809" s="96" t="s">
        <v>1241</v>
      </c>
      <c r="D1809" s="96" t="s">
        <v>2635</v>
      </c>
      <c r="E1809" s="96" t="s">
        <v>2636</v>
      </c>
      <c r="F1809" s="96" t="s">
        <v>2637</v>
      </c>
      <c r="G1809" s="88">
        <v>0</v>
      </c>
      <c r="H1809" s="91">
        <v>0</v>
      </c>
      <c r="I1809" s="100" t="s">
        <v>2405</v>
      </c>
    </row>
    <row r="1810" spans="1:9">
      <c r="A1810" s="95" t="s">
        <v>2409</v>
      </c>
      <c r="B1810" s="96" t="s">
        <v>1034</v>
      </c>
      <c r="C1810" s="96" t="s">
        <v>1241</v>
      </c>
      <c r="D1810" s="96" t="s">
        <v>2638</v>
      </c>
      <c r="E1810" s="96" t="s">
        <v>2639</v>
      </c>
      <c r="F1810" s="96" t="s">
        <v>2640</v>
      </c>
      <c r="G1810" s="88">
        <v>55422000000</v>
      </c>
      <c r="H1810" s="91">
        <v>55.421999999999997</v>
      </c>
      <c r="I1810" s="100" t="s">
        <v>2405</v>
      </c>
    </row>
    <row r="1811" spans="1:9">
      <c r="A1811" s="95" t="s">
        <v>2409</v>
      </c>
      <c r="B1811" s="96" t="s">
        <v>1034</v>
      </c>
      <c r="C1811" s="96" t="s">
        <v>1241</v>
      </c>
      <c r="D1811" s="96" t="s">
        <v>2641</v>
      </c>
      <c r="E1811" s="96" t="s">
        <v>2642</v>
      </c>
      <c r="F1811" s="96" t="s">
        <v>2643</v>
      </c>
      <c r="G1811" s="88">
        <v>0</v>
      </c>
      <c r="H1811" s="91">
        <v>0</v>
      </c>
      <c r="I1811" s="100" t="s">
        <v>2405</v>
      </c>
    </row>
    <row r="1812" spans="1:9">
      <c r="A1812" s="95" t="s">
        <v>2409</v>
      </c>
      <c r="B1812" s="96" t="s">
        <v>1034</v>
      </c>
      <c r="C1812" s="96" t="s">
        <v>1241</v>
      </c>
      <c r="D1812" s="96" t="s">
        <v>2644</v>
      </c>
      <c r="E1812" s="96" t="s">
        <v>2645</v>
      </c>
      <c r="F1812" s="96" t="s">
        <v>2646</v>
      </c>
      <c r="G1812" s="88">
        <v>0</v>
      </c>
      <c r="H1812" s="91">
        <v>0</v>
      </c>
      <c r="I1812" s="100" t="s">
        <v>2405</v>
      </c>
    </row>
    <row r="1813" spans="1:9">
      <c r="A1813" s="95" t="s">
        <v>2409</v>
      </c>
      <c r="B1813" s="96" t="s">
        <v>1034</v>
      </c>
      <c r="C1813" s="96" t="s">
        <v>1241</v>
      </c>
      <c r="D1813" s="96" t="s">
        <v>1759</v>
      </c>
      <c r="E1813" s="96" t="s">
        <v>2647</v>
      </c>
      <c r="F1813" s="96" t="s">
        <v>2648</v>
      </c>
      <c r="G1813" s="88">
        <v>0</v>
      </c>
      <c r="H1813" s="91">
        <v>0</v>
      </c>
      <c r="I1813" s="100" t="s">
        <v>2405</v>
      </c>
    </row>
    <row r="1814" spans="1:9">
      <c r="A1814" s="95" t="s">
        <v>2409</v>
      </c>
      <c r="B1814" s="96" t="s">
        <v>1034</v>
      </c>
      <c r="C1814" s="96" t="s">
        <v>1241</v>
      </c>
      <c r="D1814" s="96" t="s">
        <v>2649</v>
      </c>
      <c r="E1814" s="96" t="s">
        <v>2650</v>
      </c>
      <c r="F1814" s="96" t="s">
        <v>2651</v>
      </c>
      <c r="G1814" s="88">
        <v>0</v>
      </c>
      <c r="H1814" s="91">
        <v>0</v>
      </c>
      <c r="I1814" s="100" t="s">
        <v>2405</v>
      </c>
    </row>
    <row r="1815" spans="1:9">
      <c r="A1815" s="95" t="s">
        <v>2409</v>
      </c>
      <c r="B1815" s="96" t="s">
        <v>1034</v>
      </c>
      <c r="C1815" s="96" t="s">
        <v>1241</v>
      </c>
      <c r="D1815" s="96" t="s">
        <v>2652</v>
      </c>
      <c r="E1815" s="96" t="s">
        <v>2653</v>
      </c>
      <c r="F1815" s="96" t="s">
        <v>2654</v>
      </c>
      <c r="G1815" s="88">
        <v>964143000000</v>
      </c>
      <c r="H1815" s="91">
        <v>964.14300000000003</v>
      </c>
      <c r="I1815" s="100" t="s">
        <v>2405</v>
      </c>
    </row>
    <row r="1816" spans="1:9">
      <c r="A1816" s="95" t="s">
        <v>2409</v>
      </c>
      <c r="B1816" s="96" t="s">
        <v>1034</v>
      </c>
      <c r="C1816" s="96" t="s">
        <v>1241</v>
      </c>
      <c r="D1816" s="96" t="s">
        <v>2655</v>
      </c>
      <c r="E1816" s="96" t="s">
        <v>2656</v>
      </c>
      <c r="F1816" s="96" t="s">
        <v>2657</v>
      </c>
      <c r="G1816" s="88">
        <v>0</v>
      </c>
      <c r="H1816" s="91">
        <v>0</v>
      </c>
      <c r="I1816" s="100" t="s">
        <v>2405</v>
      </c>
    </row>
    <row r="1817" spans="1:9">
      <c r="A1817" s="95" t="s">
        <v>2409</v>
      </c>
      <c r="B1817" s="96" t="s">
        <v>1034</v>
      </c>
      <c r="C1817" s="96" t="s">
        <v>1241</v>
      </c>
      <c r="D1817" s="96" t="s">
        <v>2632</v>
      </c>
      <c r="E1817" s="96" t="s">
        <v>2633</v>
      </c>
      <c r="F1817" s="96" t="s">
        <v>2634</v>
      </c>
      <c r="G1817" s="88">
        <v>10069835000000</v>
      </c>
      <c r="H1817" s="91">
        <v>10069.834999999999</v>
      </c>
      <c r="I1817" s="100" t="s">
        <v>2405</v>
      </c>
    </row>
    <row r="1818" spans="1:9">
      <c r="A1818" s="95" t="s">
        <v>2409</v>
      </c>
      <c r="B1818" s="96" t="s">
        <v>1034</v>
      </c>
      <c r="C1818" s="96" t="s">
        <v>1241</v>
      </c>
      <c r="D1818" s="96" t="s">
        <v>2658</v>
      </c>
      <c r="E1818" s="96" t="s">
        <v>2659</v>
      </c>
      <c r="F1818" s="96" t="s">
        <v>2660</v>
      </c>
      <c r="G1818" s="88">
        <v>0</v>
      </c>
      <c r="H1818" s="91">
        <v>0</v>
      </c>
      <c r="I1818" s="100" t="s">
        <v>2405</v>
      </c>
    </row>
    <row r="1819" spans="1:9">
      <c r="A1819" s="95" t="s">
        <v>2409</v>
      </c>
      <c r="B1819" s="96" t="s">
        <v>1034</v>
      </c>
      <c r="C1819" s="96" t="s">
        <v>1241</v>
      </c>
      <c r="D1819" s="96" t="s">
        <v>2661</v>
      </c>
      <c r="E1819" s="96" t="s">
        <v>2662</v>
      </c>
      <c r="F1819" s="96" t="s">
        <v>2663</v>
      </c>
      <c r="G1819" s="88">
        <v>33159000000</v>
      </c>
      <c r="H1819" s="91">
        <v>33.158999999999999</v>
      </c>
      <c r="I1819" s="100" t="s">
        <v>2405</v>
      </c>
    </row>
    <row r="1820" spans="1:9">
      <c r="A1820" s="95" t="s">
        <v>2409</v>
      </c>
      <c r="B1820" s="96" t="s">
        <v>1034</v>
      </c>
      <c r="C1820" s="96" t="s">
        <v>1241</v>
      </c>
      <c r="D1820" s="96" t="s">
        <v>1862</v>
      </c>
      <c r="E1820" s="96" t="s">
        <v>2664</v>
      </c>
      <c r="F1820" s="96" t="s">
        <v>2665</v>
      </c>
      <c r="G1820" s="88">
        <v>0</v>
      </c>
      <c r="H1820" s="91">
        <v>0</v>
      </c>
      <c r="I1820" s="100" t="s">
        <v>2405</v>
      </c>
    </row>
    <row r="1821" spans="1:9">
      <c r="A1821" s="95" t="s">
        <v>2409</v>
      </c>
      <c r="B1821" s="96" t="s">
        <v>1034</v>
      </c>
      <c r="C1821" s="96" t="s">
        <v>1241</v>
      </c>
      <c r="D1821" s="96" t="s">
        <v>2644</v>
      </c>
      <c r="E1821" s="96" t="s">
        <v>2645</v>
      </c>
      <c r="F1821" s="96" t="s">
        <v>2666</v>
      </c>
      <c r="G1821" s="88">
        <v>0</v>
      </c>
      <c r="H1821" s="91">
        <v>0</v>
      </c>
      <c r="I1821" s="100" t="s">
        <v>2405</v>
      </c>
    </row>
    <row r="1822" spans="1:9">
      <c r="A1822" s="95" t="s">
        <v>2409</v>
      </c>
      <c r="B1822" s="96" t="s">
        <v>1034</v>
      </c>
      <c r="C1822" s="96" t="s">
        <v>1241</v>
      </c>
      <c r="D1822" s="96" t="s">
        <v>1868</v>
      </c>
      <c r="E1822" s="96" t="s">
        <v>2667</v>
      </c>
      <c r="F1822" s="96" t="s">
        <v>2668</v>
      </c>
      <c r="G1822" s="88">
        <v>0</v>
      </c>
      <c r="H1822" s="91">
        <v>0</v>
      </c>
      <c r="I1822" s="100" t="s">
        <v>2405</v>
      </c>
    </row>
    <row r="1823" spans="1:9">
      <c r="A1823" s="95" t="s">
        <v>2409</v>
      </c>
      <c r="B1823" s="96" t="s">
        <v>1034</v>
      </c>
      <c r="C1823" s="96" t="s">
        <v>1241</v>
      </c>
      <c r="D1823" s="96" t="s">
        <v>1872</v>
      </c>
      <c r="E1823" s="96" t="s">
        <v>2669</v>
      </c>
      <c r="F1823" s="96" t="s">
        <v>2670</v>
      </c>
      <c r="G1823" s="88">
        <v>3896000000</v>
      </c>
      <c r="H1823" s="91">
        <v>3.8959999999999999</v>
      </c>
      <c r="I1823" s="100" t="s">
        <v>2405</v>
      </c>
    </row>
    <row r="1824" spans="1:9">
      <c r="A1824" s="95" t="s">
        <v>2409</v>
      </c>
      <c r="B1824" s="96" t="s">
        <v>1034</v>
      </c>
      <c r="C1824" s="96" t="s">
        <v>1241</v>
      </c>
      <c r="D1824" s="96" t="s">
        <v>2671</v>
      </c>
      <c r="E1824" s="96" t="s">
        <v>2672</v>
      </c>
      <c r="F1824" s="96" t="s">
        <v>2673</v>
      </c>
      <c r="G1824" s="88">
        <v>0</v>
      </c>
      <c r="H1824" s="91">
        <v>0</v>
      </c>
      <c r="I1824" s="100" t="s">
        <v>2405</v>
      </c>
    </row>
    <row r="1825" spans="1:9">
      <c r="A1825" s="95" t="s">
        <v>2409</v>
      </c>
      <c r="B1825" s="96" t="s">
        <v>1034</v>
      </c>
      <c r="C1825" s="96" t="s">
        <v>1241</v>
      </c>
      <c r="D1825" s="96" t="s">
        <v>1882</v>
      </c>
      <c r="E1825" s="96" t="s">
        <v>2674</v>
      </c>
      <c r="F1825" s="96" t="s">
        <v>2675</v>
      </c>
      <c r="G1825" s="88">
        <v>0</v>
      </c>
      <c r="H1825" s="91">
        <v>0</v>
      </c>
      <c r="I1825" s="100" t="s">
        <v>2405</v>
      </c>
    </row>
    <row r="1826" spans="1:9">
      <c r="A1826" s="95" t="s">
        <v>2409</v>
      </c>
      <c r="B1826" s="96" t="s">
        <v>1034</v>
      </c>
      <c r="C1826" s="96" t="s">
        <v>1241</v>
      </c>
      <c r="D1826" s="96" t="s">
        <v>2629</v>
      </c>
      <c r="E1826" s="96" t="s">
        <v>2630</v>
      </c>
      <c r="F1826" s="96" t="s">
        <v>2631</v>
      </c>
      <c r="G1826" s="88">
        <v>0</v>
      </c>
      <c r="H1826" s="91">
        <v>0</v>
      </c>
      <c r="I1826" s="100" t="s">
        <v>2405</v>
      </c>
    </row>
    <row r="1827" spans="1:9">
      <c r="A1827" s="95" t="s">
        <v>2409</v>
      </c>
      <c r="B1827" s="96" t="s">
        <v>1034</v>
      </c>
      <c r="C1827" s="96" t="s">
        <v>1241</v>
      </c>
      <c r="D1827" s="96" t="s">
        <v>2676</v>
      </c>
      <c r="E1827" s="96" t="s">
        <v>2677</v>
      </c>
      <c r="F1827" s="96" t="s">
        <v>2678</v>
      </c>
      <c r="G1827" s="88">
        <v>15204920000000</v>
      </c>
      <c r="H1827" s="91">
        <v>15204.92</v>
      </c>
      <c r="I1827" s="100" t="s">
        <v>2405</v>
      </c>
    </row>
    <row r="1828" spans="1:9">
      <c r="A1828" s="95" t="s">
        <v>2409</v>
      </c>
      <c r="B1828" s="96" t="s">
        <v>1034</v>
      </c>
      <c r="C1828" s="96" t="s">
        <v>1241</v>
      </c>
      <c r="D1828" s="96" t="s">
        <v>2679</v>
      </c>
      <c r="E1828" s="96" t="s">
        <v>2680</v>
      </c>
      <c r="F1828" s="96" t="s">
        <v>2681</v>
      </c>
      <c r="G1828" s="88">
        <v>0</v>
      </c>
      <c r="H1828" s="91">
        <v>0</v>
      </c>
      <c r="I1828" s="100" t="s">
        <v>2405</v>
      </c>
    </row>
    <row r="1829" spans="1:9">
      <c r="A1829" s="95" t="s">
        <v>2409</v>
      </c>
      <c r="B1829" s="96" t="s">
        <v>1034</v>
      </c>
      <c r="C1829" s="96" t="s">
        <v>1241</v>
      </c>
      <c r="D1829" s="96" t="s">
        <v>2682</v>
      </c>
      <c r="E1829" s="96" t="s">
        <v>2683</v>
      </c>
      <c r="F1829" s="96" t="s">
        <v>2684</v>
      </c>
      <c r="G1829" s="88">
        <v>14355609000000</v>
      </c>
      <c r="H1829" s="91">
        <v>14355.609</v>
      </c>
      <c r="I1829" s="100" t="s">
        <v>2405</v>
      </c>
    </row>
    <row r="1830" spans="1:9">
      <c r="A1830" s="95" t="s">
        <v>2409</v>
      </c>
      <c r="B1830" s="96" t="s">
        <v>1034</v>
      </c>
      <c r="C1830" s="96" t="s">
        <v>1241</v>
      </c>
      <c r="D1830" s="96" t="s">
        <v>2685</v>
      </c>
      <c r="E1830" s="96" t="s">
        <v>2686</v>
      </c>
      <c r="F1830" s="96" t="s">
        <v>2687</v>
      </c>
      <c r="G1830" s="88">
        <v>1245794000000</v>
      </c>
      <c r="H1830" s="91">
        <v>1245.7940000000001</v>
      </c>
      <c r="I1830" s="100" t="s">
        <v>2405</v>
      </c>
    </row>
    <row r="1831" spans="1:9">
      <c r="A1831" s="95" t="s">
        <v>2409</v>
      </c>
      <c r="B1831" s="96" t="s">
        <v>1034</v>
      </c>
      <c r="C1831" s="96" t="s">
        <v>1241</v>
      </c>
      <c r="D1831" s="96" t="s">
        <v>1810</v>
      </c>
      <c r="E1831" s="96" t="s">
        <v>2688</v>
      </c>
      <c r="F1831" s="96" t="s">
        <v>2689</v>
      </c>
      <c r="G1831" s="88">
        <v>964143000000</v>
      </c>
      <c r="H1831" s="91">
        <v>964.14300000000003</v>
      </c>
      <c r="I1831" s="100" t="s">
        <v>2405</v>
      </c>
    </row>
    <row r="1832" spans="1:9">
      <c r="A1832" s="95" t="s">
        <v>2409</v>
      </c>
      <c r="B1832" s="96" t="s">
        <v>1034</v>
      </c>
      <c r="C1832" s="96" t="s">
        <v>1241</v>
      </c>
      <c r="D1832" s="96" t="s">
        <v>1834</v>
      </c>
      <c r="E1832" s="96" t="s">
        <v>2690</v>
      </c>
      <c r="F1832" s="96" t="s">
        <v>2691</v>
      </c>
      <c r="G1832" s="88">
        <v>0</v>
      </c>
      <c r="H1832" s="91">
        <v>0</v>
      </c>
      <c r="I1832" s="100" t="s">
        <v>2405</v>
      </c>
    </row>
    <row r="1833" spans="1:9">
      <c r="A1833" s="95" t="s">
        <v>2409</v>
      </c>
      <c r="B1833" s="96" t="s">
        <v>1034</v>
      </c>
      <c r="C1833" s="96" t="s">
        <v>1241</v>
      </c>
      <c r="D1833" s="96" t="s">
        <v>2390</v>
      </c>
      <c r="E1833" s="96" t="s">
        <v>2391</v>
      </c>
      <c r="F1833" s="96" t="s">
        <v>2692</v>
      </c>
      <c r="G1833" s="88">
        <v>9668390000000</v>
      </c>
      <c r="H1833" s="91">
        <v>9668.39</v>
      </c>
      <c r="I1833" s="100" t="s">
        <v>2405</v>
      </c>
    </row>
    <row r="1834" spans="1:9">
      <c r="A1834" s="97" t="s">
        <v>2409</v>
      </c>
      <c r="B1834" s="98" t="s">
        <v>1034</v>
      </c>
      <c r="C1834" s="98" t="s">
        <v>1241</v>
      </c>
      <c r="D1834" s="98" t="s">
        <v>2693</v>
      </c>
      <c r="E1834" s="98" t="s">
        <v>2694</v>
      </c>
      <c r="F1834" s="98" t="s">
        <v>2695</v>
      </c>
      <c r="G1834" s="89">
        <v>0</v>
      </c>
      <c r="H1834" s="92">
        <v>0</v>
      </c>
      <c r="I1834" s="101" t="s">
        <v>2405</v>
      </c>
    </row>
  </sheetData>
  <mergeCells count="2">
    <mergeCell ref="A1:I1"/>
    <mergeCell ref="A2:I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619"/>
  <sheetViews>
    <sheetView showGridLines="0" workbookViewId="0">
      <selection sqref="A1:I1"/>
    </sheetView>
  </sheetViews>
  <sheetFormatPr defaultRowHeight="13.8"/>
  <cols>
    <col min="1" max="2" width="12" customWidth="1"/>
    <col min="3" max="3" width="20" customWidth="1"/>
    <col min="4" max="4" width="34" customWidth="1"/>
    <col min="5" max="5" width="36" customWidth="1"/>
    <col min="6" max="6" width="44" customWidth="1"/>
    <col min="7" max="7" width="18" customWidth="1"/>
    <col min="8" max="8" width="16" customWidth="1"/>
    <col min="9" max="9" width="32" customWidth="1"/>
  </cols>
  <sheetData>
    <row r="1" spans="1:9" ht="27.9" customHeight="1">
      <c r="A1" s="473" t="s">
        <v>2696</v>
      </c>
      <c r="B1" s="452"/>
      <c r="C1" s="452"/>
      <c r="D1" s="452"/>
      <c r="E1" s="452"/>
      <c r="F1" s="452"/>
      <c r="G1" s="452"/>
      <c r="H1" s="452"/>
      <c r="I1" s="452"/>
    </row>
    <row r="2" spans="1:9">
      <c r="A2" s="476" t="s">
        <v>2326</v>
      </c>
      <c r="B2" s="452"/>
      <c r="C2" s="452"/>
      <c r="D2" s="452"/>
      <c r="E2" s="452"/>
      <c r="F2" s="452"/>
      <c r="G2" s="452"/>
      <c r="H2" s="452"/>
      <c r="I2" s="452"/>
    </row>
    <row r="4" spans="1:9" ht="15" customHeight="1">
      <c r="A4" s="360" t="s">
        <v>551</v>
      </c>
      <c r="B4" s="360" t="s">
        <v>1149</v>
      </c>
      <c r="C4" s="360" t="s">
        <v>2327</v>
      </c>
      <c r="D4" s="360" t="s">
        <v>2328</v>
      </c>
      <c r="E4" s="360" t="s">
        <v>2329</v>
      </c>
      <c r="F4" s="360" t="s">
        <v>2330</v>
      </c>
      <c r="G4" s="360" t="s">
        <v>2331</v>
      </c>
      <c r="H4" s="360" t="s">
        <v>2332</v>
      </c>
      <c r="I4" s="360" t="s">
        <v>150</v>
      </c>
    </row>
    <row r="5" spans="1:9">
      <c r="A5" s="93" t="s">
        <v>602</v>
      </c>
      <c r="B5" s="94" t="s">
        <v>2333</v>
      </c>
      <c r="C5" s="94" t="s">
        <v>410</v>
      </c>
      <c r="D5" s="94" t="s">
        <v>2697</v>
      </c>
      <c r="E5" s="94" t="s">
        <v>2698</v>
      </c>
      <c r="F5" s="94" t="s">
        <v>2699</v>
      </c>
      <c r="G5" s="87">
        <v>8633067583426</v>
      </c>
      <c r="H5" s="90">
        <v>8633.0675834260001</v>
      </c>
      <c r="I5" s="99" t="s">
        <v>2337</v>
      </c>
    </row>
    <row r="6" spans="1:9">
      <c r="A6" s="95" t="s">
        <v>602</v>
      </c>
      <c r="B6" s="96" t="s">
        <v>2333</v>
      </c>
      <c r="C6" s="96" t="s">
        <v>410</v>
      </c>
      <c r="D6" s="96" t="s">
        <v>2700</v>
      </c>
      <c r="E6" s="96" t="s">
        <v>2701</v>
      </c>
      <c r="F6" s="96" t="s">
        <v>1659</v>
      </c>
      <c r="G6" s="88">
        <v>1890882108632</v>
      </c>
      <c r="H6" s="91">
        <v>1890.8821086319999</v>
      </c>
      <c r="I6" s="100" t="s">
        <v>2337</v>
      </c>
    </row>
    <row r="7" spans="1:9">
      <c r="A7" s="95" t="s">
        <v>602</v>
      </c>
      <c r="B7" s="96" t="s">
        <v>2333</v>
      </c>
      <c r="C7" s="96" t="s">
        <v>410</v>
      </c>
      <c r="D7" s="96" t="s">
        <v>2090</v>
      </c>
      <c r="E7" s="96" t="s">
        <v>2089</v>
      </c>
      <c r="F7" s="96" t="s">
        <v>2702</v>
      </c>
      <c r="G7" s="88">
        <v>205754863290</v>
      </c>
      <c r="H7" s="91">
        <v>205.75486329</v>
      </c>
      <c r="I7" s="100" t="s">
        <v>2337</v>
      </c>
    </row>
    <row r="8" spans="1:9">
      <c r="A8" s="95" t="s">
        <v>602</v>
      </c>
      <c r="B8" s="96" t="s">
        <v>2333</v>
      </c>
      <c r="C8" s="96" t="s">
        <v>410</v>
      </c>
      <c r="D8" s="96" t="s">
        <v>2703</v>
      </c>
      <c r="E8" s="96" t="s">
        <v>2704</v>
      </c>
      <c r="F8" s="96" t="s">
        <v>2705</v>
      </c>
      <c r="G8" s="88">
        <v>48281410640</v>
      </c>
      <c r="H8" s="91">
        <v>48.281410639999997</v>
      </c>
      <c r="I8" s="100" t="s">
        <v>2337</v>
      </c>
    </row>
    <row r="9" spans="1:9">
      <c r="A9" s="95" t="s">
        <v>602</v>
      </c>
      <c r="B9" s="96" t="s">
        <v>2333</v>
      </c>
      <c r="C9" s="96" t="s">
        <v>410</v>
      </c>
      <c r="D9" s="96" t="s">
        <v>2706</v>
      </c>
      <c r="E9" s="96" t="s">
        <v>2707</v>
      </c>
      <c r="F9" s="96" t="s">
        <v>2708</v>
      </c>
      <c r="G9" s="88">
        <v>0</v>
      </c>
      <c r="H9" s="91">
        <v>0</v>
      </c>
      <c r="I9" s="100" t="s">
        <v>2337</v>
      </c>
    </row>
    <row r="10" spans="1:9">
      <c r="A10" s="95" t="s">
        <v>602</v>
      </c>
      <c r="B10" s="96" t="s">
        <v>2333</v>
      </c>
      <c r="C10" s="96" t="s">
        <v>410</v>
      </c>
      <c r="D10" s="96" t="s">
        <v>2709</v>
      </c>
      <c r="E10" s="96" t="s">
        <v>2710</v>
      </c>
      <c r="F10" s="96" t="s">
        <v>2711</v>
      </c>
      <c r="G10" s="88">
        <v>-2908766491708</v>
      </c>
      <c r="H10" s="91">
        <v>-2908.7664917080001</v>
      </c>
      <c r="I10" s="100" t="s">
        <v>2337</v>
      </c>
    </row>
    <row r="11" spans="1:9">
      <c r="A11" s="95" t="s">
        <v>602</v>
      </c>
      <c r="B11" s="96" t="s">
        <v>2333</v>
      </c>
      <c r="C11" s="96" t="s">
        <v>410</v>
      </c>
      <c r="D11" s="96" t="s">
        <v>2021</v>
      </c>
      <c r="E11" s="96" t="s">
        <v>2712</v>
      </c>
      <c r="F11" s="96" t="s">
        <v>2355</v>
      </c>
      <c r="G11" s="88">
        <v>1470675593604</v>
      </c>
      <c r="H11" s="91">
        <v>1470.6755936039999</v>
      </c>
      <c r="I11" s="100" t="s">
        <v>2337</v>
      </c>
    </row>
    <row r="12" spans="1:9">
      <c r="A12" s="95" t="s">
        <v>602</v>
      </c>
      <c r="B12" s="96" t="s">
        <v>2333</v>
      </c>
      <c r="C12" s="96" t="s">
        <v>410</v>
      </c>
      <c r="D12" s="96" t="s">
        <v>2713</v>
      </c>
      <c r="E12" s="96" t="s">
        <v>2714</v>
      </c>
      <c r="F12" s="96" t="s">
        <v>2715</v>
      </c>
      <c r="G12" s="88">
        <v>0</v>
      </c>
      <c r="H12" s="91">
        <v>0</v>
      </c>
      <c r="I12" s="100" t="s">
        <v>2337</v>
      </c>
    </row>
    <row r="13" spans="1:9">
      <c r="A13" s="95" t="s">
        <v>602</v>
      </c>
      <c r="B13" s="96" t="s">
        <v>2333</v>
      </c>
      <c r="C13" s="96" t="s">
        <v>410</v>
      </c>
      <c r="D13" s="96" t="s">
        <v>2716</v>
      </c>
      <c r="E13" s="96" t="s">
        <v>2717</v>
      </c>
      <c r="F13" s="96" t="s">
        <v>2718</v>
      </c>
      <c r="G13" s="88">
        <v>9339895067884</v>
      </c>
      <c r="H13" s="91">
        <v>9339.8950678839992</v>
      </c>
      <c r="I13" s="100" t="s">
        <v>2337</v>
      </c>
    </row>
    <row r="14" spans="1:9">
      <c r="A14" s="95" t="s">
        <v>602</v>
      </c>
      <c r="B14" s="96" t="s">
        <v>2333</v>
      </c>
      <c r="C14" s="96" t="s">
        <v>410</v>
      </c>
      <c r="D14" s="96" t="s">
        <v>1956</v>
      </c>
      <c r="E14" s="96" t="s">
        <v>2719</v>
      </c>
      <c r="F14" s="96" t="s">
        <v>2720</v>
      </c>
      <c r="G14" s="88">
        <v>-308618709954</v>
      </c>
      <c r="H14" s="91">
        <v>-308.618709954</v>
      </c>
      <c r="I14" s="100" t="s">
        <v>2337</v>
      </c>
    </row>
    <row r="15" spans="1:9">
      <c r="A15" s="95" t="s">
        <v>602</v>
      </c>
      <c r="B15" s="96" t="s">
        <v>2333</v>
      </c>
      <c r="C15" s="96" t="s">
        <v>410</v>
      </c>
      <c r="D15" s="96" t="s">
        <v>1958</v>
      </c>
      <c r="E15" s="96" t="s">
        <v>2721</v>
      </c>
      <c r="F15" s="96" t="s">
        <v>2722</v>
      </c>
      <c r="G15" s="88">
        <v>-5207942331422</v>
      </c>
      <c r="H15" s="91">
        <v>-5207.9423314220003</v>
      </c>
      <c r="I15" s="100" t="s">
        <v>2337</v>
      </c>
    </row>
    <row r="16" spans="1:9">
      <c r="A16" s="95" t="s">
        <v>602</v>
      </c>
      <c r="B16" s="96" t="s">
        <v>2333</v>
      </c>
      <c r="C16" s="96" t="s">
        <v>410</v>
      </c>
      <c r="D16" s="96" t="s">
        <v>2723</v>
      </c>
      <c r="E16" s="96" t="s">
        <v>2724</v>
      </c>
      <c r="F16" s="96" t="s">
        <v>2725</v>
      </c>
      <c r="G16" s="88">
        <v>5339106069277</v>
      </c>
      <c r="H16" s="91">
        <v>5339.1060692769997</v>
      </c>
      <c r="I16" s="100" t="s">
        <v>2337</v>
      </c>
    </row>
    <row r="17" spans="1:9">
      <c r="A17" s="95" t="s">
        <v>602</v>
      </c>
      <c r="B17" s="96" t="s">
        <v>2333</v>
      </c>
      <c r="C17" s="96" t="s">
        <v>410</v>
      </c>
      <c r="D17" s="96" t="s">
        <v>2726</v>
      </c>
      <c r="E17" s="96" t="s">
        <v>2727</v>
      </c>
      <c r="F17" s="96" t="s">
        <v>2728</v>
      </c>
      <c r="G17" s="88">
        <v>-123379603345</v>
      </c>
      <c r="H17" s="91">
        <v>-123.37960334500001</v>
      </c>
      <c r="I17" s="100" t="s">
        <v>2337</v>
      </c>
    </row>
    <row r="18" spans="1:9">
      <c r="A18" s="95" t="s">
        <v>602</v>
      </c>
      <c r="B18" s="96" t="s">
        <v>2333</v>
      </c>
      <c r="C18" s="96" t="s">
        <v>410</v>
      </c>
      <c r="D18" s="96" t="s">
        <v>2107</v>
      </c>
      <c r="E18" s="96" t="s">
        <v>2106</v>
      </c>
      <c r="F18" s="96" t="s">
        <v>2729</v>
      </c>
      <c r="G18" s="88">
        <v>-1396460327956</v>
      </c>
      <c r="H18" s="91">
        <v>-1396.4603279559999</v>
      </c>
      <c r="I18" s="100" t="s">
        <v>2337</v>
      </c>
    </row>
    <row r="19" spans="1:9">
      <c r="A19" s="95" t="s">
        <v>602</v>
      </c>
      <c r="B19" s="96" t="s">
        <v>2333</v>
      </c>
      <c r="C19" s="96" t="s">
        <v>410</v>
      </c>
      <c r="D19" s="96" t="s">
        <v>109</v>
      </c>
      <c r="E19" s="96" t="s">
        <v>2730</v>
      </c>
      <c r="F19" s="96" t="s">
        <v>1661</v>
      </c>
      <c r="G19" s="88">
        <v>-1546459474269</v>
      </c>
      <c r="H19" s="91">
        <v>-1546.4594742690001</v>
      </c>
      <c r="I19" s="100" t="s">
        <v>2337</v>
      </c>
    </row>
    <row r="20" spans="1:9">
      <c r="A20" s="95" t="s">
        <v>602</v>
      </c>
      <c r="B20" s="96" t="s">
        <v>2333</v>
      </c>
      <c r="C20" s="96" t="s">
        <v>410</v>
      </c>
      <c r="D20" s="96" t="s">
        <v>1966</v>
      </c>
      <c r="E20" s="96" t="s">
        <v>2731</v>
      </c>
      <c r="F20" s="96" t="s">
        <v>1965</v>
      </c>
      <c r="G20" s="88">
        <v>0</v>
      </c>
      <c r="H20" s="91">
        <v>0</v>
      </c>
      <c r="I20" s="100" t="s">
        <v>2337</v>
      </c>
    </row>
    <row r="21" spans="1:9">
      <c r="A21" s="95" t="s">
        <v>602</v>
      </c>
      <c r="B21" s="96" t="s">
        <v>2333</v>
      </c>
      <c r="C21" s="96" t="s">
        <v>410</v>
      </c>
      <c r="D21" s="96" t="s">
        <v>2732</v>
      </c>
      <c r="E21" s="96" t="s">
        <v>2733</v>
      </c>
      <c r="F21" s="96" t="s">
        <v>1967</v>
      </c>
      <c r="G21" s="88">
        <v>0</v>
      </c>
      <c r="H21" s="91">
        <v>0</v>
      </c>
      <c r="I21" s="100" t="s">
        <v>2337</v>
      </c>
    </row>
    <row r="22" spans="1:9">
      <c r="A22" s="95" t="s">
        <v>602</v>
      </c>
      <c r="B22" s="96" t="s">
        <v>2333</v>
      </c>
      <c r="C22" s="96" t="s">
        <v>410</v>
      </c>
      <c r="D22" s="96" t="s">
        <v>2734</v>
      </c>
      <c r="E22" s="96" t="s">
        <v>2735</v>
      </c>
      <c r="F22" s="96" t="s">
        <v>2736</v>
      </c>
      <c r="G22" s="88">
        <v>6096140690215</v>
      </c>
      <c r="H22" s="91">
        <v>6096.1406902150002</v>
      </c>
      <c r="I22" s="100" t="s">
        <v>2337</v>
      </c>
    </row>
    <row r="23" spans="1:9">
      <c r="A23" s="95" t="s">
        <v>602</v>
      </c>
      <c r="B23" s="96" t="s">
        <v>2333</v>
      </c>
      <c r="C23" s="96" t="s">
        <v>410</v>
      </c>
      <c r="D23" s="96" t="s">
        <v>2737</v>
      </c>
      <c r="E23" s="96" t="s">
        <v>2738</v>
      </c>
      <c r="F23" s="96" t="s">
        <v>2739</v>
      </c>
      <c r="G23" s="88">
        <v>-888461890189</v>
      </c>
      <c r="H23" s="91">
        <v>-888.46189018899997</v>
      </c>
      <c r="I23" s="100" t="s">
        <v>2337</v>
      </c>
    </row>
    <row r="24" spans="1:9">
      <c r="A24" s="95" t="s">
        <v>602</v>
      </c>
      <c r="B24" s="96" t="s">
        <v>2333</v>
      </c>
      <c r="C24" s="96" t="s">
        <v>410</v>
      </c>
      <c r="D24" s="96" t="s">
        <v>2740</v>
      </c>
      <c r="E24" s="96" t="s">
        <v>2741</v>
      </c>
      <c r="F24" s="96" t="s">
        <v>2742</v>
      </c>
      <c r="G24" s="88">
        <v>10165412732</v>
      </c>
      <c r="H24" s="91">
        <v>10.165412732</v>
      </c>
      <c r="I24" s="100" t="s">
        <v>2337</v>
      </c>
    </row>
    <row r="25" spans="1:9">
      <c r="A25" s="95" t="s">
        <v>602</v>
      </c>
      <c r="B25" s="96" t="s">
        <v>2333</v>
      </c>
      <c r="C25" s="96" t="s">
        <v>410</v>
      </c>
      <c r="D25" s="96" t="s">
        <v>2743</v>
      </c>
      <c r="E25" s="96" t="s">
        <v>2744</v>
      </c>
      <c r="F25" s="96" t="s">
        <v>2745</v>
      </c>
      <c r="G25" s="88">
        <v>-56848212766085</v>
      </c>
      <c r="H25" s="91">
        <v>-56848.212766085002</v>
      </c>
      <c r="I25" s="100" t="s">
        <v>2337</v>
      </c>
    </row>
    <row r="26" spans="1:9">
      <c r="A26" s="95" t="s">
        <v>602</v>
      </c>
      <c r="B26" s="96" t="s">
        <v>2333</v>
      </c>
      <c r="C26" s="96" t="s">
        <v>410</v>
      </c>
      <c r="D26" s="96" t="s">
        <v>2746</v>
      </c>
      <c r="E26" s="96" t="s">
        <v>2747</v>
      </c>
      <c r="F26" s="96" t="s">
        <v>2748</v>
      </c>
      <c r="G26" s="88">
        <v>48660442515806</v>
      </c>
      <c r="H26" s="91">
        <v>48660.442515805997</v>
      </c>
      <c r="I26" s="100" t="s">
        <v>2337</v>
      </c>
    </row>
    <row r="27" spans="1:9">
      <c r="A27" s="95" t="s">
        <v>602</v>
      </c>
      <c r="B27" s="96" t="s">
        <v>2333</v>
      </c>
      <c r="C27" s="96" t="s">
        <v>410</v>
      </c>
      <c r="D27" s="96" t="s">
        <v>1816</v>
      </c>
      <c r="E27" s="96" t="s">
        <v>2749</v>
      </c>
      <c r="F27" s="96" t="s">
        <v>2750</v>
      </c>
      <c r="G27" s="88">
        <v>-104772187500</v>
      </c>
      <c r="H27" s="91">
        <v>-104.7721875</v>
      </c>
      <c r="I27" s="100" t="s">
        <v>2337</v>
      </c>
    </row>
    <row r="28" spans="1:9">
      <c r="A28" s="95" t="s">
        <v>602</v>
      </c>
      <c r="B28" s="96" t="s">
        <v>2333</v>
      </c>
      <c r="C28" s="96" t="s">
        <v>410</v>
      </c>
      <c r="D28" s="96" t="s">
        <v>2751</v>
      </c>
      <c r="E28" s="96" t="s">
        <v>2752</v>
      </c>
      <c r="F28" s="96" t="s">
        <v>2753</v>
      </c>
      <c r="G28" s="88">
        <v>0</v>
      </c>
      <c r="H28" s="91">
        <v>0</v>
      </c>
      <c r="I28" s="100" t="s">
        <v>2337</v>
      </c>
    </row>
    <row r="29" spans="1:9">
      <c r="A29" s="95" t="s">
        <v>602</v>
      </c>
      <c r="B29" s="96" t="s">
        <v>2333</v>
      </c>
      <c r="C29" s="96" t="s">
        <v>410</v>
      </c>
      <c r="D29" s="96" t="s">
        <v>2754</v>
      </c>
      <c r="E29" s="96" t="s">
        <v>2755</v>
      </c>
      <c r="F29" s="96" t="s">
        <v>2756</v>
      </c>
      <c r="G29" s="88">
        <v>2510063523663</v>
      </c>
      <c r="H29" s="91">
        <v>2510.0635236630001</v>
      </c>
      <c r="I29" s="100" t="s">
        <v>2337</v>
      </c>
    </row>
    <row r="30" spans="1:9">
      <c r="A30" s="95" t="s">
        <v>602</v>
      </c>
      <c r="B30" s="96" t="s">
        <v>2333</v>
      </c>
      <c r="C30" s="96" t="s">
        <v>410</v>
      </c>
      <c r="D30" s="96" t="s">
        <v>2757</v>
      </c>
      <c r="E30" s="96" t="s">
        <v>2758</v>
      </c>
      <c r="F30" s="96" t="s">
        <v>1664</v>
      </c>
      <c r="G30" s="88">
        <v>-6660775391573</v>
      </c>
      <c r="H30" s="91">
        <v>-6660.775391573</v>
      </c>
      <c r="I30" s="100" t="s">
        <v>2337</v>
      </c>
    </row>
    <row r="31" spans="1:9">
      <c r="A31" s="95" t="s">
        <v>602</v>
      </c>
      <c r="B31" s="96" t="s">
        <v>2333</v>
      </c>
      <c r="C31" s="96" t="s">
        <v>410</v>
      </c>
      <c r="D31" s="96" t="s">
        <v>2759</v>
      </c>
      <c r="E31" s="96" t="s">
        <v>2760</v>
      </c>
      <c r="F31" s="96" t="s">
        <v>2761</v>
      </c>
      <c r="G31" s="88">
        <v>283527980000</v>
      </c>
      <c r="H31" s="91">
        <v>283.52798000000001</v>
      </c>
      <c r="I31" s="100" t="s">
        <v>2337</v>
      </c>
    </row>
    <row r="32" spans="1:9">
      <c r="A32" s="95" t="s">
        <v>602</v>
      </c>
      <c r="B32" s="96" t="s">
        <v>2333</v>
      </c>
      <c r="C32" s="96" t="s">
        <v>410</v>
      </c>
      <c r="D32" s="96" t="s">
        <v>2762</v>
      </c>
      <c r="E32" s="96" t="s">
        <v>2763</v>
      </c>
      <c r="F32" s="96" t="s">
        <v>2764</v>
      </c>
      <c r="G32" s="88">
        <v>-815870711046</v>
      </c>
      <c r="H32" s="91">
        <v>-815.870711046</v>
      </c>
      <c r="I32" s="100" t="s">
        <v>2337</v>
      </c>
    </row>
    <row r="33" spans="1:9">
      <c r="A33" s="95" t="s">
        <v>602</v>
      </c>
      <c r="B33" s="96" t="s">
        <v>2333</v>
      </c>
      <c r="C33" s="96" t="s">
        <v>410</v>
      </c>
      <c r="D33" s="96" t="s">
        <v>2765</v>
      </c>
      <c r="E33" s="96" t="s">
        <v>2766</v>
      </c>
      <c r="F33" s="96" t="s">
        <v>2767</v>
      </c>
      <c r="G33" s="88">
        <v>98550109184689</v>
      </c>
      <c r="H33" s="91">
        <v>98550.109184689005</v>
      </c>
      <c r="I33" s="100" t="s">
        <v>2337</v>
      </c>
    </row>
    <row r="34" spans="1:9">
      <c r="A34" s="95" t="s">
        <v>602</v>
      </c>
      <c r="B34" s="96" t="s">
        <v>2333</v>
      </c>
      <c r="C34" s="96" t="s">
        <v>410</v>
      </c>
      <c r="D34" s="96" t="s">
        <v>2768</v>
      </c>
      <c r="E34" s="96" t="s">
        <v>2769</v>
      </c>
      <c r="F34" s="96" t="s">
        <v>2770</v>
      </c>
      <c r="G34" s="88">
        <v>-95872137944800</v>
      </c>
      <c r="H34" s="91">
        <v>-95872.137944799993</v>
      </c>
      <c r="I34" s="100" t="s">
        <v>2337</v>
      </c>
    </row>
    <row r="35" spans="1:9">
      <c r="A35" s="95" t="s">
        <v>602</v>
      </c>
      <c r="B35" s="96" t="s">
        <v>2333</v>
      </c>
      <c r="C35" s="96" t="s">
        <v>410</v>
      </c>
      <c r="D35" s="96" t="s">
        <v>2771</v>
      </c>
      <c r="E35" s="96" t="s">
        <v>2772</v>
      </c>
      <c r="F35" s="96" t="s">
        <v>2773</v>
      </c>
      <c r="G35" s="88">
        <v>0</v>
      </c>
      <c r="H35" s="91">
        <v>0</v>
      </c>
      <c r="I35" s="100" t="s">
        <v>2337</v>
      </c>
    </row>
    <row r="36" spans="1:9">
      <c r="A36" s="95" t="s">
        <v>602</v>
      </c>
      <c r="B36" s="96" t="s">
        <v>2333</v>
      </c>
      <c r="C36" s="96" t="s">
        <v>410</v>
      </c>
      <c r="D36" s="96" t="s">
        <v>2132</v>
      </c>
      <c r="E36" s="96" t="s">
        <v>2131</v>
      </c>
      <c r="F36" s="96" t="s">
        <v>2774</v>
      </c>
      <c r="G36" s="88">
        <v>-1478456763000</v>
      </c>
      <c r="H36" s="91">
        <v>-1478.4567629999999</v>
      </c>
      <c r="I36" s="100" t="s">
        <v>2337</v>
      </c>
    </row>
    <row r="37" spans="1:9">
      <c r="A37" s="95" t="s">
        <v>602</v>
      </c>
      <c r="B37" s="96" t="s">
        <v>2333</v>
      </c>
      <c r="C37" s="96" t="s">
        <v>410</v>
      </c>
      <c r="D37" s="96" t="s">
        <v>2775</v>
      </c>
      <c r="E37" s="96" t="s">
        <v>2776</v>
      </c>
      <c r="F37" s="96" t="s">
        <v>2777</v>
      </c>
      <c r="G37" s="88">
        <v>0</v>
      </c>
      <c r="H37" s="91">
        <v>0</v>
      </c>
      <c r="I37" s="100" t="s">
        <v>2337</v>
      </c>
    </row>
    <row r="38" spans="1:9">
      <c r="A38" s="95" t="s">
        <v>602</v>
      </c>
      <c r="B38" s="96" t="s">
        <v>2333</v>
      </c>
      <c r="C38" s="96" t="s">
        <v>410</v>
      </c>
      <c r="D38" s="96" t="s">
        <v>2778</v>
      </c>
      <c r="E38" s="96" t="s">
        <v>2779</v>
      </c>
      <c r="F38" s="96" t="s">
        <v>1668</v>
      </c>
      <c r="G38" s="88">
        <v>667171745843</v>
      </c>
      <c r="H38" s="91">
        <v>667.17174584300005</v>
      </c>
      <c r="I38" s="100" t="s">
        <v>2337</v>
      </c>
    </row>
    <row r="39" spans="1:9">
      <c r="A39" s="95" t="s">
        <v>602</v>
      </c>
      <c r="B39" s="96" t="s">
        <v>2333</v>
      </c>
      <c r="C39" s="96" t="s">
        <v>410</v>
      </c>
      <c r="D39" s="96" t="s">
        <v>2780</v>
      </c>
      <c r="E39" s="96" t="s">
        <v>2781</v>
      </c>
      <c r="F39" s="96" t="s">
        <v>1669</v>
      </c>
      <c r="G39" s="88">
        <v>102537044485</v>
      </c>
      <c r="H39" s="91">
        <v>102.537044485</v>
      </c>
      <c r="I39" s="100" t="s">
        <v>2337</v>
      </c>
    </row>
    <row r="40" spans="1:9">
      <c r="A40" s="95" t="s">
        <v>602</v>
      </c>
      <c r="B40" s="96" t="s">
        <v>2333</v>
      </c>
      <c r="C40" s="96" t="s">
        <v>410</v>
      </c>
      <c r="D40" s="96" t="s">
        <v>2782</v>
      </c>
      <c r="E40" s="96" t="s">
        <v>2783</v>
      </c>
      <c r="F40" s="96" t="s">
        <v>1670</v>
      </c>
      <c r="G40" s="88">
        <v>4897331540730</v>
      </c>
      <c r="H40" s="91">
        <v>4897.3315407299997</v>
      </c>
      <c r="I40" s="100" t="s">
        <v>2337</v>
      </c>
    </row>
    <row r="41" spans="1:9">
      <c r="A41" s="95" t="s">
        <v>602</v>
      </c>
      <c r="B41" s="96" t="s">
        <v>2333</v>
      </c>
      <c r="C41" s="96" t="s">
        <v>410</v>
      </c>
      <c r="D41" s="96" t="s">
        <v>2784</v>
      </c>
      <c r="E41" s="96" t="s">
        <v>2785</v>
      </c>
      <c r="F41" s="96" t="s">
        <v>1671</v>
      </c>
      <c r="G41" s="88">
        <v>57131972</v>
      </c>
      <c r="H41" s="91">
        <v>5.7131972000000003E-2</v>
      </c>
      <c r="I41" s="100" t="s">
        <v>2337</v>
      </c>
    </row>
    <row r="42" spans="1:9">
      <c r="A42" s="95" t="s">
        <v>602</v>
      </c>
      <c r="B42" s="96" t="s">
        <v>2333</v>
      </c>
      <c r="C42" s="96" t="s">
        <v>410</v>
      </c>
      <c r="D42" s="96" t="s">
        <v>2786</v>
      </c>
      <c r="E42" s="96" t="s">
        <v>2787</v>
      </c>
      <c r="F42" s="96" t="s">
        <v>1672</v>
      </c>
      <c r="G42" s="88">
        <v>4999925717187</v>
      </c>
      <c r="H42" s="91">
        <v>4999.9257171870004</v>
      </c>
      <c r="I42" s="100" t="s">
        <v>2337</v>
      </c>
    </row>
    <row r="43" spans="1:9">
      <c r="A43" s="95" t="s">
        <v>602</v>
      </c>
      <c r="B43" s="96" t="s">
        <v>2333</v>
      </c>
      <c r="C43" s="96" t="s">
        <v>410</v>
      </c>
      <c r="D43" s="96" t="s">
        <v>2788</v>
      </c>
      <c r="E43" s="96" t="s">
        <v>2789</v>
      </c>
      <c r="F43" s="96" t="s">
        <v>1949</v>
      </c>
      <c r="G43" s="88">
        <v>0</v>
      </c>
      <c r="H43" s="91">
        <v>0</v>
      </c>
      <c r="I43" s="100" t="s">
        <v>2337</v>
      </c>
    </row>
    <row r="44" spans="1:9">
      <c r="A44" s="95" t="s">
        <v>602</v>
      </c>
      <c r="B44" s="96" t="s">
        <v>2333</v>
      </c>
      <c r="C44" s="96" t="s">
        <v>410</v>
      </c>
      <c r="D44" s="96" t="s">
        <v>1952</v>
      </c>
      <c r="E44" s="96" t="s">
        <v>2790</v>
      </c>
      <c r="F44" s="96" t="s">
        <v>1951</v>
      </c>
      <c r="G44" s="88">
        <v>0</v>
      </c>
      <c r="H44" s="91">
        <v>0</v>
      </c>
      <c r="I44" s="100" t="s">
        <v>2337</v>
      </c>
    </row>
    <row r="45" spans="1:9">
      <c r="A45" s="95" t="s">
        <v>602</v>
      </c>
      <c r="B45" s="96" t="s">
        <v>2333</v>
      </c>
      <c r="C45" s="96" t="s">
        <v>410</v>
      </c>
      <c r="D45" s="96" t="s">
        <v>2791</v>
      </c>
      <c r="E45" s="96" t="s">
        <v>2792</v>
      </c>
      <c r="F45" s="96" t="s">
        <v>2793</v>
      </c>
      <c r="G45" s="88">
        <v>0</v>
      </c>
      <c r="H45" s="91">
        <v>0</v>
      </c>
      <c r="I45" s="100" t="s">
        <v>2337</v>
      </c>
    </row>
    <row r="46" spans="1:9">
      <c r="A46" s="95" t="s">
        <v>602</v>
      </c>
      <c r="B46" s="96" t="s">
        <v>2404</v>
      </c>
      <c r="C46" s="96" t="s">
        <v>410</v>
      </c>
      <c r="D46" s="96" t="s">
        <v>2697</v>
      </c>
      <c r="E46" s="96" t="s">
        <v>2698</v>
      </c>
      <c r="F46" s="96" t="s">
        <v>2699</v>
      </c>
      <c r="G46" s="88">
        <v>1934661387220</v>
      </c>
      <c r="H46" s="91">
        <v>1934.6613872200001</v>
      </c>
      <c r="I46" s="100" t="s">
        <v>2405</v>
      </c>
    </row>
    <row r="47" spans="1:9">
      <c r="A47" s="95" t="s">
        <v>602</v>
      </c>
      <c r="B47" s="96" t="s">
        <v>2404</v>
      </c>
      <c r="C47" s="96" t="s">
        <v>410</v>
      </c>
      <c r="D47" s="96" t="s">
        <v>2700</v>
      </c>
      <c r="E47" s="96" t="s">
        <v>2701</v>
      </c>
      <c r="F47" s="96" t="s">
        <v>1659</v>
      </c>
      <c r="G47" s="88">
        <v>508919466750</v>
      </c>
      <c r="H47" s="91">
        <v>508.91946675000003</v>
      </c>
      <c r="I47" s="100" t="s">
        <v>2405</v>
      </c>
    </row>
    <row r="48" spans="1:9">
      <c r="A48" s="95" t="s">
        <v>602</v>
      </c>
      <c r="B48" s="96" t="s">
        <v>2404</v>
      </c>
      <c r="C48" s="96" t="s">
        <v>410</v>
      </c>
      <c r="D48" s="96" t="s">
        <v>2090</v>
      </c>
      <c r="E48" s="96" t="s">
        <v>2089</v>
      </c>
      <c r="F48" s="96" t="s">
        <v>2702</v>
      </c>
      <c r="G48" s="88">
        <v>11990839619</v>
      </c>
      <c r="H48" s="91">
        <v>11.990839619000001</v>
      </c>
      <c r="I48" s="100" t="s">
        <v>2405</v>
      </c>
    </row>
    <row r="49" spans="1:9">
      <c r="A49" s="95" t="s">
        <v>602</v>
      </c>
      <c r="B49" s="96" t="s">
        <v>2404</v>
      </c>
      <c r="C49" s="96" t="s">
        <v>410</v>
      </c>
      <c r="D49" s="96" t="s">
        <v>2703</v>
      </c>
      <c r="E49" s="96" t="s">
        <v>2704</v>
      </c>
      <c r="F49" s="96" t="s">
        <v>2705</v>
      </c>
      <c r="G49" s="88">
        <v>10006964390</v>
      </c>
      <c r="H49" s="91">
        <v>10.00696439</v>
      </c>
      <c r="I49" s="100" t="s">
        <v>2405</v>
      </c>
    </row>
    <row r="50" spans="1:9">
      <c r="A50" s="95" t="s">
        <v>602</v>
      </c>
      <c r="B50" s="96" t="s">
        <v>2404</v>
      </c>
      <c r="C50" s="96" t="s">
        <v>410</v>
      </c>
      <c r="D50" s="96" t="s">
        <v>2706</v>
      </c>
      <c r="E50" s="96" t="s">
        <v>2707</v>
      </c>
      <c r="F50" s="96" t="s">
        <v>2708</v>
      </c>
      <c r="G50" s="88">
        <v>0</v>
      </c>
      <c r="H50" s="91">
        <v>0</v>
      </c>
      <c r="I50" s="100" t="s">
        <v>2405</v>
      </c>
    </row>
    <row r="51" spans="1:9">
      <c r="A51" s="95" t="s">
        <v>602</v>
      </c>
      <c r="B51" s="96" t="s">
        <v>2404</v>
      </c>
      <c r="C51" s="96" t="s">
        <v>410</v>
      </c>
      <c r="D51" s="96" t="s">
        <v>2709</v>
      </c>
      <c r="E51" s="96" t="s">
        <v>2710</v>
      </c>
      <c r="F51" s="96" t="s">
        <v>2711</v>
      </c>
      <c r="G51" s="88">
        <v>-637707361482</v>
      </c>
      <c r="H51" s="91">
        <v>-637.70736148200001</v>
      </c>
      <c r="I51" s="100" t="s">
        <v>2405</v>
      </c>
    </row>
    <row r="52" spans="1:9">
      <c r="A52" s="95" t="s">
        <v>602</v>
      </c>
      <c r="B52" s="96" t="s">
        <v>2404</v>
      </c>
      <c r="C52" s="96" t="s">
        <v>410</v>
      </c>
      <c r="D52" s="96" t="s">
        <v>2021</v>
      </c>
      <c r="E52" s="96" t="s">
        <v>2712</v>
      </c>
      <c r="F52" s="96" t="s">
        <v>2355</v>
      </c>
      <c r="G52" s="88">
        <v>322792850500</v>
      </c>
      <c r="H52" s="91">
        <v>322.79285049999999</v>
      </c>
      <c r="I52" s="100" t="s">
        <v>2405</v>
      </c>
    </row>
    <row r="53" spans="1:9">
      <c r="A53" s="95" t="s">
        <v>602</v>
      </c>
      <c r="B53" s="96" t="s">
        <v>2404</v>
      </c>
      <c r="C53" s="96" t="s">
        <v>410</v>
      </c>
      <c r="D53" s="96" t="s">
        <v>2713</v>
      </c>
      <c r="E53" s="96" t="s">
        <v>2714</v>
      </c>
      <c r="F53" s="96" t="s">
        <v>2715</v>
      </c>
      <c r="G53" s="88">
        <v>0</v>
      </c>
      <c r="H53" s="91">
        <v>0</v>
      </c>
      <c r="I53" s="100" t="s">
        <v>2405</v>
      </c>
    </row>
    <row r="54" spans="1:9">
      <c r="A54" s="95" t="s">
        <v>602</v>
      </c>
      <c r="B54" s="96" t="s">
        <v>2404</v>
      </c>
      <c r="C54" s="96" t="s">
        <v>410</v>
      </c>
      <c r="D54" s="96" t="s">
        <v>2716</v>
      </c>
      <c r="E54" s="96" t="s">
        <v>2717</v>
      </c>
      <c r="F54" s="96" t="s">
        <v>2718</v>
      </c>
      <c r="G54" s="88">
        <v>2150664146997</v>
      </c>
      <c r="H54" s="91">
        <v>2150.664146997</v>
      </c>
      <c r="I54" s="100" t="s">
        <v>2405</v>
      </c>
    </row>
    <row r="55" spans="1:9">
      <c r="A55" s="95" t="s">
        <v>602</v>
      </c>
      <c r="B55" s="96" t="s">
        <v>2404</v>
      </c>
      <c r="C55" s="96" t="s">
        <v>410</v>
      </c>
      <c r="D55" s="96" t="s">
        <v>1956</v>
      </c>
      <c r="E55" s="96" t="s">
        <v>2719</v>
      </c>
      <c r="F55" s="96" t="s">
        <v>2720</v>
      </c>
      <c r="G55" s="88">
        <v>-20551258</v>
      </c>
      <c r="H55" s="91">
        <v>-2.0551257999999999E-2</v>
      </c>
      <c r="I55" s="100" t="s">
        <v>2405</v>
      </c>
    </row>
    <row r="56" spans="1:9">
      <c r="A56" s="95" t="s">
        <v>602</v>
      </c>
      <c r="B56" s="96" t="s">
        <v>2404</v>
      </c>
      <c r="C56" s="96" t="s">
        <v>410</v>
      </c>
      <c r="D56" s="96" t="s">
        <v>1958</v>
      </c>
      <c r="E56" s="96" t="s">
        <v>2721</v>
      </c>
      <c r="F56" s="96" t="s">
        <v>2722</v>
      </c>
      <c r="G56" s="88">
        <v>-575792834900</v>
      </c>
      <c r="H56" s="91">
        <v>-575.7928349</v>
      </c>
      <c r="I56" s="100" t="s">
        <v>2405</v>
      </c>
    </row>
    <row r="57" spans="1:9">
      <c r="A57" s="95" t="s">
        <v>602</v>
      </c>
      <c r="B57" s="96" t="s">
        <v>2404</v>
      </c>
      <c r="C57" s="96" t="s">
        <v>410</v>
      </c>
      <c r="D57" s="96" t="s">
        <v>2723</v>
      </c>
      <c r="E57" s="96" t="s">
        <v>2724</v>
      </c>
      <c r="F57" s="96" t="s">
        <v>2725</v>
      </c>
      <c r="G57" s="88">
        <v>1748346307159</v>
      </c>
      <c r="H57" s="91">
        <v>1748.3463071589999</v>
      </c>
      <c r="I57" s="100" t="s">
        <v>2405</v>
      </c>
    </row>
    <row r="58" spans="1:9">
      <c r="A58" s="95" t="s">
        <v>602</v>
      </c>
      <c r="B58" s="96" t="s">
        <v>2404</v>
      </c>
      <c r="C58" s="96" t="s">
        <v>410</v>
      </c>
      <c r="D58" s="96" t="s">
        <v>2726</v>
      </c>
      <c r="E58" s="96" t="s">
        <v>2727</v>
      </c>
      <c r="F58" s="96" t="s">
        <v>2728</v>
      </c>
      <c r="G58" s="88">
        <v>-51385677184</v>
      </c>
      <c r="H58" s="91">
        <v>-51.385677184000002</v>
      </c>
      <c r="I58" s="100" t="s">
        <v>2405</v>
      </c>
    </row>
    <row r="59" spans="1:9">
      <c r="A59" s="95" t="s">
        <v>602</v>
      </c>
      <c r="B59" s="96" t="s">
        <v>2404</v>
      </c>
      <c r="C59" s="96" t="s">
        <v>410</v>
      </c>
      <c r="D59" s="96" t="s">
        <v>2107</v>
      </c>
      <c r="E59" s="96" t="s">
        <v>2106</v>
      </c>
      <c r="F59" s="96" t="s">
        <v>2729</v>
      </c>
      <c r="G59" s="88">
        <v>-325485637820</v>
      </c>
      <c r="H59" s="91">
        <v>-325.48563782000002</v>
      </c>
      <c r="I59" s="100" t="s">
        <v>2405</v>
      </c>
    </row>
    <row r="60" spans="1:9">
      <c r="A60" s="95" t="s">
        <v>602</v>
      </c>
      <c r="B60" s="96" t="s">
        <v>2404</v>
      </c>
      <c r="C60" s="96" t="s">
        <v>410</v>
      </c>
      <c r="D60" s="96" t="s">
        <v>109</v>
      </c>
      <c r="E60" s="96" t="s">
        <v>2730</v>
      </c>
      <c r="F60" s="96" t="s">
        <v>1661</v>
      </c>
      <c r="G60" s="88">
        <v>-456800409565</v>
      </c>
      <c r="H60" s="91">
        <v>-456.800409565</v>
      </c>
      <c r="I60" s="100" t="s">
        <v>2405</v>
      </c>
    </row>
    <row r="61" spans="1:9">
      <c r="A61" s="95" t="s">
        <v>602</v>
      </c>
      <c r="B61" s="96" t="s">
        <v>2404</v>
      </c>
      <c r="C61" s="96" t="s">
        <v>410</v>
      </c>
      <c r="D61" s="96" t="s">
        <v>1966</v>
      </c>
      <c r="E61" s="96" t="s">
        <v>2731</v>
      </c>
      <c r="F61" s="96" t="s">
        <v>1965</v>
      </c>
      <c r="G61" s="88">
        <v>0</v>
      </c>
      <c r="H61" s="91">
        <v>0</v>
      </c>
      <c r="I61" s="100" t="s">
        <v>2405</v>
      </c>
    </row>
    <row r="62" spans="1:9">
      <c r="A62" s="95" t="s">
        <v>602</v>
      </c>
      <c r="B62" s="96" t="s">
        <v>2404</v>
      </c>
      <c r="C62" s="96" t="s">
        <v>410</v>
      </c>
      <c r="D62" s="96" t="s">
        <v>2732</v>
      </c>
      <c r="E62" s="96" t="s">
        <v>2733</v>
      </c>
      <c r="F62" s="96" t="s">
        <v>1967</v>
      </c>
      <c r="G62" s="88">
        <v>0</v>
      </c>
      <c r="H62" s="91">
        <v>0</v>
      </c>
      <c r="I62" s="100" t="s">
        <v>2405</v>
      </c>
    </row>
    <row r="63" spans="1:9">
      <c r="A63" s="95" t="s">
        <v>602</v>
      </c>
      <c r="B63" s="96" t="s">
        <v>2404</v>
      </c>
      <c r="C63" s="96" t="s">
        <v>410</v>
      </c>
      <c r="D63" s="96" t="s">
        <v>2734</v>
      </c>
      <c r="E63" s="96" t="s">
        <v>2735</v>
      </c>
      <c r="F63" s="96" t="s">
        <v>2736</v>
      </c>
      <c r="G63" s="88">
        <v>2489525343429</v>
      </c>
      <c r="H63" s="91">
        <v>2489.5253434289998</v>
      </c>
      <c r="I63" s="100" t="s">
        <v>2405</v>
      </c>
    </row>
    <row r="64" spans="1:9">
      <c r="A64" s="95" t="s">
        <v>602</v>
      </c>
      <c r="B64" s="96" t="s">
        <v>2404</v>
      </c>
      <c r="C64" s="96" t="s">
        <v>410</v>
      </c>
      <c r="D64" s="96" t="s">
        <v>2737</v>
      </c>
      <c r="E64" s="96" t="s">
        <v>2738</v>
      </c>
      <c r="F64" s="96" t="s">
        <v>2739</v>
      </c>
      <c r="G64" s="88">
        <v>-163054946249</v>
      </c>
      <c r="H64" s="91">
        <v>-163.05494624900001</v>
      </c>
      <c r="I64" s="100" t="s">
        <v>2405</v>
      </c>
    </row>
    <row r="65" spans="1:9">
      <c r="A65" s="95" t="s">
        <v>602</v>
      </c>
      <c r="B65" s="96" t="s">
        <v>2404</v>
      </c>
      <c r="C65" s="96" t="s">
        <v>410</v>
      </c>
      <c r="D65" s="96" t="s">
        <v>2740</v>
      </c>
      <c r="E65" s="96" t="s">
        <v>2741</v>
      </c>
      <c r="F65" s="96" t="s">
        <v>2742</v>
      </c>
      <c r="G65" s="88">
        <v>755077318</v>
      </c>
      <c r="H65" s="91">
        <v>0.755077318</v>
      </c>
      <c r="I65" s="100" t="s">
        <v>2405</v>
      </c>
    </row>
    <row r="66" spans="1:9">
      <c r="A66" s="95" t="s">
        <v>602</v>
      </c>
      <c r="B66" s="96" t="s">
        <v>2404</v>
      </c>
      <c r="C66" s="96" t="s">
        <v>410</v>
      </c>
      <c r="D66" s="96" t="s">
        <v>2743</v>
      </c>
      <c r="E66" s="96" t="s">
        <v>2744</v>
      </c>
      <c r="F66" s="96" t="s">
        <v>2745</v>
      </c>
      <c r="G66" s="88">
        <v>-12842790158451</v>
      </c>
      <c r="H66" s="91">
        <v>-12842.790158451</v>
      </c>
      <c r="I66" s="100" t="s">
        <v>2405</v>
      </c>
    </row>
    <row r="67" spans="1:9">
      <c r="A67" s="95" t="s">
        <v>602</v>
      </c>
      <c r="B67" s="96" t="s">
        <v>2404</v>
      </c>
      <c r="C67" s="96" t="s">
        <v>410</v>
      </c>
      <c r="D67" s="96" t="s">
        <v>2746</v>
      </c>
      <c r="E67" s="96" t="s">
        <v>2747</v>
      </c>
      <c r="F67" s="96" t="s">
        <v>2748</v>
      </c>
      <c r="G67" s="88">
        <v>8842431495252</v>
      </c>
      <c r="H67" s="91">
        <v>8842.4314952519999</v>
      </c>
      <c r="I67" s="100" t="s">
        <v>2405</v>
      </c>
    </row>
    <row r="68" spans="1:9">
      <c r="A68" s="95" t="s">
        <v>602</v>
      </c>
      <c r="B68" s="96" t="s">
        <v>2404</v>
      </c>
      <c r="C68" s="96" t="s">
        <v>410</v>
      </c>
      <c r="D68" s="96" t="s">
        <v>1816</v>
      </c>
      <c r="E68" s="96" t="s">
        <v>2749</v>
      </c>
      <c r="F68" s="96" t="s">
        <v>2750</v>
      </c>
      <c r="G68" s="88">
        <v>0</v>
      </c>
      <c r="H68" s="91">
        <v>0</v>
      </c>
      <c r="I68" s="100" t="s">
        <v>2405</v>
      </c>
    </row>
    <row r="69" spans="1:9">
      <c r="A69" s="95" t="s">
        <v>602</v>
      </c>
      <c r="B69" s="96" t="s">
        <v>2404</v>
      </c>
      <c r="C69" s="96" t="s">
        <v>410</v>
      </c>
      <c r="D69" s="96" t="s">
        <v>2751</v>
      </c>
      <c r="E69" s="96" t="s">
        <v>2752</v>
      </c>
      <c r="F69" s="96" t="s">
        <v>2753</v>
      </c>
      <c r="G69" s="88">
        <v>0</v>
      </c>
      <c r="H69" s="91">
        <v>0</v>
      </c>
      <c r="I69" s="100" t="s">
        <v>2405</v>
      </c>
    </row>
    <row r="70" spans="1:9">
      <c r="A70" s="95" t="s">
        <v>602</v>
      </c>
      <c r="B70" s="96" t="s">
        <v>2404</v>
      </c>
      <c r="C70" s="96" t="s">
        <v>410</v>
      </c>
      <c r="D70" s="96" t="s">
        <v>2754</v>
      </c>
      <c r="E70" s="96" t="s">
        <v>2755</v>
      </c>
      <c r="F70" s="96" t="s">
        <v>2756</v>
      </c>
      <c r="G70" s="88">
        <v>464757235329</v>
      </c>
      <c r="H70" s="91">
        <v>464.75723532900003</v>
      </c>
      <c r="I70" s="100" t="s">
        <v>2405</v>
      </c>
    </row>
    <row r="71" spans="1:9">
      <c r="A71" s="95" t="s">
        <v>602</v>
      </c>
      <c r="B71" s="96" t="s">
        <v>2404</v>
      </c>
      <c r="C71" s="96" t="s">
        <v>410</v>
      </c>
      <c r="D71" s="96" t="s">
        <v>2757</v>
      </c>
      <c r="E71" s="96" t="s">
        <v>2758</v>
      </c>
      <c r="F71" s="96" t="s">
        <v>1664</v>
      </c>
      <c r="G71" s="88">
        <v>-3697901296801</v>
      </c>
      <c r="H71" s="91">
        <v>-3697.9012968010002</v>
      </c>
      <c r="I71" s="100" t="s">
        <v>2405</v>
      </c>
    </row>
    <row r="72" spans="1:9">
      <c r="A72" s="95" t="s">
        <v>602</v>
      </c>
      <c r="B72" s="96" t="s">
        <v>2404</v>
      </c>
      <c r="C72" s="96" t="s">
        <v>410</v>
      </c>
      <c r="D72" s="96" t="s">
        <v>2759</v>
      </c>
      <c r="E72" s="96" t="s">
        <v>2760</v>
      </c>
      <c r="F72" s="96" t="s">
        <v>2761</v>
      </c>
      <c r="G72" s="88">
        <v>0</v>
      </c>
      <c r="H72" s="91">
        <v>0</v>
      </c>
      <c r="I72" s="100" t="s">
        <v>2405</v>
      </c>
    </row>
    <row r="73" spans="1:9">
      <c r="A73" s="95" t="s">
        <v>602</v>
      </c>
      <c r="B73" s="96" t="s">
        <v>2404</v>
      </c>
      <c r="C73" s="96" t="s">
        <v>410</v>
      </c>
      <c r="D73" s="96" t="s">
        <v>2762</v>
      </c>
      <c r="E73" s="96" t="s">
        <v>2763</v>
      </c>
      <c r="F73" s="96" t="s">
        <v>2764</v>
      </c>
      <c r="G73" s="88">
        <v>0</v>
      </c>
      <c r="H73" s="91">
        <v>0</v>
      </c>
      <c r="I73" s="100" t="s">
        <v>2405</v>
      </c>
    </row>
    <row r="74" spans="1:9">
      <c r="A74" s="95" t="s">
        <v>602</v>
      </c>
      <c r="B74" s="96" t="s">
        <v>2404</v>
      </c>
      <c r="C74" s="96" t="s">
        <v>410</v>
      </c>
      <c r="D74" s="96" t="s">
        <v>2765</v>
      </c>
      <c r="E74" s="96" t="s">
        <v>2766</v>
      </c>
      <c r="F74" s="96" t="s">
        <v>2767</v>
      </c>
      <c r="G74" s="88">
        <v>19644968702325</v>
      </c>
      <c r="H74" s="91">
        <v>19644.968702325001</v>
      </c>
      <c r="I74" s="100" t="s">
        <v>2405</v>
      </c>
    </row>
    <row r="75" spans="1:9">
      <c r="A75" s="95" t="s">
        <v>602</v>
      </c>
      <c r="B75" s="96" t="s">
        <v>2404</v>
      </c>
      <c r="C75" s="96" t="s">
        <v>410</v>
      </c>
      <c r="D75" s="96" t="s">
        <v>2768</v>
      </c>
      <c r="E75" s="96" t="s">
        <v>2769</v>
      </c>
      <c r="F75" s="96" t="s">
        <v>2770</v>
      </c>
      <c r="G75" s="88">
        <v>-20675754394437</v>
      </c>
      <c r="H75" s="91">
        <v>-20675.754394437001</v>
      </c>
      <c r="I75" s="100" t="s">
        <v>2405</v>
      </c>
    </row>
    <row r="76" spans="1:9">
      <c r="A76" s="95" t="s">
        <v>602</v>
      </c>
      <c r="B76" s="96" t="s">
        <v>2404</v>
      </c>
      <c r="C76" s="96" t="s">
        <v>410</v>
      </c>
      <c r="D76" s="96" t="s">
        <v>2771</v>
      </c>
      <c r="E76" s="96" t="s">
        <v>2772</v>
      </c>
      <c r="F76" s="96" t="s">
        <v>2773</v>
      </c>
      <c r="G76" s="88">
        <v>0</v>
      </c>
      <c r="H76" s="91">
        <v>0</v>
      </c>
      <c r="I76" s="100" t="s">
        <v>2405</v>
      </c>
    </row>
    <row r="77" spans="1:9">
      <c r="A77" s="95" t="s">
        <v>602</v>
      </c>
      <c r="B77" s="96" t="s">
        <v>2404</v>
      </c>
      <c r="C77" s="96" t="s">
        <v>410</v>
      </c>
      <c r="D77" s="96" t="s">
        <v>2132</v>
      </c>
      <c r="E77" s="96" t="s">
        <v>2131</v>
      </c>
      <c r="F77" s="96" t="s">
        <v>2774</v>
      </c>
      <c r="G77" s="88">
        <v>0</v>
      </c>
      <c r="H77" s="91">
        <v>0</v>
      </c>
      <c r="I77" s="100" t="s">
        <v>2405</v>
      </c>
    </row>
    <row r="78" spans="1:9">
      <c r="A78" s="95" t="s">
        <v>602</v>
      </c>
      <c r="B78" s="96" t="s">
        <v>2404</v>
      </c>
      <c r="C78" s="96" t="s">
        <v>410</v>
      </c>
      <c r="D78" s="96" t="s">
        <v>2775</v>
      </c>
      <c r="E78" s="96" t="s">
        <v>2776</v>
      </c>
      <c r="F78" s="96" t="s">
        <v>2777</v>
      </c>
      <c r="G78" s="88">
        <v>0</v>
      </c>
      <c r="H78" s="91">
        <v>0</v>
      </c>
      <c r="I78" s="100" t="s">
        <v>2405</v>
      </c>
    </row>
    <row r="79" spans="1:9">
      <c r="A79" s="95" t="s">
        <v>602</v>
      </c>
      <c r="B79" s="96" t="s">
        <v>2404</v>
      </c>
      <c r="C79" s="96" t="s">
        <v>410</v>
      </c>
      <c r="D79" s="96" t="s">
        <v>2778</v>
      </c>
      <c r="E79" s="96" t="s">
        <v>2779</v>
      </c>
      <c r="F79" s="96" t="s">
        <v>1668</v>
      </c>
      <c r="G79" s="88">
        <v>-1030785692112</v>
      </c>
      <c r="H79" s="91">
        <v>-1030.7856921120001</v>
      </c>
      <c r="I79" s="100" t="s">
        <v>2405</v>
      </c>
    </row>
    <row r="80" spans="1:9">
      <c r="A80" s="95" t="s">
        <v>602</v>
      </c>
      <c r="B80" s="96" t="s">
        <v>2404</v>
      </c>
      <c r="C80" s="96" t="s">
        <v>410</v>
      </c>
      <c r="D80" s="96" t="s">
        <v>2780</v>
      </c>
      <c r="E80" s="96" t="s">
        <v>2781</v>
      </c>
      <c r="F80" s="96" t="s">
        <v>1669</v>
      </c>
      <c r="G80" s="88">
        <v>-2239161645484</v>
      </c>
      <c r="H80" s="91">
        <v>-2239.161645484</v>
      </c>
      <c r="I80" s="100" t="s">
        <v>2405</v>
      </c>
    </row>
    <row r="81" spans="1:9">
      <c r="A81" s="95" t="s">
        <v>602</v>
      </c>
      <c r="B81" s="96" t="s">
        <v>2404</v>
      </c>
      <c r="C81" s="96" t="s">
        <v>410</v>
      </c>
      <c r="D81" s="96" t="s">
        <v>2782</v>
      </c>
      <c r="E81" s="96" t="s">
        <v>2783</v>
      </c>
      <c r="F81" s="96" t="s">
        <v>1670</v>
      </c>
      <c r="G81" s="88">
        <v>4897331540730</v>
      </c>
      <c r="H81" s="91">
        <v>4897.3315407299997</v>
      </c>
      <c r="I81" s="100" t="s">
        <v>2405</v>
      </c>
    </row>
    <row r="82" spans="1:9">
      <c r="A82" s="95" t="s">
        <v>602</v>
      </c>
      <c r="B82" s="96" t="s">
        <v>2404</v>
      </c>
      <c r="C82" s="96" t="s">
        <v>410</v>
      </c>
      <c r="D82" s="96" t="s">
        <v>2784</v>
      </c>
      <c r="E82" s="96" t="s">
        <v>2785</v>
      </c>
      <c r="F82" s="96" t="s">
        <v>1671</v>
      </c>
      <c r="G82" s="88">
        <v>48240903</v>
      </c>
      <c r="H82" s="91">
        <v>4.8240903000000002E-2</v>
      </c>
      <c r="I82" s="100" t="s">
        <v>2405</v>
      </c>
    </row>
    <row r="83" spans="1:9">
      <c r="A83" s="95" t="s">
        <v>602</v>
      </c>
      <c r="B83" s="96" t="s">
        <v>2404</v>
      </c>
      <c r="C83" s="96" t="s">
        <v>410</v>
      </c>
      <c r="D83" s="96" t="s">
        <v>2786</v>
      </c>
      <c r="E83" s="96" t="s">
        <v>2787</v>
      </c>
      <c r="F83" s="96" t="s">
        <v>1672</v>
      </c>
      <c r="G83" s="88">
        <v>2658218136149</v>
      </c>
      <c r="H83" s="91">
        <v>2658.2181361490002</v>
      </c>
      <c r="I83" s="100" t="s">
        <v>2405</v>
      </c>
    </row>
    <row r="84" spans="1:9">
      <c r="A84" s="95" t="s">
        <v>602</v>
      </c>
      <c r="B84" s="96" t="s">
        <v>2404</v>
      </c>
      <c r="C84" s="96" t="s">
        <v>410</v>
      </c>
      <c r="D84" s="96" t="s">
        <v>2788</v>
      </c>
      <c r="E84" s="96" t="s">
        <v>2789</v>
      </c>
      <c r="F84" s="96" t="s">
        <v>1949</v>
      </c>
      <c r="G84" s="88">
        <v>0</v>
      </c>
      <c r="H84" s="91">
        <v>0</v>
      </c>
      <c r="I84" s="100" t="s">
        <v>2405</v>
      </c>
    </row>
    <row r="85" spans="1:9">
      <c r="A85" s="95" t="s">
        <v>602</v>
      </c>
      <c r="B85" s="96" t="s">
        <v>2404</v>
      </c>
      <c r="C85" s="96" t="s">
        <v>410</v>
      </c>
      <c r="D85" s="96" t="s">
        <v>1952</v>
      </c>
      <c r="E85" s="96" t="s">
        <v>2790</v>
      </c>
      <c r="F85" s="96" t="s">
        <v>1951</v>
      </c>
      <c r="G85" s="88">
        <v>0</v>
      </c>
      <c r="H85" s="91">
        <v>0</v>
      </c>
      <c r="I85" s="100" t="s">
        <v>2405</v>
      </c>
    </row>
    <row r="86" spans="1:9">
      <c r="A86" s="95" t="s">
        <v>602</v>
      </c>
      <c r="B86" s="96" t="s">
        <v>2404</v>
      </c>
      <c r="C86" s="96" t="s">
        <v>410</v>
      </c>
      <c r="D86" s="96" t="s">
        <v>2791</v>
      </c>
      <c r="E86" s="96" t="s">
        <v>2792</v>
      </c>
      <c r="F86" s="96" t="s">
        <v>2793</v>
      </c>
      <c r="G86" s="88">
        <v>0</v>
      </c>
      <c r="H86" s="91">
        <v>0</v>
      </c>
      <c r="I86" s="100" t="s">
        <v>2405</v>
      </c>
    </row>
    <row r="87" spans="1:9">
      <c r="A87" s="95" t="s">
        <v>602</v>
      </c>
      <c r="B87" s="96" t="s">
        <v>1034</v>
      </c>
      <c r="C87" s="96" t="s">
        <v>410</v>
      </c>
      <c r="D87" s="96" t="s">
        <v>2697</v>
      </c>
      <c r="E87" s="96" t="s">
        <v>2698</v>
      </c>
      <c r="F87" s="96" t="s">
        <v>2699</v>
      </c>
      <c r="G87" s="88">
        <v>3327584299891</v>
      </c>
      <c r="H87" s="91">
        <v>3327.5842998909998</v>
      </c>
      <c r="I87" s="100" t="s">
        <v>2405</v>
      </c>
    </row>
    <row r="88" spans="1:9">
      <c r="A88" s="95" t="s">
        <v>602</v>
      </c>
      <c r="B88" s="96" t="s">
        <v>1034</v>
      </c>
      <c r="C88" s="96" t="s">
        <v>410</v>
      </c>
      <c r="D88" s="96" t="s">
        <v>2700</v>
      </c>
      <c r="E88" s="96" t="s">
        <v>2701</v>
      </c>
      <c r="F88" s="96" t="s">
        <v>1659</v>
      </c>
      <c r="G88" s="88">
        <v>393929975265</v>
      </c>
      <c r="H88" s="91">
        <v>393.929975265</v>
      </c>
      <c r="I88" s="100" t="s">
        <v>2405</v>
      </c>
    </row>
    <row r="89" spans="1:9">
      <c r="A89" s="95" t="s">
        <v>602</v>
      </c>
      <c r="B89" s="96" t="s">
        <v>1034</v>
      </c>
      <c r="C89" s="96" t="s">
        <v>410</v>
      </c>
      <c r="D89" s="96" t="s">
        <v>2090</v>
      </c>
      <c r="E89" s="96" t="s">
        <v>2089</v>
      </c>
      <c r="F89" s="96" t="s">
        <v>2702</v>
      </c>
      <c r="G89" s="88">
        <v>148321568633</v>
      </c>
      <c r="H89" s="91">
        <v>148.321568633</v>
      </c>
      <c r="I89" s="100" t="s">
        <v>2405</v>
      </c>
    </row>
    <row r="90" spans="1:9">
      <c r="A90" s="95" t="s">
        <v>602</v>
      </c>
      <c r="B90" s="96" t="s">
        <v>1034</v>
      </c>
      <c r="C90" s="96" t="s">
        <v>410</v>
      </c>
      <c r="D90" s="96" t="s">
        <v>2703</v>
      </c>
      <c r="E90" s="96" t="s">
        <v>2704</v>
      </c>
      <c r="F90" s="96" t="s">
        <v>2705</v>
      </c>
      <c r="G90" s="88">
        <v>-1038495565</v>
      </c>
      <c r="H90" s="91">
        <v>-1.0384955650000001</v>
      </c>
      <c r="I90" s="100" t="s">
        <v>2405</v>
      </c>
    </row>
    <row r="91" spans="1:9">
      <c r="A91" s="95" t="s">
        <v>602</v>
      </c>
      <c r="B91" s="96" t="s">
        <v>1034</v>
      </c>
      <c r="C91" s="96" t="s">
        <v>410</v>
      </c>
      <c r="D91" s="96" t="s">
        <v>2706</v>
      </c>
      <c r="E91" s="96" t="s">
        <v>2707</v>
      </c>
      <c r="F91" s="96" t="s">
        <v>2708</v>
      </c>
      <c r="G91" s="88">
        <v>0</v>
      </c>
      <c r="H91" s="91">
        <v>0</v>
      </c>
      <c r="I91" s="100" t="s">
        <v>2405</v>
      </c>
    </row>
    <row r="92" spans="1:9">
      <c r="A92" s="95" t="s">
        <v>602</v>
      </c>
      <c r="B92" s="96" t="s">
        <v>1034</v>
      </c>
      <c r="C92" s="96" t="s">
        <v>410</v>
      </c>
      <c r="D92" s="96" t="s">
        <v>2709</v>
      </c>
      <c r="E92" s="96" t="s">
        <v>2710</v>
      </c>
      <c r="F92" s="96" t="s">
        <v>2711</v>
      </c>
      <c r="G92" s="88">
        <v>-803187924707</v>
      </c>
      <c r="H92" s="91">
        <v>-803.18792470699998</v>
      </c>
      <c r="I92" s="100" t="s">
        <v>2405</v>
      </c>
    </row>
    <row r="93" spans="1:9">
      <c r="A93" s="95" t="s">
        <v>602</v>
      </c>
      <c r="B93" s="96" t="s">
        <v>1034</v>
      </c>
      <c r="C93" s="96" t="s">
        <v>410</v>
      </c>
      <c r="D93" s="96" t="s">
        <v>2021</v>
      </c>
      <c r="E93" s="96" t="s">
        <v>2712</v>
      </c>
      <c r="F93" s="96" t="s">
        <v>2355</v>
      </c>
      <c r="G93" s="88">
        <v>415448904085</v>
      </c>
      <c r="H93" s="91">
        <v>415.44890408499998</v>
      </c>
      <c r="I93" s="100" t="s">
        <v>2405</v>
      </c>
    </row>
    <row r="94" spans="1:9">
      <c r="A94" s="95" t="s">
        <v>602</v>
      </c>
      <c r="B94" s="96" t="s">
        <v>1034</v>
      </c>
      <c r="C94" s="96" t="s">
        <v>410</v>
      </c>
      <c r="D94" s="96" t="s">
        <v>2713</v>
      </c>
      <c r="E94" s="96" t="s">
        <v>2714</v>
      </c>
      <c r="F94" s="96" t="s">
        <v>2715</v>
      </c>
      <c r="G94" s="88">
        <v>0</v>
      </c>
      <c r="H94" s="91">
        <v>0</v>
      </c>
      <c r="I94" s="100" t="s">
        <v>2405</v>
      </c>
    </row>
    <row r="95" spans="1:9">
      <c r="A95" s="95" t="s">
        <v>602</v>
      </c>
      <c r="B95" s="96" t="s">
        <v>1034</v>
      </c>
      <c r="C95" s="96" t="s">
        <v>410</v>
      </c>
      <c r="D95" s="96" t="s">
        <v>2716</v>
      </c>
      <c r="E95" s="96" t="s">
        <v>2717</v>
      </c>
      <c r="F95" s="96" t="s">
        <v>2718</v>
      </c>
      <c r="G95" s="88">
        <v>3481058327602</v>
      </c>
      <c r="H95" s="91">
        <v>3481.0583276020002</v>
      </c>
      <c r="I95" s="100" t="s">
        <v>2405</v>
      </c>
    </row>
    <row r="96" spans="1:9">
      <c r="A96" s="95" t="s">
        <v>602</v>
      </c>
      <c r="B96" s="96" t="s">
        <v>1034</v>
      </c>
      <c r="C96" s="96" t="s">
        <v>410</v>
      </c>
      <c r="D96" s="96" t="s">
        <v>1956</v>
      </c>
      <c r="E96" s="96" t="s">
        <v>2719</v>
      </c>
      <c r="F96" s="96" t="s">
        <v>2720</v>
      </c>
      <c r="G96" s="88">
        <v>168304248946</v>
      </c>
      <c r="H96" s="91">
        <v>168.304248946</v>
      </c>
      <c r="I96" s="100" t="s">
        <v>2405</v>
      </c>
    </row>
    <row r="97" spans="1:9">
      <c r="A97" s="95" t="s">
        <v>602</v>
      </c>
      <c r="B97" s="96" t="s">
        <v>1034</v>
      </c>
      <c r="C97" s="96" t="s">
        <v>410</v>
      </c>
      <c r="D97" s="96" t="s">
        <v>1958</v>
      </c>
      <c r="E97" s="96" t="s">
        <v>2721</v>
      </c>
      <c r="F97" s="96" t="s">
        <v>2722</v>
      </c>
      <c r="G97" s="88">
        <v>-473294070349</v>
      </c>
      <c r="H97" s="91">
        <v>-473.29407034899998</v>
      </c>
      <c r="I97" s="100" t="s">
        <v>2405</v>
      </c>
    </row>
    <row r="98" spans="1:9">
      <c r="A98" s="95" t="s">
        <v>602</v>
      </c>
      <c r="B98" s="96" t="s">
        <v>1034</v>
      </c>
      <c r="C98" s="96" t="s">
        <v>410</v>
      </c>
      <c r="D98" s="96" t="s">
        <v>2723</v>
      </c>
      <c r="E98" s="96" t="s">
        <v>2724</v>
      </c>
      <c r="F98" s="96" t="s">
        <v>2725</v>
      </c>
      <c r="G98" s="88">
        <v>-776569297738</v>
      </c>
      <c r="H98" s="91">
        <v>-776.56929773800005</v>
      </c>
      <c r="I98" s="100" t="s">
        <v>2405</v>
      </c>
    </row>
    <row r="99" spans="1:9">
      <c r="A99" s="95" t="s">
        <v>602</v>
      </c>
      <c r="B99" s="96" t="s">
        <v>1034</v>
      </c>
      <c r="C99" s="96" t="s">
        <v>410</v>
      </c>
      <c r="D99" s="96" t="s">
        <v>2726</v>
      </c>
      <c r="E99" s="96" t="s">
        <v>2727</v>
      </c>
      <c r="F99" s="96" t="s">
        <v>2728</v>
      </c>
      <c r="G99" s="88">
        <v>28552315198</v>
      </c>
      <c r="H99" s="91">
        <v>28.552315197999999</v>
      </c>
      <c r="I99" s="100" t="s">
        <v>2405</v>
      </c>
    </row>
    <row r="100" spans="1:9">
      <c r="A100" s="95" t="s">
        <v>602</v>
      </c>
      <c r="B100" s="96" t="s">
        <v>1034</v>
      </c>
      <c r="C100" s="96" t="s">
        <v>410</v>
      </c>
      <c r="D100" s="96" t="s">
        <v>2107</v>
      </c>
      <c r="E100" s="96" t="s">
        <v>2106</v>
      </c>
      <c r="F100" s="96" t="s">
        <v>2729</v>
      </c>
      <c r="G100" s="88">
        <v>-438524493957</v>
      </c>
      <c r="H100" s="91">
        <v>-438.524493957</v>
      </c>
      <c r="I100" s="100" t="s">
        <v>2405</v>
      </c>
    </row>
    <row r="101" spans="1:9">
      <c r="A101" s="95" t="s">
        <v>602</v>
      </c>
      <c r="B101" s="96" t="s">
        <v>1034</v>
      </c>
      <c r="C101" s="96" t="s">
        <v>410</v>
      </c>
      <c r="D101" s="96" t="s">
        <v>109</v>
      </c>
      <c r="E101" s="96" t="s">
        <v>2730</v>
      </c>
      <c r="F101" s="96" t="s">
        <v>1661</v>
      </c>
      <c r="G101" s="88">
        <v>-796272456005</v>
      </c>
      <c r="H101" s="91">
        <v>-796.27245600499998</v>
      </c>
      <c r="I101" s="100" t="s">
        <v>2405</v>
      </c>
    </row>
    <row r="102" spans="1:9">
      <c r="A102" s="95" t="s">
        <v>602</v>
      </c>
      <c r="B102" s="96" t="s">
        <v>1034</v>
      </c>
      <c r="C102" s="96" t="s">
        <v>410</v>
      </c>
      <c r="D102" s="96" t="s">
        <v>1966</v>
      </c>
      <c r="E102" s="96" t="s">
        <v>2731</v>
      </c>
      <c r="F102" s="96" t="s">
        <v>1965</v>
      </c>
      <c r="G102" s="88">
        <v>0</v>
      </c>
      <c r="H102" s="91">
        <v>0</v>
      </c>
      <c r="I102" s="100" t="s">
        <v>2405</v>
      </c>
    </row>
    <row r="103" spans="1:9">
      <c r="A103" s="95" t="s">
        <v>602</v>
      </c>
      <c r="B103" s="96" t="s">
        <v>1034</v>
      </c>
      <c r="C103" s="96" t="s">
        <v>410</v>
      </c>
      <c r="D103" s="96" t="s">
        <v>2732</v>
      </c>
      <c r="E103" s="96" t="s">
        <v>2733</v>
      </c>
      <c r="F103" s="96" t="s">
        <v>1967</v>
      </c>
      <c r="G103" s="88">
        <v>0</v>
      </c>
      <c r="H103" s="91">
        <v>0</v>
      </c>
      <c r="I103" s="100" t="s">
        <v>2405</v>
      </c>
    </row>
    <row r="104" spans="1:9">
      <c r="A104" s="95" t="s">
        <v>602</v>
      </c>
      <c r="B104" s="96" t="s">
        <v>1034</v>
      </c>
      <c r="C104" s="96" t="s">
        <v>410</v>
      </c>
      <c r="D104" s="96" t="s">
        <v>2734</v>
      </c>
      <c r="E104" s="96" t="s">
        <v>2735</v>
      </c>
      <c r="F104" s="96" t="s">
        <v>2736</v>
      </c>
      <c r="G104" s="88">
        <v>1193254573697</v>
      </c>
      <c r="H104" s="91">
        <v>1193.2545736970001</v>
      </c>
      <c r="I104" s="100" t="s">
        <v>2405</v>
      </c>
    </row>
    <row r="105" spans="1:9">
      <c r="A105" s="95" t="s">
        <v>602</v>
      </c>
      <c r="B105" s="96" t="s">
        <v>1034</v>
      </c>
      <c r="C105" s="96" t="s">
        <v>410</v>
      </c>
      <c r="D105" s="96" t="s">
        <v>2737</v>
      </c>
      <c r="E105" s="96" t="s">
        <v>2738</v>
      </c>
      <c r="F105" s="96" t="s">
        <v>2739</v>
      </c>
      <c r="G105" s="88">
        <v>-350142572252</v>
      </c>
      <c r="H105" s="91">
        <v>-350.14257225199998</v>
      </c>
      <c r="I105" s="100" t="s">
        <v>2405</v>
      </c>
    </row>
    <row r="106" spans="1:9">
      <c r="A106" s="95" t="s">
        <v>602</v>
      </c>
      <c r="B106" s="96" t="s">
        <v>1034</v>
      </c>
      <c r="C106" s="96" t="s">
        <v>410</v>
      </c>
      <c r="D106" s="96" t="s">
        <v>2740</v>
      </c>
      <c r="E106" s="96" t="s">
        <v>2741</v>
      </c>
      <c r="F106" s="96" t="s">
        <v>2742</v>
      </c>
      <c r="G106" s="88">
        <v>1297577244</v>
      </c>
      <c r="H106" s="91">
        <v>1.297577244</v>
      </c>
      <c r="I106" s="100" t="s">
        <v>2405</v>
      </c>
    </row>
    <row r="107" spans="1:9">
      <c r="A107" s="95" t="s">
        <v>602</v>
      </c>
      <c r="B107" s="96" t="s">
        <v>1034</v>
      </c>
      <c r="C107" s="96" t="s">
        <v>410</v>
      </c>
      <c r="D107" s="96" t="s">
        <v>2743</v>
      </c>
      <c r="E107" s="96" t="s">
        <v>2744</v>
      </c>
      <c r="F107" s="96" t="s">
        <v>2745</v>
      </c>
      <c r="G107" s="88">
        <v>-10333984026816</v>
      </c>
      <c r="H107" s="91">
        <v>-10333.984026816001</v>
      </c>
      <c r="I107" s="100" t="s">
        <v>2405</v>
      </c>
    </row>
    <row r="108" spans="1:9">
      <c r="A108" s="95" t="s">
        <v>602</v>
      </c>
      <c r="B108" s="96" t="s">
        <v>1034</v>
      </c>
      <c r="C108" s="96" t="s">
        <v>410</v>
      </c>
      <c r="D108" s="96" t="s">
        <v>2746</v>
      </c>
      <c r="E108" s="96" t="s">
        <v>2747</v>
      </c>
      <c r="F108" s="96" t="s">
        <v>2748</v>
      </c>
      <c r="G108" s="88">
        <v>10310414167550</v>
      </c>
      <c r="H108" s="91">
        <v>10310.41416755</v>
      </c>
      <c r="I108" s="100" t="s">
        <v>2405</v>
      </c>
    </row>
    <row r="109" spans="1:9">
      <c r="A109" s="95" t="s">
        <v>602</v>
      </c>
      <c r="B109" s="96" t="s">
        <v>1034</v>
      </c>
      <c r="C109" s="96" t="s">
        <v>410</v>
      </c>
      <c r="D109" s="96" t="s">
        <v>1816</v>
      </c>
      <c r="E109" s="96" t="s">
        <v>2749</v>
      </c>
      <c r="F109" s="96" t="s">
        <v>2750</v>
      </c>
      <c r="G109" s="88">
        <v>-122390357255</v>
      </c>
      <c r="H109" s="91">
        <v>-122.390357255</v>
      </c>
      <c r="I109" s="100" t="s">
        <v>2405</v>
      </c>
    </row>
    <row r="110" spans="1:9">
      <c r="A110" s="95" t="s">
        <v>602</v>
      </c>
      <c r="B110" s="96" t="s">
        <v>1034</v>
      </c>
      <c r="C110" s="96" t="s">
        <v>410</v>
      </c>
      <c r="D110" s="96" t="s">
        <v>2751</v>
      </c>
      <c r="E110" s="96" t="s">
        <v>2752</v>
      </c>
      <c r="F110" s="96" t="s">
        <v>2753</v>
      </c>
      <c r="G110" s="88">
        <v>0</v>
      </c>
      <c r="H110" s="91">
        <v>0</v>
      </c>
      <c r="I110" s="100" t="s">
        <v>2405</v>
      </c>
    </row>
    <row r="111" spans="1:9">
      <c r="A111" s="95" t="s">
        <v>602</v>
      </c>
      <c r="B111" s="96" t="s">
        <v>1034</v>
      </c>
      <c r="C111" s="96" t="s">
        <v>410</v>
      </c>
      <c r="D111" s="96" t="s">
        <v>2754</v>
      </c>
      <c r="E111" s="96" t="s">
        <v>2755</v>
      </c>
      <c r="F111" s="96" t="s">
        <v>2756</v>
      </c>
      <c r="G111" s="88">
        <v>684861139738</v>
      </c>
      <c r="H111" s="91">
        <v>684.86113973800002</v>
      </c>
      <c r="I111" s="100" t="s">
        <v>2405</v>
      </c>
    </row>
    <row r="112" spans="1:9">
      <c r="A112" s="95" t="s">
        <v>602</v>
      </c>
      <c r="B112" s="96" t="s">
        <v>1034</v>
      </c>
      <c r="C112" s="96" t="s">
        <v>410</v>
      </c>
      <c r="D112" s="96" t="s">
        <v>2757</v>
      </c>
      <c r="E112" s="96" t="s">
        <v>2758</v>
      </c>
      <c r="F112" s="96" t="s">
        <v>1664</v>
      </c>
      <c r="G112" s="88">
        <v>190055928209</v>
      </c>
      <c r="H112" s="91">
        <v>190.055928209</v>
      </c>
      <c r="I112" s="100" t="s">
        <v>2405</v>
      </c>
    </row>
    <row r="113" spans="1:9">
      <c r="A113" s="95" t="s">
        <v>602</v>
      </c>
      <c r="B113" s="96" t="s">
        <v>1034</v>
      </c>
      <c r="C113" s="96" t="s">
        <v>410</v>
      </c>
      <c r="D113" s="96" t="s">
        <v>2759</v>
      </c>
      <c r="E113" s="96" t="s">
        <v>2760</v>
      </c>
      <c r="F113" s="96" t="s">
        <v>2761</v>
      </c>
      <c r="G113" s="88">
        <v>0</v>
      </c>
      <c r="H113" s="91">
        <v>0</v>
      </c>
      <c r="I113" s="100" t="s">
        <v>2405</v>
      </c>
    </row>
    <row r="114" spans="1:9">
      <c r="A114" s="95" t="s">
        <v>602</v>
      </c>
      <c r="B114" s="96" t="s">
        <v>1034</v>
      </c>
      <c r="C114" s="96" t="s">
        <v>410</v>
      </c>
      <c r="D114" s="96" t="s">
        <v>2762</v>
      </c>
      <c r="E114" s="96" t="s">
        <v>2763</v>
      </c>
      <c r="F114" s="96" t="s">
        <v>2764</v>
      </c>
      <c r="G114" s="88">
        <v>-332340000</v>
      </c>
      <c r="H114" s="91">
        <v>-0.33234000000000002</v>
      </c>
      <c r="I114" s="100" t="s">
        <v>2405</v>
      </c>
    </row>
    <row r="115" spans="1:9">
      <c r="A115" s="95" t="s">
        <v>602</v>
      </c>
      <c r="B115" s="96" t="s">
        <v>1034</v>
      </c>
      <c r="C115" s="96" t="s">
        <v>410</v>
      </c>
      <c r="D115" s="96" t="s">
        <v>2765</v>
      </c>
      <c r="E115" s="96" t="s">
        <v>2766</v>
      </c>
      <c r="F115" s="96" t="s">
        <v>2767</v>
      </c>
      <c r="G115" s="88">
        <v>27840348205836</v>
      </c>
      <c r="H115" s="91">
        <v>27840.348205835999</v>
      </c>
      <c r="I115" s="100" t="s">
        <v>2405</v>
      </c>
    </row>
    <row r="116" spans="1:9">
      <c r="A116" s="95" t="s">
        <v>602</v>
      </c>
      <c r="B116" s="96" t="s">
        <v>1034</v>
      </c>
      <c r="C116" s="96" t="s">
        <v>410</v>
      </c>
      <c r="D116" s="96" t="s">
        <v>2768</v>
      </c>
      <c r="E116" s="96" t="s">
        <v>2769</v>
      </c>
      <c r="F116" s="96" t="s">
        <v>2770</v>
      </c>
      <c r="G116" s="88">
        <v>-29670637998293</v>
      </c>
      <c r="H116" s="91">
        <v>-29670.637998293001</v>
      </c>
      <c r="I116" s="100" t="s">
        <v>2405</v>
      </c>
    </row>
    <row r="117" spans="1:9">
      <c r="A117" s="95" t="s">
        <v>602</v>
      </c>
      <c r="B117" s="96" t="s">
        <v>1034</v>
      </c>
      <c r="C117" s="96" t="s">
        <v>410</v>
      </c>
      <c r="D117" s="96" t="s">
        <v>2771</v>
      </c>
      <c r="E117" s="96" t="s">
        <v>2772</v>
      </c>
      <c r="F117" s="96" t="s">
        <v>2773</v>
      </c>
      <c r="G117" s="88">
        <v>0</v>
      </c>
      <c r="H117" s="91">
        <v>0</v>
      </c>
      <c r="I117" s="100" t="s">
        <v>2405</v>
      </c>
    </row>
    <row r="118" spans="1:9">
      <c r="A118" s="95" t="s">
        <v>602</v>
      </c>
      <c r="B118" s="96" t="s">
        <v>1034</v>
      </c>
      <c r="C118" s="96" t="s">
        <v>410</v>
      </c>
      <c r="D118" s="96" t="s">
        <v>2132</v>
      </c>
      <c r="E118" s="96" t="s">
        <v>2131</v>
      </c>
      <c r="F118" s="96" t="s">
        <v>2774</v>
      </c>
      <c r="G118" s="88">
        <v>0</v>
      </c>
      <c r="H118" s="91">
        <v>0</v>
      </c>
      <c r="I118" s="100" t="s">
        <v>2405</v>
      </c>
    </row>
    <row r="119" spans="1:9">
      <c r="A119" s="95" t="s">
        <v>602</v>
      </c>
      <c r="B119" s="96" t="s">
        <v>1034</v>
      </c>
      <c r="C119" s="96" t="s">
        <v>410</v>
      </c>
      <c r="D119" s="96" t="s">
        <v>2775</v>
      </c>
      <c r="E119" s="96" t="s">
        <v>2776</v>
      </c>
      <c r="F119" s="96" t="s">
        <v>2777</v>
      </c>
      <c r="G119" s="88">
        <v>0</v>
      </c>
      <c r="H119" s="91">
        <v>0</v>
      </c>
      <c r="I119" s="100" t="s">
        <v>2405</v>
      </c>
    </row>
    <row r="120" spans="1:9">
      <c r="A120" s="95" t="s">
        <v>602</v>
      </c>
      <c r="B120" s="96" t="s">
        <v>1034</v>
      </c>
      <c r="C120" s="96" t="s">
        <v>410</v>
      </c>
      <c r="D120" s="96" t="s">
        <v>2778</v>
      </c>
      <c r="E120" s="96" t="s">
        <v>2779</v>
      </c>
      <c r="F120" s="96" t="s">
        <v>1668</v>
      </c>
      <c r="G120" s="88">
        <v>-1830622132457</v>
      </c>
      <c r="H120" s="91">
        <v>-1830.6221324569999</v>
      </c>
      <c r="I120" s="100" t="s">
        <v>2405</v>
      </c>
    </row>
    <row r="121" spans="1:9">
      <c r="A121" s="95" t="s">
        <v>602</v>
      </c>
      <c r="B121" s="96" t="s">
        <v>1034</v>
      </c>
      <c r="C121" s="96" t="s">
        <v>410</v>
      </c>
      <c r="D121" s="96" t="s">
        <v>2780</v>
      </c>
      <c r="E121" s="96" t="s">
        <v>2781</v>
      </c>
      <c r="F121" s="96" t="s">
        <v>1669</v>
      </c>
      <c r="G121" s="88">
        <v>-447311630551</v>
      </c>
      <c r="H121" s="91">
        <v>-447.31163055100001</v>
      </c>
      <c r="I121" s="100" t="s">
        <v>2405</v>
      </c>
    </row>
    <row r="122" spans="1:9">
      <c r="A122" s="95" t="s">
        <v>602</v>
      </c>
      <c r="B122" s="96" t="s">
        <v>1034</v>
      </c>
      <c r="C122" s="96" t="s">
        <v>410</v>
      </c>
      <c r="D122" s="96" t="s">
        <v>2782</v>
      </c>
      <c r="E122" s="96" t="s">
        <v>2783</v>
      </c>
      <c r="F122" s="96" t="s">
        <v>1670</v>
      </c>
      <c r="G122" s="88">
        <v>4999925717187</v>
      </c>
      <c r="H122" s="91">
        <v>4999.9257171870004</v>
      </c>
      <c r="I122" s="100" t="s">
        <v>2405</v>
      </c>
    </row>
    <row r="123" spans="1:9">
      <c r="A123" s="95" t="s">
        <v>602</v>
      </c>
      <c r="B123" s="96" t="s">
        <v>1034</v>
      </c>
      <c r="C123" s="96" t="s">
        <v>410</v>
      </c>
      <c r="D123" s="96" t="s">
        <v>2784</v>
      </c>
      <c r="E123" s="96" t="s">
        <v>2785</v>
      </c>
      <c r="F123" s="96" t="s">
        <v>1671</v>
      </c>
      <c r="G123" s="88">
        <v>1038495565</v>
      </c>
      <c r="H123" s="91">
        <v>1.0384955650000001</v>
      </c>
      <c r="I123" s="100" t="s">
        <v>2405</v>
      </c>
    </row>
    <row r="124" spans="1:9">
      <c r="A124" s="95" t="s">
        <v>602</v>
      </c>
      <c r="B124" s="96" t="s">
        <v>1034</v>
      </c>
      <c r="C124" s="96" t="s">
        <v>410</v>
      </c>
      <c r="D124" s="96" t="s">
        <v>2786</v>
      </c>
      <c r="E124" s="96" t="s">
        <v>2787</v>
      </c>
      <c r="F124" s="96" t="s">
        <v>1672</v>
      </c>
      <c r="G124" s="88">
        <v>4553652582201</v>
      </c>
      <c r="H124" s="91">
        <v>4553.6525822009999</v>
      </c>
      <c r="I124" s="100" t="s">
        <v>2405</v>
      </c>
    </row>
    <row r="125" spans="1:9">
      <c r="A125" s="95" t="s">
        <v>602</v>
      </c>
      <c r="B125" s="96" t="s">
        <v>1034</v>
      </c>
      <c r="C125" s="96" t="s">
        <v>410</v>
      </c>
      <c r="D125" s="96" t="s">
        <v>2788</v>
      </c>
      <c r="E125" s="96" t="s">
        <v>2789</v>
      </c>
      <c r="F125" s="96" t="s">
        <v>1949</v>
      </c>
      <c r="G125" s="88">
        <v>0</v>
      </c>
      <c r="H125" s="91">
        <v>0</v>
      </c>
      <c r="I125" s="100" t="s">
        <v>2405</v>
      </c>
    </row>
    <row r="126" spans="1:9">
      <c r="A126" s="95" t="s">
        <v>602</v>
      </c>
      <c r="B126" s="96" t="s">
        <v>1034</v>
      </c>
      <c r="C126" s="96" t="s">
        <v>410</v>
      </c>
      <c r="D126" s="96" t="s">
        <v>1952</v>
      </c>
      <c r="E126" s="96" t="s">
        <v>2790</v>
      </c>
      <c r="F126" s="96" t="s">
        <v>1951</v>
      </c>
      <c r="G126" s="88">
        <v>0</v>
      </c>
      <c r="H126" s="91">
        <v>0</v>
      </c>
      <c r="I126" s="100" t="s">
        <v>2405</v>
      </c>
    </row>
    <row r="127" spans="1:9">
      <c r="A127" s="95" t="s">
        <v>602</v>
      </c>
      <c r="B127" s="96" t="s">
        <v>1034</v>
      </c>
      <c r="C127" s="96" t="s">
        <v>410</v>
      </c>
      <c r="D127" s="96" t="s">
        <v>2791</v>
      </c>
      <c r="E127" s="96" t="s">
        <v>2792</v>
      </c>
      <c r="F127" s="96" t="s">
        <v>2793</v>
      </c>
      <c r="G127" s="88">
        <v>0</v>
      </c>
      <c r="H127" s="91">
        <v>0</v>
      </c>
      <c r="I127" s="100" t="s">
        <v>2405</v>
      </c>
    </row>
    <row r="128" spans="1:9">
      <c r="A128" s="95" t="s">
        <v>2406</v>
      </c>
      <c r="B128" s="96" t="s">
        <v>2333</v>
      </c>
      <c r="C128" s="96" t="s">
        <v>410</v>
      </c>
      <c r="D128" s="96" t="s">
        <v>2697</v>
      </c>
      <c r="E128" s="96" t="s">
        <v>2698</v>
      </c>
      <c r="F128" s="96" t="s">
        <v>2699</v>
      </c>
      <c r="G128" s="88">
        <v>1219117502673</v>
      </c>
      <c r="H128" s="91">
        <v>1219.117502673</v>
      </c>
      <c r="I128" s="100" t="s">
        <v>2337</v>
      </c>
    </row>
    <row r="129" spans="1:9">
      <c r="A129" s="95" t="s">
        <v>2406</v>
      </c>
      <c r="B129" s="96" t="s">
        <v>2333</v>
      </c>
      <c r="C129" s="96" t="s">
        <v>410</v>
      </c>
      <c r="D129" s="96" t="s">
        <v>2700</v>
      </c>
      <c r="E129" s="96" t="s">
        <v>2701</v>
      </c>
      <c r="F129" s="96" t="s">
        <v>1659</v>
      </c>
      <c r="G129" s="88">
        <v>402557018224</v>
      </c>
      <c r="H129" s="91">
        <v>402.55701822399999</v>
      </c>
      <c r="I129" s="100" t="s">
        <v>2337</v>
      </c>
    </row>
    <row r="130" spans="1:9">
      <c r="A130" s="95" t="s">
        <v>2406</v>
      </c>
      <c r="B130" s="96" t="s">
        <v>2333</v>
      </c>
      <c r="C130" s="96" t="s">
        <v>410</v>
      </c>
      <c r="D130" s="96" t="s">
        <v>2090</v>
      </c>
      <c r="E130" s="96" t="s">
        <v>2089</v>
      </c>
      <c r="F130" s="96" t="s">
        <v>2702</v>
      </c>
      <c r="G130" s="88">
        <v>32010999772</v>
      </c>
      <c r="H130" s="91">
        <v>32.010999771999998</v>
      </c>
      <c r="I130" s="100" t="s">
        <v>2337</v>
      </c>
    </row>
    <row r="131" spans="1:9">
      <c r="A131" s="95" t="s">
        <v>2406</v>
      </c>
      <c r="B131" s="96" t="s">
        <v>2333</v>
      </c>
      <c r="C131" s="96" t="s">
        <v>410</v>
      </c>
      <c r="D131" s="96" t="s">
        <v>2703</v>
      </c>
      <c r="E131" s="96" t="s">
        <v>2704</v>
      </c>
      <c r="F131" s="96" t="s">
        <v>2705</v>
      </c>
      <c r="G131" s="88">
        <v>-20360895</v>
      </c>
      <c r="H131" s="91">
        <v>-2.0360895E-2</v>
      </c>
      <c r="I131" s="100" t="s">
        <v>2337</v>
      </c>
    </row>
    <row r="132" spans="1:9">
      <c r="A132" s="95" t="s">
        <v>2406</v>
      </c>
      <c r="B132" s="96" t="s">
        <v>2333</v>
      </c>
      <c r="C132" s="96" t="s">
        <v>410</v>
      </c>
      <c r="D132" s="96" t="s">
        <v>2706</v>
      </c>
      <c r="E132" s="96" t="s">
        <v>2707</v>
      </c>
      <c r="F132" s="96" t="s">
        <v>2708</v>
      </c>
      <c r="G132" s="88">
        <v>0</v>
      </c>
      <c r="H132" s="91">
        <v>0</v>
      </c>
      <c r="I132" s="100" t="s">
        <v>2337</v>
      </c>
    </row>
    <row r="133" spans="1:9">
      <c r="A133" s="95" t="s">
        <v>2406</v>
      </c>
      <c r="B133" s="96" t="s">
        <v>2333</v>
      </c>
      <c r="C133" s="96" t="s">
        <v>410</v>
      </c>
      <c r="D133" s="96" t="s">
        <v>2709</v>
      </c>
      <c r="E133" s="96" t="s">
        <v>2710</v>
      </c>
      <c r="F133" s="96" t="s">
        <v>2711</v>
      </c>
      <c r="G133" s="88">
        <v>-267669594473</v>
      </c>
      <c r="H133" s="91">
        <v>-267.66959447300002</v>
      </c>
      <c r="I133" s="100" t="s">
        <v>2337</v>
      </c>
    </row>
    <row r="134" spans="1:9">
      <c r="A134" s="95" t="s">
        <v>2406</v>
      </c>
      <c r="B134" s="96" t="s">
        <v>2333</v>
      </c>
      <c r="C134" s="96" t="s">
        <v>410</v>
      </c>
      <c r="D134" s="96" t="s">
        <v>2021</v>
      </c>
      <c r="E134" s="96" t="s">
        <v>2712</v>
      </c>
      <c r="F134" s="96" t="s">
        <v>2355</v>
      </c>
      <c r="G134" s="88">
        <v>388595922369</v>
      </c>
      <c r="H134" s="91">
        <v>388.59592236899999</v>
      </c>
      <c r="I134" s="100" t="s">
        <v>2337</v>
      </c>
    </row>
    <row r="135" spans="1:9">
      <c r="A135" s="95" t="s">
        <v>2406</v>
      </c>
      <c r="B135" s="96" t="s">
        <v>2333</v>
      </c>
      <c r="C135" s="96" t="s">
        <v>410</v>
      </c>
      <c r="D135" s="96" t="s">
        <v>2713</v>
      </c>
      <c r="E135" s="96" t="s">
        <v>2714</v>
      </c>
      <c r="F135" s="96" t="s">
        <v>2715</v>
      </c>
      <c r="G135" s="88">
        <v>0</v>
      </c>
      <c r="H135" s="91">
        <v>0</v>
      </c>
      <c r="I135" s="100" t="s">
        <v>2337</v>
      </c>
    </row>
    <row r="136" spans="1:9">
      <c r="A136" s="95" t="s">
        <v>2406</v>
      </c>
      <c r="B136" s="96" t="s">
        <v>2333</v>
      </c>
      <c r="C136" s="96" t="s">
        <v>410</v>
      </c>
      <c r="D136" s="96" t="s">
        <v>2716</v>
      </c>
      <c r="E136" s="96" t="s">
        <v>2717</v>
      </c>
      <c r="F136" s="96" t="s">
        <v>2718</v>
      </c>
      <c r="G136" s="88">
        <v>1774591487670</v>
      </c>
      <c r="H136" s="91">
        <v>1774.5914876700001</v>
      </c>
      <c r="I136" s="100" t="s">
        <v>2337</v>
      </c>
    </row>
    <row r="137" spans="1:9">
      <c r="A137" s="95" t="s">
        <v>2406</v>
      </c>
      <c r="B137" s="96" t="s">
        <v>2333</v>
      </c>
      <c r="C137" s="96" t="s">
        <v>410</v>
      </c>
      <c r="D137" s="96" t="s">
        <v>1956</v>
      </c>
      <c r="E137" s="96" t="s">
        <v>2719</v>
      </c>
      <c r="F137" s="96" t="s">
        <v>2720</v>
      </c>
      <c r="G137" s="88">
        <v>-289450397420</v>
      </c>
      <c r="H137" s="91">
        <v>-289.45039742</v>
      </c>
      <c r="I137" s="100" t="s">
        <v>2337</v>
      </c>
    </row>
    <row r="138" spans="1:9">
      <c r="A138" s="95" t="s">
        <v>2406</v>
      </c>
      <c r="B138" s="96" t="s">
        <v>2333</v>
      </c>
      <c r="C138" s="96" t="s">
        <v>410</v>
      </c>
      <c r="D138" s="96" t="s">
        <v>1958</v>
      </c>
      <c r="E138" s="96" t="s">
        <v>2721</v>
      </c>
      <c r="F138" s="96" t="s">
        <v>2722</v>
      </c>
      <c r="G138" s="88">
        <v>-1721131354627</v>
      </c>
      <c r="H138" s="91">
        <v>-1721.1313546270001</v>
      </c>
      <c r="I138" s="100" t="s">
        <v>2337</v>
      </c>
    </row>
    <row r="139" spans="1:9">
      <c r="A139" s="95" t="s">
        <v>2406</v>
      </c>
      <c r="B139" s="96" t="s">
        <v>2333</v>
      </c>
      <c r="C139" s="96" t="s">
        <v>410</v>
      </c>
      <c r="D139" s="96" t="s">
        <v>2723</v>
      </c>
      <c r="E139" s="96" t="s">
        <v>2724</v>
      </c>
      <c r="F139" s="96" t="s">
        <v>2725</v>
      </c>
      <c r="G139" s="88">
        <v>3488987404115</v>
      </c>
      <c r="H139" s="91">
        <v>3488.9874041150001</v>
      </c>
      <c r="I139" s="100" t="s">
        <v>2337</v>
      </c>
    </row>
    <row r="140" spans="1:9">
      <c r="A140" s="95" t="s">
        <v>2406</v>
      </c>
      <c r="B140" s="96" t="s">
        <v>2333</v>
      </c>
      <c r="C140" s="96" t="s">
        <v>410</v>
      </c>
      <c r="D140" s="96" t="s">
        <v>2726</v>
      </c>
      <c r="E140" s="96" t="s">
        <v>2727</v>
      </c>
      <c r="F140" s="96" t="s">
        <v>2728</v>
      </c>
      <c r="G140" s="88">
        <v>1680342037</v>
      </c>
      <c r="H140" s="91">
        <v>1.680342037</v>
      </c>
      <c r="I140" s="100" t="s">
        <v>2337</v>
      </c>
    </row>
    <row r="141" spans="1:9">
      <c r="A141" s="95" t="s">
        <v>2406</v>
      </c>
      <c r="B141" s="96" t="s">
        <v>2333</v>
      </c>
      <c r="C141" s="96" t="s">
        <v>410</v>
      </c>
      <c r="D141" s="96" t="s">
        <v>2107</v>
      </c>
      <c r="E141" s="96" t="s">
        <v>2106</v>
      </c>
      <c r="F141" s="96" t="s">
        <v>2729</v>
      </c>
      <c r="G141" s="88">
        <v>-393209707585</v>
      </c>
      <c r="H141" s="91">
        <v>-393.20970758499999</v>
      </c>
      <c r="I141" s="100" t="s">
        <v>2337</v>
      </c>
    </row>
    <row r="142" spans="1:9">
      <c r="A142" s="95" t="s">
        <v>2406</v>
      </c>
      <c r="B142" s="96" t="s">
        <v>2333</v>
      </c>
      <c r="C142" s="96" t="s">
        <v>410</v>
      </c>
      <c r="D142" s="96" t="s">
        <v>109</v>
      </c>
      <c r="E142" s="96" t="s">
        <v>2730</v>
      </c>
      <c r="F142" s="96" t="s">
        <v>1661</v>
      </c>
      <c r="G142" s="88">
        <v>-114141221156</v>
      </c>
      <c r="H142" s="91">
        <v>-114.141221156</v>
      </c>
      <c r="I142" s="100" t="s">
        <v>2337</v>
      </c>
    </row>
    <row r="143" spans="1:9">
      <c r="A143" s="95" t="s">
        <v>2406</v>
      </c>
      <c r="B143" s="96" t="s">
        <v>2333</v>
      </c>
      <c r="C143" s="96" t="s">
        <v>410</v>
      </c>
      <c r="D143" s="96" t="s">
        <v>1966</v>
      </c>
      <c r="E143" s="96" t="s">
        <v>2731</v>
      </c>
      <c r="F143" s="96" t="s">
        <v>1965</v>
      </c>
      <c r="G143" s="88">
        <v>0</v>
      </c>
      <c r="H143" s="91">
        <v>0</v>
      </c>
      <c r="I143" s="100" t="s">
        <v>2337</v>
      </c>
    </row>
    <row r="144" spans="1:9">
      <c r="A144" s="95" t="s">
        <v>2406</v>
      </c>
      <c r="B144" s="96" t="s">
        <v>2333</v>
      </c>
      <c r="C144" s="96" t="s">
        <v>410</v>
      </c>
      <c r="D144" s="96" t="s">
        <v>2732</v>
      </c>
      <c r="E144" s="96" t="s">
        <v>2733</v>
      </c>
      <c r="F144" s="96" t="s">
        <v>1967</v>
      </c>
      <c r="G144" s="88">
        <v>0</v>
      </c>
      <c r="H144" s="91">
        <v>0</v>
      </c>
      <c r="I144" s="100" t="s">
        <v>2337</v>
      </c>
    </row>
    <row r="145" spans="1:9">
      <c r="A145" s="95" t="s">
        <v>2406</v>
      </c>
      <c r="B145" s="96" t="s">
        <v>2333</v>
      </c>
      <c r="C145" s="96" t="s">
        <v>410</v>
      </c>
      <c r="D145" s="96" t="s">
        <v>2734</v>
      </c>
      <c r="E145" s="96" t="s">
        <v>2735</v>
      </c>
      <c r="F145" s="96" t="s">
        <v>2736</v>
      </c>
      <c r="G145" s="88">
        <v>2747326553034</v>
      </c>
      <c r="H145" s="91">
        <v>2747.326553034</v>
      </c>
      <c r="I145" s="100" t="s">
        <v>2337</v>
      </c>
    </row>
    <row r="146" spans="1:9">
      <c r="A146" s="95" t="s">
        <v>2406</v>
      </c>
      <c r="B146" s="96" t="s">
        <v>2333</v>
      </c>
      <c r="C146" s="96" t="s">
        <v>410</v>
      </c>
      <c r="D146" s="96" t="s">
        <v>2737</v>
      </c>
      <c r="E146" s="96" t="s">
        <v>2738</v>
      </c>
      <c r="F146" s="96" t="s">
        <v>2739</v>
      </c>
      <c r="G146" s="88">
        <v>-534361131923</v>
      </c>
      <c r="H146" s="91">
        <v>-534.36113192300002</v>
      </c>
      <c r="I146" s="100" t="s">
        <v>2337</v>
      </c>
    </row>
    <row r="147" spans="1:9">
      <c r="A147" s="95" t="s">
        <v>2406</v>
      </c>
      <c r="B147" s="96" t="s">
        <v>2333</v>
      </c>
      <c r="C147" s="96" t="s">
        <v>410</v>
      </c>
      <c r="D147" s="96" t="s">
        <v>2740</v>
      </c>
      <c r="E147" s="96" t="s">
        <v>2741</v>
      </c>
      <c r="F147" s="96" t="s">
        <v>2742</v>
      </c>
      <c r="G147" s="88">
        <v>10150000</v>
      </c>
      <c r="H147" s="91">
        <v>1.0149999999999999E-2</v>
      </c>
      <c r="I147" s="100" t="s">
        <v>2337</v>
      </c>
    </row>
    <row r="148" spans="1:9">
      <c r="A148" s="95" t="s">
        <v>2406</v>
      </c>
      <c r="B148" s="96" t="s">
        <v>2333</v>
      </c>
      <c r="C148" s="96" t="s">
        <v>410</v>
      </c>
      <c r="D148" s="96" t="s">
        <v>2743</v>
      </c>
      <c r="E148" s="96" t="s">
        <v>2744</v>
      </c>
      <c r="F148" s="96" t="s">
        <v>2745</v>
      </c>
      <c r="G148" s="88">
        <v>-9601000000000</v>
      </c>
      <c r="H148" s="91">
        <v>-9601</v>
      </c>
      <c r="I148" s="100" t="s">
        <v>2337</v>
      </c>
    </row>
    <row r="149" spans="1:9">
      <c r="A149" s="95" t="s">
        <v>2406</v>
      </c>
      <c r="B149" s="96" t="s">
        <v>2333</v>
      </c>
      <c r="C149" s="96" t="s">
        <v>410</v>
      </c>
      <c r="D149" s="96" t="s">
        <v>2746</v>
      </c>
      <c r="E149" s="96" t="s">
        <v>2747</v>
      </c>
      <c r="F149" s="96" t="s">
        <v>2748</v>
      </c>
      <c r="G149" s="88">
        <v>4658000000000</v>
      </c>
      <c r="H149" s="91">
        <v>4658</v>
      </c>
      <c r="I149" s="100" t="s">
        <v>2337</v>
      </c>
    </row>
    <row r="150" spans="1:9">
      <c r="A150" s="95" t="s">
        <v>2406</v>
      </c>
      <c r="B150" s="96" t="s">
        <v>2333</v>
      </c>
      <c r="C150" s="96" t="s">
        <v>410</v>
      </c>
      <c r="D150" s="96" t="s">
        <v>1816</v>
      </c>
      <c r="E150" s="96" t="s">
        <v>2749</v>
      </c>
      <c r="F150" s="96" t="s">
        <v>2750</v>
      </c>
      <c r="G150" s="88">
        <v>0</v>
      </c>
      <c r="H150" s="91">
        <v>0</v>
      </c>
      <c r="I150" s="100" t="s">
        <v>2337</v>
      </c>
    </row>
    <row r="151" spans="1:9">
      <c r="A151" s="95" t="s">
        <v>2406</v>
      </c>
      <c r="B151" s="96" t="s">
        <v>2333</v>
      </c>
      <c r="C151" s="96" t="s">
        <v>410</v>
      </c>
      <c r="D151" s="96" t="s">
        <v>2751</v>
      </c>
      <c r="E151" s="96" t="s">
        <v>2752</v>
      </c>
      <c r="F151" s="96" t="s">
        <v>2753</v>
      </c>
      <c r="G151" s="88">
        <v>0</v>
      </c>
      <c r="H151" s="91">
        <v>0</v>
      </c>
      <c r="I151" s="100" t="s">
        <v>2337</v>
      </c>
    </row>
    <row r="152" spans="1:9">
      <c r="A152" s="95" t="s">
        <v>2406</v>
      </c>
      <c r="B152" s="96" t="s">
        <v>2333</v>
      </c>
      <c r="C152" s="96" t="s">
        <v>410</v>
      </c>
      <c r="D152" s="96" t="s">
        <v>2754</v>
      </c>
      <c r="E152" s="96" t="s">
        <v>2755</v>
      </c>
      <c r="F152" s="96" t="s">
        <v>2756</v>
      </c>
      <c r="G152" s="88">
        <v>213448572393</v>
      </c>
      <c r="H152" s="91">
        <v>213.44857239300001</v>
      </c>
      <c r="I152" s="100" t="s">
        <v>2337</v>
      </c>
    </row>
    <row r="153" spans="1:9">
      <c r="A153" s="95" t="s">
        <v>2406</v>
      </c>
      <c r="B153" s="96" t="s">
        <v>2333</v>
      </c>
      <c r="C153" s="96" t="s">
        <v>410</v>
      </c>
      <c r="D153" s="96" t="s">
        <v>2757</v>
      </c>
      <c r="E153" s="96" t="s">
        <v>2758</v>
      </c>
      <c r="F153" s="96" t="s">
        <v>1664</v>
      </c>
      <c r="G153" s="88">
        <v>-5263902409530</v>
      </c>
      <c r="H153" s="91">
        <v>-5263.9024095300001</v>
      </c>
      <c r="I153" s="100" t="s">
        <v>2337</v>
      </c>
    </row>
    <row r="154" spans="1:9">
      <c r="A154" s="95" t="s">
        <v>2406</v>
      </c>
      <c r="B154" s="96" t="s">
        <v>2333</v>
      </c>
      <c r="C154" s="96" t="s">
        <v>410</v>
      </c>
      <c r="D154" s="96" t="s">
        <v>2759</v>
      </c>
      <c r="E154" s="96" t="s">
        <v>2760</v>
      </c>
      <c r="F154" s="96" t="s">
        <v>2761</v>
      </c>
      <c r="G154" s="88">
        <v>2037461548491</v>
      </c>
      <c r="H154" s="91">
        <v>2037.461548491</v>
      </c>
      <c r="I154" s="100" t="s">
        <v>2337</v>
      </c>
    </row>
    <row r="155" spans="1:9">
      <c r="A155" s="95" t="s">
        <v>2406</v>
      </c>
      <c r="B155" s="96" t="s">
        <v>2333</v>
      </c>
      <c r="C155" s="96" t="s">
        <v>410</v>
      </c>
      <c r="D155" s="96" t="s">
        <v>2762</v>
      </c>
      <c r="E155" s="96" t="s">
        <v>2763</v>
      </c>
      <c r="F155" s="96" t="s">
        <v>2764</v>
      </c>
      <c r="G155" s="88">
        <v>0</v>
      </c>
      <c r="H155" s="91">
        <v>0</v>
      </c>
      <c r="I155" s="100" t="s">
        <v>2337</v>
      </c>
    </row>
    <row r="156" spans="1:9">
      <c r="A156" s="95" t="s">
        <v>2406</v>
      </c>
      <c r="B156" s="96" t="s">
        <v>2333</v>
      </c>
      <c r="C156" s="96" t="s">
        <v>410</v>
      </c>
      <c r="D156" s="96" t="s">
        <v>2765</v>
      </c>
      <c r="E156" s="96" t="s">
        <v>2766</v>
      </c>
      <c r="F156" s="96" t="s">
        <v>2767</v>
      </c>
      <c r="G156" s="88">
        <v>24716406311275</v>
      </c>
      <c r="H156" s="91">
        <v>24716.406311275001</v>
      </c>
      <c r="I156" s="100" t="s">
        <v>2337</v>
      </c>
    </row>
    <row r="157" spans="1:9">
      <c r="A157" s="95" t="s">
        <v>2406</v>
      </c>
      <c r="B157" s="96" t="s">
        <v>2333</v>
      </c>
      <c r="C157" s="96" t="s">
        <v>410</v>
      </c>
      <c r="D157" s="96" t="s">
        <v>2768</v>
      </c>
      <c r="E157" s="96" t="s">
        <v>2769</v>
      </c>
      <c r="F157" s="96" t="s">
        <v>2770</v>
      </c>
      <c r="G157" s="88">
        <v>-23465247841524</v>
      </c>
      <c r="H157" s="91">
        <v>-23465.247841524</v>
      </c>
      <c r="I157" s="100" t="s">
        <v>2337</v>
      </c>
    </row>
    <row r="158" spans="1:9">
      <c r="A158" s="95" t="s">
        <v>2406</v>
      </c>
      <c r="B158" s="96" t="s">
        <v>2333</v>
      </c>
      <c r="C158" s="96" t="s">
        <v>410</v>
      </c>
      <c r="D158" s="96" t="s">
        <v>2771</v>
      </c>
      <c r="E158" s="96" t="s">
        <v>2772</v>
      </c>
      <c r="F158" s="96" t="s">
        <v>2773</v>
      </c>
      <c r="G158" s="88">
        <v>0</v>
      </c>
      <c r="H158" s="91">
        <v>0</v>
      </c>
      <c r="I158" s="100" t="s">
        <v>2337</v>
      </c>
    </row>
    <row r="159" spans="1:9">
      <c r="A159" s="95" t="s">
        <v>2406</v>
      </c>
      <c r="B159" s="96" t="s">
        <v>2333</v>
      </c>
      <c r="C159" s="96" t="s">
        <v>410</v>
      </c>
      <c r="D159" s="96" t="s">
        <v>2132</v>
      </c>
      <c r="E159" s="96" t="s">
        <v>2131</v>
      </c>
      <c r="F159" s="96" t="s">
        <v>2774</v>
      </c>
      <c r="G159" s="88">
        <v>0</v>
      </c>
      <c r="H159" s="91">
        <v>0</v>
      </c>
      <c r="I159" s="100" t="s">
        <v>2337</v>
      </c>
    </row>
    <row r="160" spans="1:9">
      <c r="A160" s="95" t="s">
        <v>2406</v>
      </c>
      <c r="B160" s="96" t="s">
        <v>2333</v>
      </c>
      <c r="C160" s="96" t="s">
        <v>410</v>
      </c>
      <c r="D160" s="96" t="s">
        <v>2775</v>
      </c>
      <c r="E160" s="96" t="s">
        <v>2776</v>
      </c>
      <c r="F160" s="96" t="s">
        <v>2777</v>
      </c>
      <c r="G160" s="88">
        <v>0</v>
      </c>
      <c r="H160" s="91">
        <v>0</v>
      </c>
      <c r="I160" s="100" t="s">
        <v>2337</v>
      </c>
    </row>
    <row r="161" spans="1:9">
      <c r="A161" s="95" t="s">
        <v>2406</v>
      </c>
      <c r="B161" s="96" t="s">
        <v>2333</v>
      </c>
      <c r="C161" s="96" t="s">
        <v>410</v>
      </c>
      <c r="D161" s="96" t="s">
        <v>2778</v>
      </c>
      <c r="E161" s="96" t="s">
        <v>2779</v>
      </c>
      <c r="F161" s="96" t="s">
        <v>1668</v>
      </c>
      <c r="G161" s="88">
        <v>3288620018242</v>
      </c>
      <c r="H161" s="91">
        <v>3288.6200182419998</v>
      </c>
      <c r="I161" s="100" t="s">
        <v>2337</v>
      </c>
    </row>
    <row r="162" spans="1:9">
      <c r="A162" s="95" t="s">
        <v>2406</v>
      </c>
      <c r="B162" s="96" t="s">
        <v>2333</v>
      </c>
      <c r="C162" s="96" t="s">
        <v>410</v>
      </c>
      <c r="D162" s="96" t="s">
        <v>2780</v>
      </c>
      <c r="E162" s="96" t="s">
        <v>2781</v>
      </c>
      <c r="F162" s="96" t="s">
        <v>1669</v>
      </c>
      <c r="G162" s="88">
        <v>772044161746</v>
      </c>
      <c r="H162" s="91">
        <v>772.04416174599999</v>
      </c>
      <c r="I162" s="100" t="s">
        <v>2337</v>
      </c>
    </row>
    <row r="163" spans="1:9">
      <c r="A163" s="95" t="s">
        <v>2406</v>
      </c>
      <c r="B163" s="96" t="s">
        <v>2333</v>
      </c>
      <c r="C163" s="96" t="s">
        <v>410</v>
      </c>
      <c r="D163" s="96" t="s">
        <v>2782</v>
      </c>
      <c r="E163" s="96" t="s">
        <v>2783</v>
      </c>
      <c r="F163" s="96" t="s">
        <v>1670</v>
      </c>
      <c r="G163" s="88">
        <v>2097787236988</v>
      </c>
      <c r="H163" s="91">
        <v>2097.7872369880001</v>
      </c>
      <c r="I163" s="100" t="s">
        <v>2337</v>
      </c>
    </row>
    <row r="164" spans="1:9">
      <c r="A164" s="95" t="s">
        <v>2406</v>
      </c>
      <c r="B164" s="96" t="s">
        <v>2333</v>
      </c>
      <c r="C164" s="96" t="s">
        <v>410</v>
      </c>
      <c r="D164" s="96" t="s">
        <v>2784</v>
      </c>
      <c r="E164" s="96" t="s">
        <v>2785</v>
      </c>
      <c r="F164" s="96" t="s">
        <v>1671</v>
      </c>
      <c r="G164" s="88">
        <v>20360895</v>
      </c>
      <c r="H164" s="91">
        <v>2.0360895E-2</v>
      </c>
      <c r="I164" s="100" t="s">
        <v>2337</v>
      </c>
    </row>
    <row r="165" spans="1:9">
      <c r="A165" s="95" t="s">
        <v>2406</v>
      </c>
      <c r="B165" s="96" t="s">
        <v>2333</v>
      </c>
      <c r="C165" s="96" t="s">
        <v>410</v>
      </c>
      <c r="D165" s="96" t="s">
        <v>2786</v>
      </c>
      <c r="E165" s="96" t="s">
        <v>2787</v>
      </c>
      <c r="F165" s="96" t="s">
        <v>1672</v>
      </c>
      <c r="G165" s="88">
        <v>2869851759629</v>
      </c>
      <c r="H165" s="91">
        <v>2869.8517596289998</v>
      </c>
      <c r="I165" s="100" t="s">
        <v>2337</v>
      </c>
    </row>
    <row r="166" spans="1:9">
      <c r="A166" s="95" t="s">
        <v>2406</v>
      </c>
      <c r="B166" s="96" t="s">
        <v>2333</v>
      </c>
      <c r="C166" s="96" t="s">
        <v>410</v>
      </c>
      <c r="D166" s="96" t="s">
        <v>2788</v>
      </c>
      <c r="E166" s="96" t="s">
        <v>2789</v>
      </c>
      <c r="F166" s="96" t="s">
        <v>1949</v>
      </c>
      <c r="G166" s="88">
        <v>0</v>
      </c>
      <c r="H166" s="91">
        <v>0</v>
      </c>
      <c r="I166" s="100" t="s">
        <v>2337</v>
      </c>
    </row>
    <row r="167" spans="1:9">
      <c r="A167" s="95" t="s">
        <v>2406</v>
      </c>
      <c r="B167" s="96" t="s">
        <v>2333</v>
      </c>
      <c r="C167" s="96" t="s">
        <v>410</v>
      </c>
      <c r="D167" s="96" t="s">
        <v>1952</v>
      </c>
      <c r="E167" s="96" t="s">
        <v>2790</v>
      </c>
      <c r="F167" s="96" t="s">
        <v>1951</v>
      </c>
      <c r="G167" s="88">
        <v>0</v>
      </c>
      <c r="H167" s="91">
        <v>0</v>
      </c>
      <c r="I167" s="100" t="s">
        <v>2337</v>
      </c>
    </row>
    <row r="168" spans="1:9">
      <c r="A168" s="95" t="s">
        <v>2406</v>
      </c>
      <c r="B168" s="96" t="s">
        <v>2333</v>
      </c>
      <c r="C168" s="96" t="s">
        <v>410</v>
      </c>
      <c r="D168" s="96" t="s">
        <v>2791</v>
      </c>
      <c r="E168" s="96" t="s">
        <v>2792</v>
      </c>
      <c r="F168" s="96" t="s">
        <v>2793</v>
      </c>
      <c r="G168" s="88">
        <v>0</v>
      </c>
      <c r="H168" s="91">
        <v>0</v>
      </c>
      <c r="I168" s="100" t="s">
        <v>2337</v>
      </c>
    </row>
    <row r="169" spans="1:9">
      <c r="A169" s="95" t="s">
        <v>2406</v>
      </c>
      <c r="B169" s="96" t="s">
        <v>2404</v>
      </c>
      <c r="C169" s="96" t="s">
        <v>410</v>
      </c>
      <c r="D169" s="96" t="s">
        <v>2697</v>
      </c>
      <c r="E169" s="96" t="s">
        <v>2698</v>
      </c>
      <c r="F169" s="96" t="s">
        <v>2699</v>
      </c>
      <c r="G169" s="88">
        <v>272511430556</v>
      </c>
      <c r="H169" s="91">
        <v>272.51143055599999</v>
      </c>
      <c r="I169" s="100" t="s">
        <v>2405</v>
      </c>
    </row>
    <row r="170" spans="1:9">
      <c r="A170" s="95" t="s">
        <v>2406</v>
      </c>
      <c r="B170" s="96" t="s">
        <v>2404</v>
      </c>
      <c r="C170" s="96" t="s">
        <v>410</v>
      </c>
      <c r="D170" s="96" t="s">
        <v>2700</v>
      </c>
      <c r="E170" s="96" t="s">
        <v>2701</v>
      </c>
      <c r="F170" s="96" t="s">
        <v>1659</v>
      </c>
      <c r="G170" s="88">
        <v>90395945451</v>
      </c>
      <c r="H170" s="91">
        <v>90.395945451000003</v>
      </c>
      <c r="I170" s="100" t="s">
        <v>2405</v>
      </c>
    </row>
    <row r="171" spans="1:9">
      <c r="A171" s="95" t="s">
        <v>2406</v>
      </c>
      <c r="B171" s="96" t="s">
        <v>2404</v>
      </c>
      <c r="C171" s="96" t="s">
        <v>410</v>
      </c>
      <c r="D171" s="96" t="s">
        <v>2090</v>
      </c>
      <c r="E171" s="96" t="s">
        <v>2089</v>
      </c>
      <c r="F171" s="96" t="s">
        <v>2702</v>
      </c>
      <c r="G171" s="88">
        <v>3429220153</v>
      </c>
      <c r="H171" s="91">
        <v>3.4292201530000002</v>
      </c>
      <c r="I171" s="100" t="s">
        <v>2405</v>
      </c>
    </row>
    <row r="172" spans="1:9">
      <c r="A172" s="95" t="s">
        <v>2406</v>
      </c>
      <c r="B172" s="96" t="s">
        <v>2404</v>
      </c>
      <c r="C172" s="96" t="s">
        <v>410</v>
      </c>
      <c r="D172" s="96" t="s">
        <v>2703</v>
      </c>
      <c r="E172" s="96" t="s">
        <v>2704</v>
      </c>
      <c r="F172" s="96" t="s">
        <v>2705</v>
      </c>
      <c r="G172" s="88">
        <v>-129066942</v>
      </c>
      <c r="H172" s="91">
        <v>-0.12906694199999999</v>
      </c>
      <c r="I172" s="100" t="s">
        <v>2405</v>
      </c>
    </row>
    <row r="173" spans="1:9">
      <c r="A173" s="95" t="s">
        <v>2406</v>
      </c>
      <c r="B173" s="96" t="s">
        <v>2404</v>
      </c>
      <c r="C173" s="96" t="s">
        <v>410</v>
      </c>
      <c r="D173" s="96" t="s">
        <v>2706</v>
      </c>
      <c r="E173" s="96" t="s">
        <v>2707</v>
      </c>
      <c r="F173" s="96" t="s">
        <v>2708</v>
      </c>
      <c r="G173" s="88">
        <v>0</v>
      </c>
      <c r="H173" s="91">
        <v>0</v>
      </c>
      <c r="I173" s="100" t="s">
        <v>2405</v>
      </c>
    </row>
    <row r="174" spans="1:9">
      <c r="A174" s="95" t="s">
        <v>2406</v>
      </c>
      <c r="B174" s="96" t="s">
        <v>2404</v>
      </c>
      <c r="C174" s="96" t="s">
        <v>410</v>
      </c>
      <c r="D174" s="96" t="s">
        <v>2709</v>
      </c>
      <c r="E174" s="96" t="s">
        <v>2710</v>
      </c>
      <c r="F174" s="96" t="s">
        <v>2711</v>
      </c>
      <c r="G174" s="88">
        <v>-34901630459</v>
      </c>
      <c r="H174" s="91">
        <v>-34.901630459000003</v>
      </c>
      <c r="I174" s="100" t="s">
        <v>2405</v>
      </c>
    </row>
    <row r="175" spans="1:9">
      <c r="A175" s="95" t="s">
        <v>2406</v>
      </c>
      <c r="B175" s="96" t="s">
        <v>2404</v>
      </c>
      <c r="C175" s="96" t="s">
        <v>410</v>
      </c>
      <c r="D175" s="96" t="s">
        <v>2021</v>
      </c>
      <c r="E175" s="96" t="s">
        <v>2712</v>
      </c>
      <c r="F175" s="96" t="s">
        <v>2355</v>
      </c>
      <c r="G175" s="88">
        <v>88583551190</v>
      </c>
      <c r="H175" s="91">
        <v>88.583551189999994</v>
      </c>
      <c r="I175" s="100" t="s">
        <v>2405</v>
      </c>
    </row>
    <row r="176" spans="1:9">
      <c r="A176" s="95" t="s">
        <v>2406</v>
      </c>
      <c r="B176" s="96" t="s">
        <v>2404</v>
      </c>
      <c r="C176" s="96" t="s">
        <v>410</v>
      </c>
      <c r="D176" s="96" t="s">
        <v>2713</v>
      </c>
      <c r="E176" s="96" t="s">
        <v>2714</v>
      </c>
      <c r="F176" s="96" t="s">
        <v>2715</v>
      </c>
      <c r="G176" s="88">
        <v>0</v>
      </c>
      <c r="H176" s="91">
        <v>0</v>
      </c>
      <c r="I176" s="100" t="s">
        <v>2405</v>
      </c>
    </row>
    <row r="177" spans="1:9">
      <c r="A177" s="95" t="s">
        <v>2406</v>
      </c>
      <c r="B177" s="96" t="s">
        <v>2404</v>
      </c>
      <c r="C177" s="96" t="s">
        <v>410</v>
      </c>
      <c r="D177" s="96" t="s">
        <v>2716</v>
      </c>
      <c r="E177" s="96" t="s">
        <v>2717</v>
      </c>
      <c r="F177" s="96" t="s">
        <v>2718</v>
      </c>
      <c r="G177" s="88">
        <v>419889449949</v>
      </c>
      <c r="H177" s="91">
        <v>419.88944994899998</v>
      </c>
      <c r="I177" s="100" t="s">
        <v>2405</v>
      </c>
    </row>
    <row r="178" spans="1:9">
      <c r="A178" s="95" t="s">
        <v>2406</v>
      </c>
      <c r="B178" s="96" t="s">
        <v>2404</v>
      </c>
      <c r="C178" s="96" t="s">
        <v>410</v>
      </c>
      <c r="D178" s="96" t="s">
        <v>1956</v>
      </c>
      <c r="E178" s="96" t="s">
        <v>2719</v>
      </c>
      <c r="F178" s="96" t="s">
        <v>2720</v>
      </c>
      <c r="G178" s="88">
        <v>-105348728280</v>
      </c>
      <c r="H178" s="91">
        <v>-105.34872828</v>
      </c>
      <c r="I178" s="100" t="s">
        <v>2405</v>
      </c>
    </row>
    <row r="179" spans="1:9">
      <c r="A179" s="95" t="s">
        <v>2406</v>
      </c>
      <c r="B179" s="96" t="s">
        <v>2404</v>
      </c>
      <c r="C179" s="96" t="s">
        <v>410</v>
      </c>
      <c r="D179" s="96" t="s">
        <v>1958</v>
      </c>
      <c r="E179" s="96" t="s">
        <v>2721</v>
      </c>
      <c r="F179" s="96" t="s">
        <v>2722</v>
      </c>
      <c r="G179" s="88">
        <v>465801683581</v>
      </c>
      <c r="H179" s="91">
        <v>465.80168358100002</v>
      </c>
      <c r="I179" s="100" t="s">
        <v>2405</v>
      </c>
    </row>
    <row r="180" spans="1:9">
      <c r="A180" s="95" t="s">
        <v>2406</v>
      </c>
      <c r="B180" s="96" t="s">
        <v>2404</v>
      </c>
      <c r="C180" s="96" t="s">
        <v>410</v>
      </c>
      <c r="D180" s="96" t="s">
        <v>2723</v>
      </c>
      <c r="E180" s="96" t="s">
        <v>2724</v>
      </c>
      <c r="F180" s="96" t="s">
        <v>2725</v>
      </c>
      <c r="G180" s="88">
        <v>547266499639</v>
      </c>
      <c r="H180" s="91">
        <v>547.26649963900002</v>
      </c>
      <c r="I180" s="100" t="s">
        <v>2405</v>
      </c>
    </row>
    <row r="181" spans="1:9">
      <c r="A181" s="95" t="s">
        <v>2406</v>
      </c>
      <c r="B181" s="96" t="s">
        <v>2404</v>
      </c>
      <c r="C181" s="96" t="s">
        <v>410</v>
      </c>
      <c r="D181" s="96" t="s">
        <v>2726</v>
      </c>
      <c r="E181" s="96" t="s">
        <v>2727</v>
      </c>
      <c r="F181" s="96" t="s">
        <v>2728</v>
      </c>
      <c r="G181" s="88">
        <v>18885705987</v>
      </c>
      <c r="H181" s="91">
        <v>18.885705987000001</v>
      </c>
      <c r="I181" s="100" t="s">
        <v>2405</v>
      </c>
    </row>
    <row r="182" spans="1:9">
      <c r="A182" s="95" t="s">
        <v>2406</v>
      </c>
      <c r="B182" s="96" t="s">
        <v>2404</v>
      </c>
      <c r="C182" s="96" t="s">
        <v>410</v>
      </c>
      <c r="D182" s="96" t="s">
        <v>2107</v>
      </c>
      <c r="E182" s="96" t="s">
        <v>2106</v>
      </c>
      <c r="F182" s="96" t="s">
        <v>2729</v>
      </c>
      <c r="G182" s="88">
        <v>-89769345643</v>
      </c>
      <c r="H182" s="91">
        <v>-89.769345642999994</v>
      </c>
      <c r="I182" s="100" t="s">
        <v>2405</v>
      </c>
    </row>
    <row r="183" spans="1:9">
      <c r="A183" s="95" t="s">
        <v>2406</v>
      </c>
      <c r="B183" s="96" t="s">
        <v>2404</v>
      </c>
      <c r="C183" s="96" t="s">
        <v>410</v>
      </c>
      <c r="D183" s="96" t="s">
        <v>109</v>
      </c>
      <c r="E183" s="96" t="s">
        <v>2730</v>
      </c>
      <c r="F183" s="96" t="s">
        <v>1661</v>
      </c>
      <c r="G183" s="88">
        <v>-114141221156</v>
      </c>
      <c r="H183" s="91">
        <v>-114.141221156</v>
      </c>
      <c r="I183" s="100" t="s">
        <v>2405</v>
      </c>
    </row>
    <row r="184" spans="1:9">
      <c r="A184" s="95" t="s">
        <v>2406</v>
      </c>
      <c r="B184" s="96" t="s">
        <v>2404</v>
      </c>
      <c r="C184" s="96" t="s">
        <v>410</v>
      </c>
      <c r="D184" s="96" t="s">
        <v>1966</v>
      </c>
      <c r="E184" s="96" t="s">
        <v>2731</v>
      </c>
      <c r="F184" s="96" t="s">
        <v>1965</v>
      </c>
      <c r="G184" s="88">
        <v>0</v>
      </c>
      <c r="H184" s="91">
        <v>0</v>
      </c>
      <c r="I184" s="100" t="s">
        <v>2405</v>
      </c>
    </row>
    <row r="185" spans="1:9">
      <c r="A185" s="95" t="s">
        <v>2406</v>
      </c>
      <c r="B185" s="96" t="s">
        <v>2404</v>
      </c>
      <c r="C185" s="96" t="s">
        <v>410</v>
      </c>
      <c r="D185" s="96" t="s">
        <v>2732</v>
      </c>
      <c r="E185" s="96" t="s">
        <v>2733</v>
      </c>
      <c r="F185" s="96" t="s">
        <v>1967</v>
      </c>
      <c r="G185" s="88">
        <v>0</v>
      </c>
      <c r="H185" s="91">
        <v>0</v>
      </c>
      <c r="I185" s="100" t="s">
        <v>2405</v>
      </c>
    </row>
    <row r="186" spans="1:9">
      <c r="A186" s="95" t="s">
        <v>2406</v>
      </c>
      <c r="B186" s="96" t="s">
        <v>2404</v>
      </c>
      <c r="C186" s="96" t="s">
        <v>410</v>
      </c>
      <c r="D186" s="96" t="s">
        <v>2734</v>
      </c>
      <c r="E186" s="96" t="s">
        <v>2735</v>
      </c>
      <c r="F186" s="96" t="s">
        <v>2736</v>
      </c>
      <c r="G186" s="88">
        <v>1142584044077</v>
      </c>
      <c r="H186" s="91">
        <v>1142.584044077</v>
      </c>
      <c r="I186" s="100" t="s">
        <v>2405</v>
      </c>
    </row>
    <row r="187" spans="1:9">
      <c r="A187" s="95" t="s">
        <v>2406</v>
      </c>
      <c r="B187" s="96" t="s">
        <v>2404</v>
      </c>
      <c r="C187" s="96" t="s">
        <v>410</v>
      </c>
      <c r="D187" s="96" t="s">
        <v>2737</v>
      </c>
      <c r="E187" s="96" t="s">
        <v>2738</v>
      </c>
      <c r="F187" s="96" t="s">
        <v>2739</v>
      </c>
      <c r="G187" s="88">
        <v>-90549909398</v>
      </c>
      <c r="H187" s="91">
        <v>-90.549909397999997</v>
      </c>
      <c r="I187" s="100" t="s">
        <v>2405</v>
      </c>
    </row>
    <row r="188" spans="1:9">
      <c r="A188" s="95" t="s">
        <v>2406</v>
      </c>
      <c r="B188" s="96" t="s">
        <v>2404</v>
      </c>
      <c r="C188" s="96" t="s">
        <v>410</v>
      </c>
      <c r="D188" s="96" t="s">
        <v>2740</v>
      </c>
      <c r="E188" s="96" t="s">
        <v>2741</v>
      </c>
      <c r="F188" s="96" t="s">
        <v>2742</v>
      </c>
      <c r="G188" s="88">
        <v>1900000</v>
      </c>
      <c r="H188" s="91">
        <v>1.9E-3</v>
      </c>
      <c r="I188" s="100" t="s">
        <v>2405</v>
      </c>
    </row>
    <row r="189" spans="1:9">
      <c r="A189" s="95" t="s">
        <v>2406</v>
      </c>
      <c r="B189" s="96" t="s">
        <v>2404</v>
      </c>
      <c r="C189" s="96" t="s">
        <v>410</v>
      </c>
      <c r="D189" s="96" t="s">
        <v>2743</v>
      </c>
      <c r="E189" s="96" t="s">
        <v>2744</v>
      </c>
      <c r="F189" s="96" t="s">
        <v>2745</v>
      </c>
      <c r="G189" s="88">
        <v>-405000000000</v>
      </c>
      <c r="H189" s="91">
        <v>-405</v>
      </c>
      <c r="I189" s="100" t="s">
        <v>2405</v>
      </c>
    </row>
    <row r="190" spans="1:9">
      <c r="A190" s="95" t="s">
        <v>2406</v>
      </c>
      <c r="B190" s="96" t="s">
        <v>2404</v>
      </c>
      <c r="C190" s="96" t="s">
        <v>410</v>
      </c>
      <c r="D190" s="96" t="s">
        <v>2746</v>
      </c>
      <c r="E190" s="96" t="s">
        <v>2747</v>
      </c>
      <c r="F190" s="96" t="s">
        <v>2748</v>
      </c>
      <c r="G190" s="88">
        <v>510000000000</v>
      </c>
      <c r="H190" s="91">
        <v>510</v>
      </c>
      <c r="I190" s="100" t="s">
        <v>2405</v>
      </c>
    </row>
    <row r="191" spans="1:9">
      <c r="A191" s="95" t="s">
        <v>2406</v>
      </c>
      <c r="B191" s="96" t="s">
        <v>2404</v>
      </c>
      <c r="C191" s="96" t="s">
        <v>410</v>
      </c>
      <c r="D191" s="96" t="s">
        <v>1816</v>
      </c>
      <c r="E191" s="96" t="s">
        <v>2749</v>
      </c>
      <c r="F191" s="96" t="s">
        <v>2750</v>
      </c>
      <c r="G191" s="88">
        <v>0</v>
      </c>
      <c r="H191" s="91">
        <v>0</v>
      </c>
      <c r="I191" s="100" t="s">
        <v>2405</v>
      </c>
    </row>
    <row r="192" spans="1:9">
      <c r="A192" s="95" t="s">
        <v>2406</v>
      </c>
      <c r="B192" s="96" t="s">
        <v>2404</v>
      </c>
      <c r="C192" s="96" t="s">
        <v>410</v>
      </c>
      <c r="D192" s="96" t="s">
        <v>2751</v>
      </c>
      <c r="E192" s="96" t="s">
        <v>2752</v>
      </c>
      <c r="F192" s="96" t="s">
        <v>2753</v>
      </c>
      <c r="G192" s="88">
        <v>0</v>
      </c>
      <c r="H192" s="91">
        <v>0</v>
      </c>
      <c r="I192" s="100" t="s">
        <v>2405</v>
      </c>
    </row>
    <row r="193" spans="1:9">
      <c r="A193" s="95" t="s">
        <v>2406</v>
      </c>
      <c r="B193" s="96" t="s">
        <v>2404</v>
      </c>
      <c r="C193" s="96" t="s">
        <v>410</v>
      </c>
      <c r="D193" s="96" t="s">
        <v>2754</v>
      </c>
      <c r="E193" s="96" t="s">
        <v>2755</v>
      </c>
      <c r="F193" s="96" t="s">
        <v>2756</v>
      </c>
      <c r="G193" s="88">
        <v>37405421417</v>
      </c>
      <c r="H193" s="91">
        <v>37.405421416999999</v>
      </c>
      <c r="I193" s="100" t="s">
        <v>2405</v>
      </c>
    </row>
    <row r="194" spans="1:9">
      <c r="A194" s="95" t="s">
        <v>2406</v>
      </c>
      <c r="B194" s="96" t="s">
        <v>2404</v>
      </c>
      <c r="C194" s="96" t="s">
        <v>410</v>
      </c>
      <c r="D194" s="96" t="s">
        <v>2757</v>
      </c>
      <c r="E194" s="96" t="s">
        <v>2758</v>
      </c>
      <c r="F194" s="96" t="s">
        <v>1664</v>
      </c>
      <c r="G194" s="88">
        <v>51857412019</v>
      </c>
      <c r="H194" s="91">
        <v>51.857412019000002</v>
      </c>
      <c r="I194" s="100" t="s">
        <v>2405</v>
      </c>
    </row>
    <row r="195" spans="1:9">
      <c r="A195" s="95" t="s">
        <v>2406</v>
      </c>
      <c r="B195" s="96" t="s">
        <v>2404</v>
      </c>
      <c r="C195" s="96" t="s">
        <v>410</v>
      </c>
      <c r="D195" s="96" t="s">
        <v>2759</v>
      </c>
      <c r="E195" s="96" t="s">
        <v>2760</v>
      </c>
      <c r="F195" s="96" t="s">
        <v>2761</v>
      </c>
      <c r="G195" s="88">
        <v>0</v>
      </c>
      <c r="H195" s="91">
        <v>0</v>
      </c>
      <c r="I195" s="100" t="s">
        <v>2405</v>
      </c>
    </row>
    <row r="196" spans="1:9">
      <c r="A196" s="95" t="s">
        <v>2406</v>
      </c>
      <c r="B196" s="96" t="s">
        <v>2404</v>
      </c>
      <c r="C196" s="96" t="s">
        <v>410</v>
      </c>
      <c r="D196" s="96" t="s">
        <v>2762</v>
      </c>
      <c r="E196" s="96" t="s">
        <v>2763</v>
      </c>
      <c r="F196" s="96" t="s">
        <v>2764</v>
      </c>
      <c r="G196" s="88">
        <v>0</v>
      </c>
      <c r="H196" s="91">
        <v>0</v>
      </c>
      <c r="I196" s="100" t="s">
        <v>2405</v>
      </c>
    </row>
    <row r="197" spans="1:9">
      <c r="A197" s="95" t="s">
        <v>2406</v>
      </c>
      <c r="B197" s="96" t="s">
        <v>2404</v>
      </c>
      <c r="C197" s="96" t="s">
        <v>410</v>
      </c>
      <c r="D197" s="96" t="s">
        <v>2765</v>
      </c>
      <c r="E197" s="96" t="s">
        <v>2766</v>
      </c>
      <c r="F197" s="96" t="s">
        <v>2767</v>
      </c>
      <c r="G197" s="88">
        <v>5325472345247</v>
      </c>
      <c r="H197" s="91">
        <v>5325.4723452469998</v>
      </c>
      <c r="I197" s="100" t="s">
        <v>2405</v>
      </c>
    </row>
    <row r="198" spans="1:9">
      <c r="A198" s="95" t="s">
        <v>2406</v>
      </c>
      <c r="B198" s="96" t="s">
        <v>2404</v>
      </c>
      <c r="C198" s="96" t="s">
        <v>410</v>
      </c>
      <c r="D198" s="96" t="s">
        <v>2768</v>
      </c>
      <c r="E198" s="96" t="s">
        <v>2769</v>
      </c>
      <c r="F198" s="96" t="s">
        <v>2770</v>
      </c>
      <c r="G198" s="88">
        <v>-5226708330854</v>
      </c>
      <c r="H198" s="91">
        <v>-5226.7083308540005</v>
      </c>
      <c r="I198" s="100" t="s">
        <v>2405</v>
      </c>
    </row>
    <row r="199" spans="1:9">
      <c r="A199" s="95" t="s">
        <v>2406</v>
      </c>
      <c r="B199" s="96" t="s">
        <v>2404</v>
      </c>
      <c r="C199" s="96" t="s">
        <v>410</v>
      </c>
      <c r="D199" s="96" t="s">
        <v>2771</v>
      </c>
      <c r="E199" s="96" t="s">
        <v>2772</v>
      </c>
      <c r="F199" s="96" t="s">
        <v>2773</v>
      </c>
      <c r="G199" s="88">
        <v>0</v>
      </c>
      <c r="H199" s="91">
        <v>0</v>
      </c>
      <c r="I199" s="100" t="s">
        <v>2405</v>
      </c>
    </row>
    <row r="200" spans="1:9">
      <c r="A200" s="95" t="s">
        <v>2406</v>
      </c>
      <c r="B200" s="96" t="s">
        <v>2404</v>
      </c>
      <c r="C200" s="96" t="s">
        <v>410</v>
      </c>
      <c r="D200" s="96" t="s">
        <v>2132</v>
      </c>
      <c r="E200" s="96" t="s">
        <v>2131</v>
      </c>
      <c r="F200" s="96" t="s">
        <v>2774</v>
      </c>
      <c r="G200" s="88">
        <v>0</v>
      </c>
      <c r="H200" s="91">
        <v>0</v>
      </c>
      <c r="I200" s="100" t="s">
        <v>2405</v>
      </c>
    </row>
    <row r="201" spans="1:9">
      <c r="A201" s="95" t="s">
        <v>2406</v>
      </c>
      <c r="B201" s="96" t="s">
        <v>2404</v>
      </c>
      <c r="C201" s="96" t="s">
        <v>410</v>
      </c>
      <c r="D201" s="96" t="s">
        <v>2775</v>
      </c>
      <c r="E201" s="96" t="s">
        <v>2776</v>
      </c>
      <c r="F201" s="96" t="s">
        <v>2777</v>
      </c>
      <c r="G201" s="88">
        <v>0</v>
      </c>
      <c r="H201" s="91">
        <v>0</v>
      </c>
      <c r="I201" s="100" t="s">
        <v>2405</v>
      </c>
    </row>
    <row r="202" spans="1:9">
      <c r="A202" s="95" t="s">
        <v>2406</v>
      </c>
      <c r="B202" s="96" t="s">
        <v>2404</v>
      </c>
      <c r="C202" s="96" t="s">
        <v>410</v>
      </c>
      <c r="D202" s="96" t="s">
        <v>2778</v>
      </c>
      <c r="E202" s="96" t="s">
        <v>2779</v>
      </c>
      <c r="F202" s="96" t="s">
        <v>1668</v>
      </c>
      <c r="G202" s="88">
        <v>98764014393</v>
      </c>
      <c r="H202" s="91">
        <v>98.764014392999997</v>
      </c>
      <c r="I202" s="100" t="s">
        <v>2405</v>
      </c>
    </row>
    <row r="203" spans="1:9">
      <c r="A203" s="95" t="s">
        <v>2406</v>
      </c>
      <c r="B203" s="96" t="s">
        <v>2404</v>
      </c>
      <c r="C203" s="96" t="s">
        <v>410</v>
      </c>
      <c r="D203" s="96" t="s">
        <v>2780</v>
      </c>
      <c r="E203" s="96" t="s">
        <v>2781</v>
      </c>
      <c r="F203" s="96" t="s">
        <v>1669</v>
      </c>
      <c r="G203" s="88">
        <v>1293205470489</v>
      </c>
      <c r="H203" s="91">
        <v>1293.2054704889999</v>
      </c>
      <c r="I203" s="100" t="s">
        <v>2405</v>
      </c>
    </row>
    <row r="204" spans="1:9">
      <c r="A204" s="95" t="s">
        <v>2406</v>
      </c>
      <c r="B204" s="96" t="s">
        <v>2404</v>
      </c>
      <c r="C204" s="96" t="s">
        <v>410</v>
      </c>
      <c r="D204" s="96" t="s">
        <v>2782</v>
      </c>
      <c r="E204" s="96" t="s">
        <v>2783</v>
      </c>
      <c r="F204" s="96" t="s">
        <v>1670</v>
      </c>
      <c r="G204" s="88">
        <v>2097787236988</v>
      </c>
      <c r="H204" s="91">
        <v>2097.7872369880001</v>
      </c>
      <c r="I204" s="100" t="s">
        <v>2405</v>
      </c>
    </row>
    <row r="205" spans="1:9">
      <c r="A205" s="95" t="s">
        <v>2406</v>
      </c>
      <c r="B205" s="96" t="s">
        <v>2404</v>
      </c>
      <c r="C205" s="96" t="s">
        <v>410</v>
      </c>
      <c r="D205" s="96" t="s">
        <v>2784</v>
      </c>
      <c r="E205" s="96" t="s">
        <v>2785</v>
      </c>
      <c r="F205" s="96" t="s">
        <v>1671</v>
      </c>
      <c r="G205" s="88">
        <v>129066942</v>
      </c>
      <c r="H205" s="91">
        <v>0.12906694199999999</v>
      </c>
      <c r="I205" s="100" t="s">
        <v>2405</v>
      </c>
    </row>
    <row r="206" spans="1:9">
      <c r="A206" s="95" t="s">
        <v>2406</v>
      </c>
      <c r="B206" s="96" t="s">
        <v>2404</v>
      </c>
      <c r="C206" s="96" t="s">
        <v>410</v>
      </c>
      <c r="D206" s="96" t="s">
        <v>2786</v>
      </c>
      <c r="E206" s="96" t="s">
        <v>2787</v>
      </c>
      <c r="F206" s="96" t="s">
        <v>1672</v>
      </c>
      <c r="G206" s="88">
        <v>3391121774419</v>
      </c>
      <c r="H206" s="91">
        <v>3391.1217744189998</v>
      </c>
      <c r="I206" s="100" t="s">
        <v>2405</v>
      </c>
    </row>
    <row r="207" spans="1:9">
      <c r="A207" s="95" t="s">
        <v>2406</v>
      </c>
      <c r="B207" s="96" t="s">
        <v>2404</v>
      </c>
      <c r="C207" s="96" t="s">
        <v>410</v>
      </c>
      <c r="D207" s="96" t="s">
        <v>2788</v>
      </c>
      <c r="E207" s="96" t="s">
        <v>2789</v>
      </c>
      <c r="F207" s="96" t="s">
        <v>1949</v>
      </c>
      <c r="G207" s="88">
        <v>0</v>
      </c>
      <c r="H207" s="91">
        <v>0</v>
      </c>
      <c r="I207" s="100" t="s">
        <v>2405</v>
      </c>
    </row>
    <row r="208" spans="1:9">
      <c r="A208" s="95" t="s">
        <v>2406</v>
      </c>
      <c r="B208" s="96" t="s">
        <v>2404</v>
      </c>
      <c r="C208" s="96" t="s">
        <v>410</v>
      </c>
      <c r="D208" s="96" t="s">
        <v>1952</v>
      </c>
      <c r="E208" s="96" t="s">
        <v>2790</v>
      </c>
      <c r="F208" s="96" t="s">
        <v>1951</v>
      </c>
      <c r="G208" s="88">
        <v>0</v>
      </c>
      <c r="H208" s="91">
        <v>0</v>
      </c>
      <c r="I208" s="100" t="s">
        <v>2405</v>
      </c>
    </row>
    <row r="209" spans="1:9">
      <c r="A209" s="95" t="s">
        <v>2406</v>
      </c>
      <c r="B209" s="96" t="s">
        <v>2404</v>
      </c>
      <c r="C209" s="96" t="s">
        <v>410</v>
      </c>
      <c r="D209" s="96" t="s">
        <v>2791</v>
      </c>
      <c r="E209" s="96" t="s">
        <v>2792</v>
      </c>
      <c r="F209" s="96" t="s">
        <v>2793</v>
      </c>
      <c r="G209" s="88">
        <v>0</v>
      </c>
      <c r="H209" s="91">
        <v>0</v>
      </c>
      <c r="I209" s="100" t="s">
        <v>2405</v>
      </c>
    </row>
    <row r="210" spans="1:9">
      <c r="A210" s="95" t="s">
        <v>2406</v>
      </c>
      <c r="B210" s="96" t="s">
        <v>1034</v>
      </c>
      <c r="C210" s="96" t="s">
        <v>410</v>
      </c>
      <c r="D210" s="96" t="s">
        <v>2697</v>
      </c>
      <c r="E210" s="96" t="s">
        <v>2698</v>
      </c>
      <c r="F210" s="96" t="s">
        <v>2699</v>
      </c>
      <c r="G210" s="88">
        <v>471628960418</v>
      </c>
      <c r="H210" s="91">
        <v>471.62896041800002</v>
      </c>
      <c r="I210" s="100" t="s">
        <v>2405</v>
      </c>
    </row>
    <row r="211" spans="1:9">
      <c r="A211" s="95" t="s">
        <v>2406</v>
      </c>
      <c r="B211" s="96" t="s">
        <v>1034</v>
      </c>
      <c r="C211" s="96" t="s">
        <v>410</v>
      </c>
      <c r="D211" s="96" t="s">
        <v>2700</v>
      </c>
      <c r="E211" s="96" t="s">
        <v>2701</v>
      </c>
      <c r="F211" s="96" t="s">
        <v>1659</v>
      </c>
      <c r="G211" s="88">
        <v>114347544883</v>
      </c>
      <c r="H211" s="91">
        <v>114.347544883</v>
      </c>
      <c r="I211" s="100" t="s">
        <v>2405</v>
      </c>
    </row>
    <row r="212" spans="1:9">
      <c r="A212" s="95" t="s">
        <v>2406</v>
      </c>
      <c r="B212" s="96" t="s">
        <v>1034</v>
      </c>
      <c r="C212" s="96" t="s">
        <v>410</v>
      </c>
      <c r="D212" s="96" t="s">
        <v>2090</v>
      </c>
      <c r="E212" s="96" t="s">
        <v>2089</v>
      </c>
      <c r="F212" s="96" t="s">
        <v>2702</v>
      </c>
      <c r="G212" s="88">
        <v>15900220165</v>
      </c>
      <c r="H212" s="91">
        <v>15.900220165</v>
      </c>
      <c r="I212" s="100" t="s">
        <v>2405</v>
      </c>
    </row>
    <row r="213" spans="1:9">
      <c r="A213" s="95" t="s">
        <v>2406</v>
      </c>
      <c r="B213" s="96" t="s">
        <v>1034</v>
      </c>
      <c r="C213" s="96" t="s">
        <v>410</v>
      </c>
      <c r="D213" s="96" t="s">
        <v>2703</v>
      </c>
      <c r="E213" s="96" t="s">
        <v>2704</v>
      </c>
      <c r="F213" s="96" t="s">
        <v>2705</v>
      </c>
      <c r="G213" s="88">
        <v>-146870457</v>
      </c>
      <c r="H213" s="91">
        <v>-0.14687045700000001</v>
      </c>
      <c r="I213" s="100" t="s">
        <v>2405</v>
      </c>
    </row>
    <row r="214" spans="1:9">
      <c r="A214" s="95" t="s">
        <v>2406</v>
      </c>
      <c r="B214" s="96" t="s">
        <v>1034</v>
      </c>
      <c r="C214" s="96" t="s">
        <v>410</v>
      </c>
      <c r="D214" s="96" t="s">
        <v>2706</v>
      </c>
      <c r="E214" s="96" t="s">
        <v>2707</v>
      </c>
      <c r="F214" s="96" t="s">
        <v>2708</v>
      </c>
      <c r="G214" s="88">
        <v>0</v>
      </c>
      <c r="H214" s="91">
        <v>0</v>
      </c>
      <c r="I214" s="100" t="s">
        <v>2405</v>
      </c>
    </row>
    <row r="215" spans="1:9">
      <c r="A215" s="95" t="s">
        <v>2406</v>
      </c>
      <c r="B215" s="96" t="s">
        <v>1034</v>
      </c>
      <c r="C215" s="96" t="s">
        <v>410</v>
      </c>
      <c r="D215" s="96" t="s">
        <v>2709</v>
      </c>
      <c r="E215" s="96" t="s">
        <v>2710</v>
      </c>
      <c r="F215" s="96" t="s">
        <v>2711</v>
      </c>
      <c r="G215" s="88">
        <v>-137835087099</v>
      </c>
      <c r="H215" s="91">
        <v>-137.83508709899999</v>
      </c>
      <c r="I215" s="100" t="s">
        <v>2405</v>
      </c>
    </row>
    <row r="216" spans="1:9">
      <c r="A216" s="95" t="s">
        <v>2406</v>
      </c>
      <c r="B216" s="96" t="s">
        <v>1034</v>
      </c>
      <c r="C216" s="96" t="s">
        <v>410</v>
      </c>
      <c r="D216" s="96" t="s">
        <v>2021</v>
      </c>
      <c r="E216" s="96" t="s">
        <v>2712</v>
      </c>
      <c r="F216" s="96" t="s">
        <v>2355</v>
      </c>
      <c r="G216" s="88">
        <v>149775192055</v>
      </c>
      <c r="H216" s="91">
        <v>149.77519205499999</v>
      </c>
      <c r="I216" s="100" t="s">
        <v>2405</v>
      </c>
    </row>
    <row r="217" spans="1:9">
      <c r="A217" s="95" t="s">
        <v>2406</v>
      </c>
      <c r="B217" s="96" t="s">
        <v>1034</v>
      </c>
      <c r="C217" s="96" t="s">
        <v>410</v>
      </c>
      <c r="D217" s="96" t="s">
        <v>2713</v>
      </c>
      <c r="E217" s="96" t="s">
        <v>2714</v>
      </c>
      <c r="F217" s="96" t="s">
        <v>2715</v>
      </c>
      <c r="G217" s="88">
        <v>0</v>
      </c>
      <c r="H217" s="91">
        <v>0</v>
      </c>
      <c r="I217" s="100" t="s">
        <v>2405</v>
      </c>
    </row>
    <row r="218" spans="1:9">
      <c r="A218" s="95" t="s">
        <v>2406</v>
      </c>
      <c r="B218" s="96" t="s">
        <v>1034</v>
      </c>
      <c r="C218" s="96" t="s">
        <v>410</v>
      </c>
      <c r="D218" s="96" t="s">
        <v>2716</v>
      </c>
      <c r="E218" s="96" t="s">
        <v>2717</v>
      </c>
      <c r="F218" s="96" t="s">
        <v>2718</v>
      </c>
      <c r="G218" s="88">
        <v>613669959965</v>
      </c>
      <c r="H218" s="91">
        <v>613.66995996499998</v>
      </c>
      <c r="I218" s="100" t="s">
        <v>2405</v>
      </c>
    </row>
    <row r="219" spans="1:9">
      <c r="A219" s="95" t="s">
        <v>2406</v>
      </c>
      <c r="B219" s="96" t="s">
        <v>1034</v>
      </c>
      <c r="C219" s="96" t="s">
        <v>410</v>
      </c>
      <c r="D219" s="96" t="s">
        <v>1956</v>
      </c>
      <c r="E219" s="96" t="s">
        <v>2719</v>
      </c>
      <c r="F219" s="96" t="s">
        <v>2720</v>
      </c>
      <c r="G219" s="88">
        <v>-87211840219</v>
      </c>
      <c r="H219" s="91">
        <v>-87.211840218999995</v>
      </c>
      <c r="I219" s="100" t="s">
        <v>2405</v>
      </c>
    </row>
    <row r="220" spans="1:9">
      <c r="A220" s="95" t="s">
        <v>2406</v>
      </c>
      <c r="B220" s="96" t="s">
        <v>1034</v>
      </c>
      <c r="C220" s="96" t="s">
        <v>410</v>
      </c>
      <c r="D220" s="96" t="s">
        <v>1958</v>
      </c>
      <c r="E220" s="96" t="s">
        <v>2721</v>
      </c>
      <c r="F220" s="96" t="s">
        <v>2722</v>
      </c>
      <c r="G220" s="88">
        <v>-2537001492267</v>
      </c>
      <c r="H220" s="91">
        <v>-2537.0014922669998</v>
      </c>
      <c r="I220" s="100" t="s">
        <v>2405</v>
      </c>
    </row>
    <row r="221" spans="1:9">
      <c r="A221" s="95" t="s">
        <v>2406</v>
      </c>
      <c r="B221" s="96" t="s">
        <v>1034</v>
      </c>
      <c r="C221" s="96" t="s">
        <v>410</v>
      </c>
      <c r="D221" s="96" t="s">
        <v>2723</v>
      </c>
      <c r="E221" s="96" t="s">
        <v>2724</v>
      </c>
      <c r="F221" s="96" t="s">
        <v>2725</v>
      </c>
      <c r="G221" s="88">
        <v>-285422569358</v>
      </c>
      <c r="H221" s="91">
        <v>-285.42256935799998</v>
      </c>
      <c r="I221" s="100" t="s">
        <v>2405</v>
      </c>
    </row>
    <row r="222" spans="1:9">
      <c r="A222" s="95" t="s">
        <v>2406</v>
      </c>
      <c r="B222" s="96" t="s">
        <v>1034</v>
      </c>
      <c r="C222" s="96" t="s">
        <v>410</v>
      </c>
      <c r="D222" s="96" t="s">
        <v>2726</v>
      </c>
      <c r="E222" s="96" t="s">
        <v>2727</v>
      </c>
      <c r="F222" s="96" t="s">
        <v>2728</v>
      </c>
      <c r="G222" s="88">
        <v>38463671769</v>
      </c>
      <c r="H222" s="91">
        <v>38.463671769000001</v>
      </c>
      <c r="I222" s="100" t="s">
        <v>2405</v>
      </c>
    </row>
    <row r="223" spans="1:9">
      <c r="A223" s="95" t="s">
        <v>2406</v>
      </c>
      <c r="B223" s="96" t="s">
        <v>1034</v>
      </c>
      <c r="C223" s="96" t="s">
        <v>410</v>
      </c>
      <c r="D223" s="96" t="s">
        <v>2107</v>
      </c>
      <c r="E223" s="96" t="s">
        <v>2106</v>
      </c>
      <c r="F223" s="96" t="s">
        <v>2729</v>
      </c>
      <c r="G223" s="88">
        <v>-117125481157</v>
      </c>
      <c r="H223" s="91">
        <v>-117.125481157</v>
      </c>
      <c r="I223" s="100" t="s">
        <v>2405</v>
      </c>
    </row>
    <row r="224" spans="1:9">
      <c r="A224" s="95" t="s">
        <v>2406</v>
      </c>
      <c r="B224" s="96" t="s">
        <v>1034</v>
      </c>
      <c r="C224" s="96" t="s">
        <v>410</v>
      </c>
      <c r="D224" s="96" t="s">
        <v>109</v>
      </c>
      <c r="E224" s="96" t="s">
        <v>2730</v>
      </c>
      <c r="F224" s="96" t="s">
        <v>1661</v>
      </c>
      <c r="G224" s="88">
        <v>-235918541924</v>
      </c>
      <c r="H224" s="91">
        <v>-235.91854192400001</v>
      </c>
      <c r="I224" s="100" t="s">
        <v>2405</v>
      </c>
    </row>
    <row r="225" spans="1:9">
      <c r="A225" s="95" t="s">
        <v>2406</v>
      </c>
      <c r="B225" s="96" t="s">
        <v>1034</v>
      </c>
      <c r="C225" s="96" t="s">
        <v>410</v>
      </c>
      <c r="D225" s="96" t="s">
        <v>1966</v>
      </c>
      <c r="E225" s="96" t="s">
        <v>2731</v>
      </c>
      <c r="F225" s="96" t="s">
        <v>1965</v>
      </c>
      <c r="G225" s="88">
        <v>0</v>
      </c>
      <c r="H225" s="91">
        <v>0</v>
      </c>
      <c r="I225" s="100" t="s">
        <v>2405</v>
      </c>
    </row>
    <row r="226" spans="1:9">
      <c r="A226" s="95" t="s">
        <v>2406</v>
      </c>
      <c r="B226" s="96" t="s">
        <v>1034</v>
      </c>
      <c r="C226" s="96" t="s">
        <v>410</v>
      </c>
      <c r="D226" s="96" t="s">
        <v>2732</v>
      </c>
      <c r="E226" s="96" t="s">
        <v>2733</v>
      </c>
      <c r="F226" s="96" t="s">
        <v>1967</v>
      </c>
      <c r="G226" s="88">
        <v>0</v>
      </c>
      <c r="H226" s="91">
        <v>0</v>
      </c>
      <c r="I226" s="100" t="s">
        <v>2405</v>
      </c>
    </row>
    <row r="227" spans="1:9">
      <c r="A227" s="95" t="s">
        <v>2406</v>
      </c>
      <c r="B227" s="96" t="s">
        <v>1034</v>
      </c>
      <c r="C227" s="96" t="s">
        <v>410</v>
      </c>
      <c r="D227" s="96" t="s">
        <v>2734</v>
      </c>
      <c r="E227" s="96" t="s">
        <v>2735</v>
      </c>
      <c r="F227" s="96" t="s">
        <v>2736</v>
      </c>
      <c r="G227" s="88">
        <v>-2610546293191</v>
      </c>
      <c r="H227" s="91">
        <v>-2610.5462931910001</v>
      </c>
      <c r="I227" s="100" t="s">
        <v>2405</v>
      </c>
    </row>
    <row r="228" spans="1:9">
      <c r="A228" s="95" t="s">
        <v>2406</v>
      </c>
      <c r="B228" s="96" t="s">
        <v>1034</v>
      </c>
      <c r="C228" s="96" t="s">
        <v>410</v>
      </c>
      <c r="D228" s="96" t="s">
        <v>2737</v>
      </c>
      <c r="E228" s="96" t="s">
        <v>2738</v>
      </c>
      <c r="F228" s="96" t="s">
        <v>2739</v>
      </c>
      <c r="G228" s="88">
        <v>-96335918133</v>
      </c>
      <c r="H228" s="91">
        <v>-96.335918133000007</v>
      </c>
      <c r="I228" s="100" t="s">
        <v>2405</v>
      </c>
    </row>
    <row r="229" spans="1:9">
      <c r="A229" s="95" t="s">
        <v>2406</v>
      </c>
      <c r="B229" s="96" t="s">
        <v>1034</v>
      </c>
      <c r="C229" s="96" t="s">
        <v>410</v>
      </c>
      <c r="D229" s="96" t="s">
        <v>2740</v>
      </c>
      <c r="E229" s="96" t="s">
        <v>2741</v>
      </c>
      <c r="F229" s="96" t="s">
        <v>2742</v>
      </c>
      <c r="G229" s="88">
        <v>87962963</v>
      </c>
      <c r="H229" s="91">
        <v>8.7962963000000005E-2</v>
      </c>
      <c r="I229" s="100" t="s">
        <v>2405</v>
      </c>
    </row>
    <row r="230" spans="1:9">
      <c r="A230" s="95" t="s">
        <v>2406</v>
      </c>
      <c r="B230" s="96" t="s">
        <v>1034</v>
      </c>
      <c r="C230" s="96" t="s">
        <v>410</v>
      </c>
      <c r="D230" s="96" t="s">
        <v>2743</v>
      </c>
      <c r="E230" s="96" t="s">
        <v>2744</v>
      </c>
      <c r="F230" s="96" t="s">
        <v>2745</v>
      </c>
      <c r="G230" s="88">
        <v>-3769000000000</v>
      </c>
      <c r="H230" s="91">
        <v>-3769</v>
      </c>
      <c r="I230" s="100" t="s">
        <v>2405</v>
      </c>
    </row>
    <row r="231" spans="1:9">
      <c r="A231" s="95" t="s">
        <v>2406</v>
      </c>
      <c r="B231" s="96" t="s">
        <v>1034</v>
      </c>
      <c r="C231" s="96" t="s">
        <v>410</v>
      </c>
      <c r="D231" s="96" t="s">
        <v>2746</v>
      </c>
      <c r="E231" s="96" t="s">
        <v>2747</v>
      </c>
      <c r="F231" s="96" t="s">
        <v>2748</v>
      </c>
      <c r="G231" s="88">
        <v>1851000000000</v>
      </c>
      <c r="H231" s="91">
        <v>1851</v>
      </c>
      <c r="I231" s="100" t="s">
        <v>2405</v>
      </c>
    </row>
    <row r="232" spans="1:9">
      <c r="A232" s="95" t="s">
        <v>2406</v>
      </c>
      <c r="B232" s="96" t="s">
        <v>1034</v>
      </c>
      <c r="C232" s="96" t="s">
        <v>410</v>
      </c>
      <c r="D232" s="96" t="s">
        <v>1816</v>
      </c>
      <c r="E232" s="96" t="s">
        <v>2749</v>
      </c>
      <c r="F232" s="96" t="s">
        <v>2750</v>
      </c>
      <c r="G232" s="88">
        <v>0</v>
      </c>
      <c r="H232" s="91">
        <v>0</v>
      </c>
      <c r="I232" s="100" t="s">
        <v>2405</v>
      </c>
    </row>
    <row r="233" spans="1:9">
      <c r="A233" s="95" t="s">
        <v>2406</v>
      </c>
      <c r="B233" s="96" t="s">
        <v>1034</v>
      </c>
      <c r="C233" s="96" t="s">
        <v>410</v>
      </c>
      <c r="D233" s="96" t="s">
        <v>2751</v>
      </c>
      <c r="E233" s="96" t="s">
        <v>2752</v>
      </c>
      <c r="F233" s="96" t="s">
        <v>2753</v>
      </c>
      <c r="G233" s="88">
        <v>0</v>
      </c>
      <c r="H233" s="91">
        <v>0</v>
      </c>
      <c r="I233" s="100" t="s">
        <v>2405</v>
      </c>
    </row>
    <row r="234" spans="1:9">
      <c r="A234" s="95" t="s">
        <v>2406</v>
      </c>
      <c r="B234" s="96" t="s">
        <v>1034</v>
      </c>
      <c r="C234" s="96" t="s">
        <v>410</v>
      </c>
      <c r="D234" s="96" t="s">
        <v>2754</v>
      </c>
      <c r="E234" s="96" t="s">
        <v>2755</v>
      </c>
      <c r="F234" s="96" t="s">
        <v>2756</v>
      </c>
      <c r="G234" s="88">
        <v>69786434566</v>
      </c>
      <c r="H234" s="91">
        <v>69.786434565999997</v>
      </c>
      <c r="I234" s="100" t="s">
        <v>2405</v>
      </c>
    </row>
    <row r="235" spans="1:9">
      <c r="A235" s="95" t="s">
        <v>2406</v>
      </c>
      <c r="B235" s="96" t="s">
        <v>1034</v>
      </c>
      <c r="C235" s="96" t="s">
        <v>410</v>
      </c>
      <c r="D235" s="96" t="s">
        <v>2757</v>
      </c>
      <c r="E235" s="96" t="s">
        <v>2758</v>
      </c>
      <c r="F235" s="96" t="s">
        <v>1664</v>
      </c>
      <c r="G235" s="88">
        <v>-1944461520604</v>
      </c>
      <c r="H235" s="91">
        <v>-1944.461520604</v>
      </c>
      <c r="I235" s="100" t="s">
        <v>2405</v>
      </c>
    </row>
    <row r="236" spans="1:9">
      <c r="A236" s="95" t="s">
        <v>2406</v>
      </c>
      <c r="B236" s="96" t="s">
        <v>1034</v>
      </c>
      <c r="C236" s="96" t="s">
        <v>410</v>
      </c>
      <c r="D236" s="96" t="s">
        <v>2759</v>
      </c>
      <c r="E236" s="96" t="s">
        <v>2760</v>
      </c>
      <c r="F236" s="96" t="s">
        <v>2761</v>
      </c>
      <c r="G236" s="88">
        <v>0</v>
      </c>
      <c r="H236" s="91">
        <v>0</v>
      </c>
      <c r="I236" s="100" t="s">
        <v>2405</v>
      </c>
    </row>
    <row r="237" spans="1:9">
      <c r="A237" s="95" t="s">
        <v>2406</v>
      </c>
      <c r="B237" s="96" t="s">
        <v>1034</v>
      </c>
      <c r="C237" s="96" t="s">
        <v>410</v>
      </c>
      <c r="D237" s="96" t="s">
        <v>2762</v>
      </c>
      <c r="E237" s="96" t="s">
        <v>2763</v>
      </c>
      <c r="F237" s="96" t="s">
        <v>2764</v>
      </c>
      <c r="G237" s="88">
        <v>0</v>
      </c>
      <c r="H237" s="91">
        <v>0</v>
      </c>
      <c r="I237" s="100" t="s">
        <v>2405</v>
      </c>
    </row>
    <row r="238" spans="1:9">
      <c r="A238" s="95" t="s">
        <v>2406</v>
      </c>
      <c r="B238" s="96" t="s">
        <v>1034</v>
      </c>
      <c r="C238" s="96" t="s">
        <v>410</v>
      </c>
      <c r="D238" s="96" t="s">
        <v>2765</v>
      </c>
      <c r="E238" s="96" t="s">
        <v>2766</v>
      </c>
      <c r="F238" s="96" t="s">
        <v>2767</v>
      </c>
      <c r="G238" s="88">
        <v>8150029182843</v>
      </c>
      <c r="H238" s="91">
        <v>8150.0291828429999</v>
      </c>
      <c r="I238" s="100" t="s">
        <v>2405</v>
      </c>
    </row>
    <row r="239" spans="1:9">
      <c r="A239" s="95" t="s">
        <v>2406</v>
      </c>
      <c r="B239" s="96" t="s">
        <v>1034</v>
      </c>
      <c r="C239" s="96" t="s">
        <v>410</v>
      </c>
      <c r="D239" s="96" t="s">
        <v>2768</v>
      </c>
      <c r="E239" s="96" t="s">
        <v>2769</v>
      </c>
      <c r="F239" s="96" t="s">
        <v>2770</v>
      </c>
      <c r="G239" s="88">
        <v>-5820119327109</v>
      </c>
      <c r="H239" s="91">
        <v>-5820.1193271089996</v>
      </c>
      <c r="I239" s="100" t="s">
        <v>2405</v>
      </c>
    </row>
    <row r="240" spans="1:9">
      <c r="A240" s="95" t="s">
        <v>2406</v>
      </c>
      <c r="B240" s="96" t="s">
        <v>1034</v>
      </c>
      <c r="C240" s="96" t="s">
        <v>410</v>
      </c>
      <c r="D240" s="96" t="s">
        <v>2771</v>
      </c>
      <c r="E240" s="96" t="s">
        <v>2772</v>
      </c>
      <c r="F240" s="96" t="s">
        <v>2773</v>
      </c>
      <c r="G240" s="88">
        <v>0</v>
      </c>
      <c r="H240" s="91">
        <v>0</v>
      </c>
      <c r="I240" s="100" t="s">
        <v>2405</v>
      </c>
    </row>
    <row r="241" spans="1:9">
      <c r="A241" s="95" t="s">
        <v>2406</v>
      </c>
      <c r="B241" s="96" t="s">
        <v>1034</v>
      </c>
      <c r="C241" s="96" t="s">
        <v>410</v>
      </c>
      <c r="D241" s="96" t="s">
        <v>2132</v>
      </c>
      <c r="E241" s="96" t="s">
        <v>2131</v>
      </c>
      <c r="F241" s="96" t="s">
        <v>2774</v>
      </c>
      <c r="G241" s="88">
        <v>0</v>
      </c>
      <c r="H241" s="91">
        <v>0</v>
      </c>
      <c r="I241" s="100" t="s">
        <v>2405</v>
      </c>
    </row>
    <row r="242" spans="1:9">
      <c r="A242" s="95" t="s">
        <v>2406</v>
      </c>
      <c r="B242" s="96" t="s">
        <v>1034</v>
      </c>
      <c r="C242" s="96" t="s">
        <v>410</v>
      </c>
      <c r="D242" s="96" t="s">
        <v>2775</v>
      </c>
      <c r="E242" s="96" t="s">
        <v>2776</v>
      </c>
      <c r="F242" s="96" t="s">
        <v>2777</v>
      </c>
      <c r="G242" s="88">
        <v>0</v>
      </c>
      <c r="H242" s="91">
        <v>0</v>
      </c>
      <c r="I242" s="100" t="s">
        <v>2405</v>
      </c>
    </row>
    <row r="243" spans="1:9">
      <c r="A243" s="95" t="s">
        <v>2406</v>
      </c>
      <c r="B243" s="96" t="s">
        <v>1034</v>
      </c>
      <c r="C243" s="96" t="s">
        <v>410</v>
      </c>
      <c r="D243" s="96" t="s">
        <v>2778</v>
      </c>
      <c r="E243" s="96" t="s">
        <v>2779</v>
      </c>
      <c r="F243" s="96" t="s">
        <v>1668</v>
      </c>
      <c r="G243" s="88">
        <v>2329909855734</v>
      </c>
      <c r="H243" s="91">
        <v>2329.9098557339998</v>
      </c>
      <c r="I243" s="100" t="s">
        <v>2405</v>
      </c>
    </row>
    <row r="244" spans="1:9">
      <c r="A244" s="95" t="s">
        <v>2406</v>
      </c>
      <c r="B244" s="96" t="s">
        <v>1034</v>
      </c>
      <c r="C244" s="96" t="s">
        <v>410</v>
      </c>
      <c r="D244" s="96" t="s">
        <v>2780</v>
      </c>
      <c r="E244" s="96" t="s">
        <v>2781</v>
      </c>
      <c r="F244" s="96" t="s">
        <v>1669</v>
      </c>
      <c r="G244" s="88">
        <v>-2225097958061</v>
      </c>
      <c r="H244" s="91">
        <v>-2225.0979580610001</v>
      </c>
      <c r="I244" s="100" t="s">
        <v>2405</v>
      </c>
    </row>
    <row r="245" spans="1:9">
      <c r="A245" s="95" t="s">
        <v>2406</v>
      </c>
      <c r="B245" s="96" t="s">
        <v>1034</v>
      </c>
      <c r="C245" s="96" t="s">
        <v>410</v>
      </c>
      <c r="D245" s="96" t="s">
        <v>2782</v>
      </c>
      <c r="E245" s="96" t="s">
        <v>2783</v>
      </c>
      <c r="F245" s="96" t="s">
        <v>1670</v>
      </c>
      <c r="G245" s="88">
        <v>2869851759629</v>
      </c>
      <c r="H245" s="91">
        <v>2869.8517596289998</v>
      </c>
      <c r="I245" s="100" t="s">
        <v>2405</v>
      </c>
    </row>
    <row r="246" spans="1:9">
      <c r="A246" s="95" t="s">
        <v>2406</v>
      </c>
      <c r="B246" s="96" t="s">
        <v>1034</v>
      </c>
      <c r="C246" s="96" t="s">
        <v>410</v>
      </c>
      <c r="D246" s="96" t="s">
        <v>2784</v>
      </c>
      <c r="E246" s="96" t="s">
        <v>2785</v>
      </c>
      <c r="F246" s="96" t="s">
        <v>1671</v>
      </c>
      <c r="G246" s="88">
        <v>146870457</v>
      </c>
      <c r="H246" s="91">
        <v>0.14687045700000001</v>
      </c>
      <c r="I246" s="100" t="s">
        <v>2405</v>
      </c>
    </row>
    <row r="247" spans="1:9">
      <c r="A247" s="95" t="s">
        <v>2406</v>
      </c>
      <c r="B247" s="96" t="s">
        <v>1034</v>
      </c>
      <c r="C247" s="96" t="s">
        <v>410</v>
      </c>
      <c r="D247" s="96" t="s">
        <v>2786</v>
      </c>
      <c r="E247" s="96" t="s">
        <v>2787</v>
      </c>
      <c r="F247" s="96" t="s">
        <v>1672</v>
      </c>
      <c r="G247" s="88">
        <v>644900672025</v>
      </c>
      <c r="H247" s="91">
        <v>644.90067202499995</v>
      </c>
      <c r="I247" s="100" t="s">
        <v>2405</v>
      </c>
    </row>
    <row r="248" spans="1:9">
      <c r="A248" s="95" t="s">
        <v>2406</v>
      </c>
      <c r="B248" s="96" t="s">
        <v>1034</v>
      </c>
      <c r="C248" s="96" t="s">
        <v>410</v>
      </c>
      <c r="D248" s="96" t="s">
        <v>2788</v>
      </c>
      <c r="E248" s="96" t="s">
        <v>2789</v>
      </c>
      <c r="F248" s="96" t="s">
        <v>1949</v>
      </c>
      <c r="G248" s="88">
        <v>0</v>
      </c>
      <c r="H248" s="91">
        <v>0</v>
      </c>
      <c r="I248" s="100" t="s">
        <v>2405</v>
      </c>
    </row>
    <row r="249" spans="1:9">
      <c r="A249" s="95" t="s">
        <v>2406</v>
      </c>
      <c r="B249" s="96" t="s">
        <v>1034</v>
      </c>
      <c r="C249" s="96" t="s">
        <v>410</v>
      </c>
      <c r="D249" s="96" t="s">
        <v>1952</v>
      </c>
      <c r="E249" s="96" t="s">
        <v>2790</v>
      </c>
      <c r="F249" s="96" t="s">
        <v>1951</v>
      </c>
      <c r="G249" s="88">
        <v>0</v>
      </c>
      <c r="H249" s="91">
        <v>0</v>
      </c>
      <c r="I249" s="100" t="s">
        <v>2405</v>
      </c>
    </row>
    <row r="250" spans="1:9">
      <c r="A250" s="95" t="s">
        <v>2406</v>
      </c>
      <c r="B250" s="96" t="s">
        <v>1034</v>
      </c>
      <c r="C250" s="96" t="s">
        <v>410</v>
      </c>
      <c r="D250" s="96" t="s">
        <v>2791</v>
      </c>
      <c r="E250" s="96" t="s">
        <v>2792</v>
      </c>
      <c r="F250" s="96" t="s">
        <v>2793</v>
      </c>
      <c r="G250" s="88">
        <v>0</v>
      </c>
      <c r="H250" s="91">
        <v>0</v>
      </c>
      <c r="I250" s="100" t="s">
        <v>2405</v>
      </c>
    </row>
    <row r="251" spans="1:9">
      <c r="A251" s="95" t="s">
        <v>2407</v>
      </c>
      <c r="B251" s="96" t="s">
        <v>2333</v>
      </c>
      <c r="C251" s="96" t="s">
        <v>410</v>
      </c>
      <c r="D251" s="96" t="s">
        <v>2697</v>
      </c>
      <c r="E251" s="96" t="s">
        <v>2698</v>
      </c>
      <c r="F251" s="96" t="s">
        <v>2699</v>
      </c>
      <c r="G251" s="88">
        <v>689089904170</v>
      </c>
      <c r="H251" s="91">
        <v>689.08990416999995</v>
      </c>
      <c r="I251" s="100" t="s">
        <v>2337</v>
      </c>
    </row>
    <row r="252" spans="1:9">
      <c r="A252" s="95" t="s">
        <v>2407</v>
      </c>
      <c r="B252" s="96" t="s">
        <v>2333</v>
      </c>
      <c r="C252" s="96" t="s">
        <v>410</v>
      </c>
      <c r="D252" s="96" t="s">
        <v>2700</v>
      </c>
      <c r="E252" s="96" t="s">
        <v>2701</v>
      </c>
      <c r="F252" s="96" t="s">
        <v>1659</v>
      </c>
      <c r="G252" s="88">
        <v>50809639988</v>
      </c>
      <c r="H252" s="91">
        <v>50.809639988000001</v>
      </c>
      <c r="I252" s="100" t="s">
        <v>2337</v>
      </c>
    </row>
    <row r="253" spans="1:9">
      <c r="A253" s="95" t="s">
        <v>2407</v>
      </c>
      <c r="B253" s="96" t="s">
        <v>2333</v>
      </c>
      <c r="C253" s="96" t="s">
        <v>410</v>
      </c>
      <c r="D253" s="96" t="s">
        <v>2090</v>
      </c>
      <c r="E253" s="96" t="s">
        <v>2089</v>
      </c>
      <c r="F253" s="96" t="s">
        <v>2702</v>
      </c>
      <c r="G253" s="88">
        <v>100093292635</v>
      </c>
      <c r="H253" s="91">
        <v>100.093292635</v>
      </c>
      <c r="I253" s="100" t="s">
        <v>2337</v>
      </c>
    </row>
    <row r="254" spans="1:9">
      <c r="A254" s="95" t="s">
        <v>2407</v>
      </c>
      <c r="B254" s="96" t="s">
        <v>2333</v>
      </c>
      <c r="C254" s="96" t="s">
        <v>410</v>
      </c>
      <c r="D254" s="96" t="s">
        <v>2703</v>
      </c>
      <c r="E254" s="96" t="s">
        <v>2704</v>
      </c>
      <c r="F254" s="96" t="s">
        <v>2705</v>
      </c>
      <c r="G254" s="88">
        <v>-1599512194</v>
      </c>
      <c r="H254" s="91">
        <v>-1.5995121940000001</v>
      </c>
      <c r="I254" s="100" t="s">
        <v>2337</v>
      </c>
    </row>
    <row r="255" spans="1:9">
      <c r="A255" s="95" t="s">
        <v>2407</v>
      </c>
      <c r="B255" s="96" t="s">
        <v>2333</v>
      </c>
      <c r="C255" s="96" t="s">
        <v>410</v>
      </c>
      <c r="D255" s="96" t="s">
        <v>2706</v>
      </c>
      <c r="E255" s="96" t="s">
        <v>2707</v>
      </c>
      <c r="F255" s="96" t="s">
        <v>2708</v>
      </c>
      <c r="G255" s="88">
        <v>0</v>
      </c>
      <c r="H255" s="91">
        <v>0</v>
      </c>
      <c r="I255" s="100" t="s">
        <v>2337</v>
      </c>
    </row>
    <row r="256" spans="1:9">
      <c r="A256" s="95" t="s">
        <v>2407</v>
      </c>
      <c r="B256" s="96" t="s">
        <v>2333</v>
      </c>
      <c r="C256" s="96" t="s">
        <v>410</v>
      </c>
      <c r="D256" s="96" t="s">
        <v>2709</v>
      </c>
      <c r="E256" s="96" t="s">
        <v>2710</v>
      </c>
      <c r="F256" s="96" t="s">
        <v>2711</v>
      </c>
      <c r="G256" s="88">
        <v>-59663085311</v>
      </c>
      <c r="H256" s="91">
        <v>-59.663085311000003</v>
      </c>
      <c r="I256" s="100" t="s">
        <v>2337</v>
      </c>
    </row>
    <row r="257" spans="1:9">
      <c r="A257" s="95" t="s">
        <v>2407</v>
      </c>
      <c r="B257" s="96" t="s">
        <v>2333</v>
      </c>
      <c r="C257" s="96" t="s">
        <v>410</v>
      </c>
      <c r="D257" s="96" t="s">
        <v>2021</v>
      </c>
      <c r="E257" s="96" t="s">
        <v>2712</v>
      </c>
      <c r="F257" s="96" t="s">
        <v>2355</v>
      </c>
      <c r="G257" s="88">
        <v>138276822812</v>
      </c>
      <c r="H257" s="91">
        <v>138.27682281200001</v>
      </c>
      <c r="I257" s="100" t="s">
        <v>2337</v>
      </c>
    </row>
    <row r="258" spans="1:9">
      <c r="A258" s="95" t="s">
        <v>2407</v>
      </c>
      <c r="B258" s="96" t="s">
        <v>2333</v>
      </c>
      <c r="C258" s="96" t="s">
        <v>410</v>
      </c>
      <c r="D258" s="96" t="s">
        <v>2713</v>
      </c>
      <c r="E258" s="96" t="s">
        <v>2714</v>
      </c>
      <c r="F258" s="96" t="s">
        <v>2715</v>
      </c>
      <c r="G258" s="88">
        <v>0</v>
      </c>
      <c r="H258" s="91">
        <v>0</v>
      </c>
      <c r="I258" s="100" t="s">
        <v>2337</v>
      </c>
    </row>
    <row r="259" spans="1:9">
      <c r="A259" s="95" t="s">
        <v>2407</v>
      </c>
      <c r="B259" s="96" t="s">
        <v>2333</v>
      </c>
      <c r="C259" s="96" t="s">
        <v>410</v>
      </c>
      <c r="D259" s="96" t="s">
        <v>2716</v>
      </c>
      <c r="E259" s="96" t="s">
        <v>2717</v>
      </c>
      <c r="F259" s="96" t="s">
        <v>2718</v>
      </c>
      <c r="G259" s="88">
        <v>917007062100</v>
      </c>
      <c r="H259" s="91">
        <v>917.00706209999998</v>
      </c>
      <c r="I259" s="100" t="s">
        <v>2337</v>
      </c>
    </row>
    <row r="260" spans="1:9">
      <c r="A260" s="95" t="s">
        <v>2407</v>
      </c>
      <c r="B260" s="96" t="s">
        <v>2333</v>
      </c>
      <c r="C260" s="96" t="s">
        <v>410</v>
      </c>
      <c r="D260" s="96" t="s">
        <v>1956</v>
      </c>
      <c r="E260" s="96" t="s">
        <v>2719</v>
      </c>
      <c r="F260" s="96" t="s">
        <v>2720</v>
      </c>
      <c r="G260" s="88">
        <v>-927385148139</v>
      </c>
      <c r="H260" s="91">
        <v>-927.38514813899997</v>
      </c>
      <c r="I260" s="100" t="s">
        <v>2337</v>
      </c>
    </row>
    <row r="261" spans="1:9">
      <c r="A261" s="95" t="s">
        <v>2407</v>
      </c>
      <c r="B261" s="96" t="s">
        <v>2333</v>
      </c>
      <c r="C261" s="96" t="s">
        <v>410</v>
      </c>
      <c r="D261" s="96" t="s">
        <v>1958</v>
      </c>
      <c r="E261" s="96" t="s">
        <v>2721</v>
      </c>
      <c r="F261" s="96" t="s">
        <v>2722</v>
      </c>
      <c r="G261" s="88">
        <v>-945367724646</v>
      </c>
      <c r="H261" s="91">
        <v>-945.36772464600006</v>
      </c>
      <c r="I261" s="100" t="s">
        <v>2337</v>
      </c>
    </row>
    <row r="262" spans="1:9">
      <c r="A262" s="95" t="s">
        <v>2407</v>
      </c>
      <c r="B262" s="96" t="s">
        <v>2333</v>
      </c>
      <c r="C262" s="96" t="s">
        <v>410</v>
      </c>
      <c r="D262" s="96" t="s">
        <v>2723</v>
      </c>
      <c r="E262" s="96" t="s">
        <v>2724</v>
      </c>
      <c r="F262" s="96" t="s">
        <v>2725</v>
      </c>
      <c r="G262" s="88">
        <v>1990909242367</v>
      </c>
      <c r="H262" s="91">
        <v>1990.9092423669999</v>
      </c>
      <c r="I262" s="100" t="s">
        <v>2337</v>
      </c>
    </row>
    <row r="263" spans="1:9">
      <c r="A263" s="95" t="s">
        <v>2407</v>
      </c>
      <c r="B263" s="96" t="s">
        <v>2333</v>
      </c>
      <c r="C263" s="96" t="s">
        <v>410</v>
      </c>
      <c r="D263" s="96" t="s">
        <v>2726</v>
      </c>
      <c r="E263" s="96" t="s">
        <v>2727</v>
      </c>
      <c r="F263" s="96" t="s">
        <v>2728</v>
      </c>
      <c r="G263" s="88">
        <v>12080665760</v>
      </c>
      <c r="H263" s="91">
        <v>12.08066576</v>
      </c>
      <c r="I263" s="100" t="s">
        <v>2337</v>
      </c>
    </row>
    <row r="264" spans="1:9">
      <c r="A264" s="95" t="s">
        <v>2407</v>
      </c>
      <c r="B264" s="96" t="s">
        <v>2333</v>
      </c>
      <c r="C264" s="96" t="s">
        <v>410</v>
      </c>
      <c r="D264" s="96" t="s">
        <v>2107</v>
      </c>
      <c r="E264" s="96" t="s">
        <v>2106</v>
      </c>
      <c r="F264" s="96" t="s">
        <v>2729</v>
      </c>
      <c r="G264" s="88">
        <v>-133920086389</v>
      </c>
      <c r="H264" s="91">
        <v>-133.92008638900001</v>
      </c>
      <c r="I264" s="100" t="s">
        <v>2337</v>
      </c>
    </row>
    <row r="265" spans="1:9">
      <c r="A265" s="95" t="s">
        <v>2407</v>
      </c>
      <c r="B265" s="96" t="s">
        <v>2333</v>
      </c>
      <c r="C265" s="96" t="s">
        <v>410</v>
      </c>
      <c r="D265" s="96" t="s">
        <v>109</v>
      </c>
      <c r="E265" s="96" t="s">
        <v>2730</v>
      </c>
      <c r="F265" s="96" t="s">
        <v>1661</v>
      </c>
      <c r="G265" s="88">
        <v>-183375879832</v>
      </c>
      <c r="H265" s="91">
        <v>-183.37587983200001</v>
      </c>
      <c r="I265" s="100" t="s">
        <v>2337</v>
      </c>
    </row>
    <row r="266" spans="1:9">
      <c r="A266" s="95" t="s">
        <v>2407</v>
      </c>
      <c r="B266" s="96" t="s">
        <v>2333</v>
      </c>
      <c r="C266" s="96" t="s">
        <v>410</v>
      </c>
      <c r="D266" s="96" t="s">
        <v>1966</v>
      </c>
      <c r="E266" s="96" t="s">
        <v>2731</v>
      </c>
      <c r="F266" s="96" t="s">
        <v>1965</v>
      </c>
      <c r="G266" s="88">
        <v>0</v>
      </c>
      <c r="H266" s="91">
        <v>0</v>
      </c>
      <c r="I266" s="100" t="s">
        <v>2337</v>
      </c>
    </row>
    <row r="267" spans="1:9">
      <c r="A267" s="95" t="s">
        <v>2407</v>
      </c>
      <c r="B267" s="96" t="s">
        <v>2333</v>
      </c>
      <c r="C267" s="96" t="s">
        <v>410</v>
      </c>
      <c r="D267" s="96" t="s">
        <v>2732</v>
      </c>
      <c r="E267" s="96" t="s">
        <v>2733</v>
      </c>
      <c r="F267" s="96" t="s">
        <v>1967</v>
      </c>
      <c r="G267" s="88">
        <v>0</v>
      </c>
      <c r="H267" s="91">
        <v>0</v>
      </c>
      <c r="I267" s="100" t="s">
        <v>2337</v>
      </c>
    </row>
    <row r="268" spans="1:9">
      <c r="A268" s="95" t="s">
        <v>2407</v>
      </c>
      <c r="B268" s="96" t="s">
        <v>2333</v>
      </c>
      <c r="C268" s="96" t="s">
        <v>410</v>
      </c>
      <c r="D268" s="96" t="s">
        <v>2734</v>
      </c>
      <c r="E268" s="96" t="s">
        <v>2735</v>
      </c>
      <c r="F268" s="96" t="s">
        <v>2736</v>
      </c>
      <c r="G268" s="88">
        <v>-42388528779</v>
      </c>
      <c r="H268" s="91">
        <v>-42.388528778999998</v>
      </c>
      <c r="I268" s="100" t="s">
        <v>2337</v>
      </c>
    </row>
    <row r="269" spans="1:9">
      <c r="A269" s="95" t="s">
        <v>2407</v>
      </c>
      <c r="B269" s="96" t="s">
        <v>2333</v>
      </c>
      <c r="C269" s="96" t="s">
        <v>410</v>
      </c>
      <c r="D269" s="96" t="s">
        <v>2737</v>
      </c>
      <c r="E269" s="96" t="s">
        <v>2738</v>
      </c>
      <c r="F269" s="96" t="s">
        <v>2739</v>
      </c>
      <c r="G269" s="88">
        <v>-215779773</v>
      </c>
      <c r="H269" s="91">
        <v>-0.21577977300000001</v>
      </c>
      <c r="I269" s="100" t="s">
        <v>2337</v>
      </c>
    </row>
    <row r="270" spans="1:9">
      <c r="A270" s="95" t="s">
        <v>2407</v>
      </c>
      <c r="B270" s="96" t="s">
        <v>2333</v>
      </c>
      <c r="C270" s="96" t="s">
        <v>410</v>
      </c>
      <c r="D270" s="96" t="s">
        <v>2740</v>
      </c>
      <c r="E270" s="96" t="s">
        <v>2741</v>
      </c>
      <c r="F270" s="96" t="s">
        <v>2742</v>
      </c>
      <c r="G270" s="88">
        <v>0</v>
      </c>
      <c r="H270" s="91">
        <v>0</v>
      </c>
      <c r="I270" s="100" t="s">
        <v>2337</v>
      </c>
    </row>
    <row r="271" spans="1:9">
      <c r="A271" s="95" t="s">
        <v>2407</v>
      </c>
      <c r="B271" s="96" t="s">
        <v>2333</v>
      </c>
      <c r="C271" s="96" t="s">
        <v>410</v>
      </c>
      <c r="D271" s="96" t="s">
        <v>2743</v>
      </c>
      <c r="E271" s="96" t="s">
        <v>2744</v>
      </c>
      <c r="F271" s="96" t="s">
        <v>2745</v>
      </c>
      <c r="G271" s="88">
        <v>-116034831238</v>
      </c>
      <c r="H271" s="91">
        <v>-116.034831238</v>
      </c>
      <c r="I271" s="100" t="s">
        <v>2337</v>
      </c>
    </row>
    <row r="272" spans="1:9">
      <c r="A272" s="95" t="s">
        <v>2407</v>
      </c>
      <c r="B272" s="96" t="s">
        <v>2333</v>
      </c>
      <c r="C272" s="96" t="s">
        <v>410</v>
      </c>
      <c r="D272" s="96" t="s">
        <v>2746</v>
      </c>
      <c r="E272" s="96" t="s">
        <v>2747</v>
      </c>
      <c r="F272" s="96" t="s">
        <v>2748</v>
      </c>
      <c r="G272" s="88">
        <v>41890546000</v>
      </c>
      <c r="H272" s="91">
        <v>41.890546000000001</v>
      </c>
      <c r="I272" s="100" t="s">
        <v>2337</v>
      </c>
    </row>
    <row r="273" spans="1:9">
      <c r="A273" s="95" t="s">
        <v>2407</v>
      </c>
      <c r="B273" s="96" t="s">
        <v>2333</v>
      </c>
      <c r="C273" s="96" t="s">
        <v>410</v>
      </c>
      <c r="D273" s="96" t="s">
        <v>1816</v>
      </c>
      <c r="E273" s="96" t="s">
        <v>2749</v>
      </c>
      <c r="F273" s="96" t="s">
        <v>2750</v>
      </c>
      <c r="G273" s="88">
        <v>-2687855400</v>
      </c>
      <c r="H273" s="91">
        <v>-2.6878554000000001</v>
      </c>
      <c r="I273" s="100" t="s">
        <v>2337</v>
      </c>
    </row>
    <row r="274" spans="1:9">
      <c r="A274" s="95" t="s">
        <v>2407</v>
      </c>
      <c r="B274" s="96" t="s">
        <v>2333</v>
      </c>
      <c r="C274" s="96" t="s">
        <v>410</v>
      </c>
      <c r="D274" s="96" t="s">
        <v>2751</v>
      </c>
      <c r="E274" s="96" t="s">
        <v>2752</v>
      </c>
      <c r="F274" s="96" t="s">
        <v>2753</v>
      </c>
      <c r="G274" s="88">
        <v>-2332624623</v>
      </c>
      <c r="H274" s="91">
        <v>-2.3326246230000001</v>
      </c>
      <c r="I274" s="100" t="s">
        <v>2337</v>
      </c>
    </row>
    <row r="275" spans="1:9">
      <c r="A275" s="95" t="s">
        <v>2407</v>
      </c>
      <c r="B275" s="96" t="s">
        <v>2333</v>
      </c>
      <c r="C275" s="96" t="s">
        <v>410</v>
      </c>
      <c r="D275" s="96" t="s">
        <v>2754</v>
      </c>
      <c r="E275" s="96" t="s">
        <v>2755</v>
      </c>
      <c r="F275" s="96" t="s">
        <v>2756</v>
      </c>
      <c r="G275" s="88">
        <v>65212870446</v>
      </c>
      <c r="H275" s="91">
        <v>65.212870445999997</v>
      </c>
      <c r="I275" s="100" t="s">
        <v>2337</v>
      </c>
    </row>
    <row r="276" spans="1:9">
      <c r="A276" s="95" t="s">
        <v>2407</v>
      </c>
      <c r="B276" s="96" t="s">
        <v>2333</v>
      </c>
      <c r="C276" s="96" t="s">
        <v>410</v>
      </c>
      <c r="D276" s="96" t="s">
        <v>2757</v>
      </c>
      <c r="E276" s="96" t="s">
        <v>2758</v>
      </c>
      <c r="F276" s="96" t="s">
        <v>1664</v>
      </c>
      <c r="G276" s="88">
        <v>-14167674588</v>
      </c>
      <c r="H276" s="91">
        <v>-14.167674588000001</v>
      </c>
      <c r="I276" s="100" t="s">
        <v>2337</v>
      </c>
    </row>
    <row r="277" spans="1:9">
      <c r="A277" s="95" t="s">
        <v>2407</v>
      </c>
      <c r="B277" s="96" t="s">
        <v>2333</v>
      </c>
      <c r="C277" s="96" t="s">
        <v>410</v>
      </c>
      <c r="D277" s="96" t="s">
        <v>2759</v>
      </c>
      <c r="E277" s="96" t="s">
        <v>2760</v>
      </c>
      <c r="F277" s="96" t="s">
        <v>2761</v>
      </c>
      <c r="G277" s="88">
        <v>20000000000</v>
      </c>
      <c r="H277" s="91">
        <v>20</v>
      </c>
      <c r="I277" s="100" t="s">
        <v>2337</v>
      </c>
    </row>
    <row r="278" spans="1:9">
      <c r="A278" s="95" t="s">
        <v>2407</v>
      </c>
      <c r="B278" s="96" t="s">
        <v>2333</v>
      </c>
      <c r="C278" s="96" t="s">
        <v>410</v>
      </c>
      <c r="D278" s="96" t="s">
        <v>2762</v>
      </c>
      <c r="E278" s="96" t="s">
        <v>2763</v>
      </c>
      <c r="F278" s="96" t="s">
        <v>2764</v>
      </c>
      <c r="G278" s="88">
        <v>0</v>
      </c>
      <c r="H278" s="91">
        <v>0</v>
      </c>
      <c r="I278" s="100" t="s">
        <v>2337</v>
      </c>
    </row>
    <row r="279" spans="1:9">
      <c r="A279" s="95" t="s">
        <v>2407</v>
      </c>
      <c r="B279" s="96" t="s">
        <v>2333</v>
      </c>
      <c r="C279" s="96" t="s">
        <v>410</v>
      </c>
      <c r="D279" s="96" t="s">
        <v>2765</v>
      </c>
      <c r="E279" s="96" t="s">
        <v>2766</v>
      </c>
      <c r="F279" s="96" t="s">
        <v>2767</v>
      </c>
      <c r="G279" s="88">
        <v>13383456049842</v>
      </c>
      <c r="H279" s="91">
        <v>13383.456049842</v>
      </c>
      <c r="I279" s="100" t="s">
        <v>2337</v>
      </c>
    </row>
    <row r="280" spans="1:9">
      <c r="A280" s="95" t="s">
        <v>2407</v>
      </c>
      <c r="B280" s="96" t="s">
        <v>2333</v>
      </c>
      <c r="C280" s="96" t="s">
        <v>410</v>
      </c>
      <c r="D280" s="96" t="s">
        <v>2768</v>
      </c>
      <c r="E280" s="96" t="s">
        <v>2769</v>
      </c>
      <c r="F280" s="96" t="s">
        <v>2770</v>
      </c>
      <c r="G280" s="88">
        <v>-12901977567453</v>
      </c>
      <c r="H280" s="91">
        <v>-12901.977567452999</v>
      </c>
      <c r="I280" s="100" t="s">
        <v>2337</v>
      </c>
    </row>
    <row r="281" spans="1:9">
      <c r="A281" s="95" t="s">
        <v>2407</v>
      </c>
      <c r="B281" s="96" t="s">
        <v>2333</v>
      </c>
      <c r="C281" s="96" t="s">
        <v>410</v>
      </c>
      <c r="D281" s="96" t="s">
        <v>2771</v>
      </c>
      <c r="E281" s="96" t="s">
        <v>2772</v>
      </c>
      <c r="F281" s="96" t="s">
        <v>2773</v>
      </c>
      <c r="G281" s="88">
        <v>0</v>
      </c>
      <c r="H281" s="91">
        <v>0</v>
      </c>
      <c r="I281" s="100" t="s">
        <v>2337</v>
      </c>
    </row>
    <row r="282" spans="1:9">
      <c r="A282" s="95" t="s">
        <v>2407</v>
      </c>
      <c r="B282" s="96" t="s">
        <v>2333</v>
      </c>
      <c r="C282" s="96" t="s">
        <v>410</v>
      </c>
      <c r="D282" s="96" t="s">
        <v>2132</v>
      </c>
      <c r="E282" s="96" t="s">
        <v>2131</v>
      </c>
      <c r="F282" s="96" t="s">
        <v>2774</v>
      </c>
      <c r="G282" s="88">
        <v>-109584350000</v>
      </c>
      <c r="H282" s="91">
        <v>-109.58435</v>
      </c>
      <c r="I282" s="100" t="s">
        <v>2337</v>
      </c>
    </row>
    <row r="283" spans="1:9">
      <c r="A283" s="95" t="s">
        <v>2407</v>
      </c>
      <c r="B283" s="96" t="s">
        <v>2333</v>
      </c>
      <c r="C283" s="96" t="s">
        <v>410</v>
      </c>
      <c r="D283" s="96" t="s">
        <v>2775</v>
      </c>
      <c r="E283" s="96" t="s">
        <v>2776</v>
      </c>
      <c r="F283" s="96" t="s">
        <v>2777</v>
      </c>
      <c r="G283" s="88">
        <v>0</v>
      </c>
      <c r="H283" s="91">
        <v>0</v>
      </c>
      <c r="I283" s="100" t="s">
        <v>2337</v>
      </c>
    </row>
    <row r="284" spans="1:9">
      <c r="A284" s="95" t="s">
        <v>2407</v>
      </c>
      <c r="B284" s="96" t="s">
        <v>2333</v>
      </c>
      <c r="C284" s="96" t="s">
        <v>410</v>
      </c>
      <c r="D284" s="96" t="s">
        <v>2778</v>
      </c>
      <c r="E284" s="96" t="s">
        <v>2779</v>
      </c>
      <c r="F284" s="96" t="s">
        <v>1668</v>
      </c>
      <c r="G284" s="88">
        <v>391894132389</v>
      </c>
      <c r="H284" s="91">
        <v>391.89413238899999</v>
      </c>
      <c r="I284" s="100" t="s">
        <v>2337</v>
      </c>
    </row>
    <row r="285" spans="1:9">
      <c r="A285" s="95" t="s">
        <v>2407</v>
      </c>
      <c r="B285" s="96" t="s">
        <v>2333</v>
      </c>
      <c r="C285" s="96" t="s">
        <v>410</v>
      </c>
      <c r="D285" s="96" t="s">
        <v>2780</v>
      </c>
      <c r="E285" s="96" t="s">
        <v>2781</v>
      </c>
      <c r="F285" s="96" t="s">
        <v>1669</v>
      </c>
      <c r="G285" s="88">
        <v>335337929022</v>
      </c>
      <c r="H285" s="91">
        <v>335.33792902200003</v>
      </c>
      <c r="I285" s="100" t="s">
        <v>2337</v>
      </c>
    </row>
    <row r="286" spans="1:9">
      <c r="A286" s="95" t="s">
        <v>2407</v>
      </c>
      <c r="B286" s="96" t="s">
        <v>2333</v>
      </c>
      <c r="C286" s="96" t="s">
        <v>410</v>
      </c>
      <c r="D286" s="96" t="s">
        <v>2782</v>
      </c>
      <c r="E286" s="96" t="s">
        <v>2783</v>
      </c>
      <c r="F286" s="96" t="s">
        <v>1670</v>
      </c>
      <c r="G286" s="88">
        <v>1406664056957</v>
      </c>
      <c r="H286" s="91">
        <v>1406.664056957</v>
      </c>
      <c r="I286" s="100" t="s">
        <v>2337</v>
      </c>
    </row>
    <row r="287" spans="1:9">
      <c r="A287" s="95" t="s">
        <v>2407</v>
      </c>
      <c r="B287" s="96" t="s">
        <v>2333</v>
      </c>
      <c r="C287" s="96" t="s">
        <v>410</v>
      </c>
      <c r="D287" s="96" t="s">
        <v>2784</v>
      </c>
      <c r="E287" s="96" t="s">
        <v>2785</v>
      </c>
      <c r="F287" s="96" t="s">
        <v>1671</v>
      </c>
      <c r="G287" s="88">
        <v>0</v>
      </c>
      <c r="H287" s="91">
        <v>0</v>
      </c>
      <c r="I287" s="100" t="s">
        <v>2337</v>
      </c>
    </row>
    <row r="288" spans="1:9">
      <c r="A288" s="95" t="s">
        <v>2407</v>
      </c>
      <c r="B288" s="96" t="s">
        <v>2333</v>
      </c>
      <c r="C288" s="96" t="s">
        <v>410</v>
      </c>
      <c r="D288" s="96" t="s">
        <v>2786</v>
      </c>
      <c r="E288" s="96" t="s">
        <v>2787</v>
      </c>
      <c r="F288" s="96" t="s">
        <v>1672</v>
      </c>
      <c r="G288" s="88">
        <v>1742001985979</v>
      </c>
      <c r="H288" s="91">
        <v>1742.001985979</v>
      </c>
      <c r="I288" s="100" t="s">
        <v>2337</v>
      </c>
    </row>
    <row r="289" spans="1:9">
      <c r="A289" s="95" t="s">
        <v>2407</v>
      </c>
      <c r="B289" s="96" t="s">
        <v>2333</v>
      </c>
      <c r="C289" s="96" t="s">
        <v>410</v>
      </c>
      <c r="D289" s="96" t="s">
        <v>2788</v>
      </c>
      <c r="E289" s="96" t="s">
        <v>2789</v>
      </c>
      <c r="F289" s="96" t="s">
        <v>1949</v>
      </c>
      <c r="G289" s="88">
        <v>0</v>
      </c>
      <c r="H289" s="91">
        <v>0</v>
      </c>
      <c r="I289" s="100" t="s">
        <v>2337</v>
      </c>
    </row>
    <row r="290" spans="1:9">
      <c r="A290" s="95" t="s">
        <v>2407</v>
      </c>
      <c r="B290" s="96" t="s">
        <v>2333</v>
      </c>
      <c r="C290" s="96" t="s">
        <v>410</v>
      </c>
      <c r="D290" s="96" t="s">
        <v>1952</v>
      </c>
      <c r="E290" s="96" t="s">
        <v>2790</v>
      </c>
      <c r="F290" s="96" t="s">
        <v>1951</v>
      </c>
      <c r="G290" s="88">
        <v>0</v>
      </c>
      <c r="H290" s="91">
        <v>0</v>
      </c>
      <c r="I290" s="100" t="s">
        <v>2337</v>
      </c>
    </row>
    <row r="291" spans="1:9">
      <c r="A291" s="95" t="s">
        <v>2407</v>
      </c>
      <c r="B291" s="96" t="s">
        <v>2333</v>
      </c>
      <c r="C291" s="96" t="s">
        <v>410</v>
      </c>
      <c r="D291" s="96" t="s">
        <v>2791</v>
      </c>
      <c r="E291" s="96" t="s">
        <v>2792</v>
      </c>
      <c r="F291" s="96" t="s">
        <v>2793</v>
      </c>
      <c r="G291" s="88">
        <v>-772336660000</v>
      </c>
      <c r="H291" s="91">
        <v>-772.33666000000005</v>
      </c>
      <c r="I291" s="100" t="s">
        <v>2337</v>
      </c>
    </row>
    <row r="292" spans="1:9">
      <c r="A292" s="95" t="s">
        <v>2407</v>
      </c>
      <c r="B292" s="96" t="s">
        <v>2404</v>
      </c>
      <c r="C292" s="96" t="s">
        <v>410</v>
      </c>
      <c r="D292" s="96" t="s">
        <v>2697</v>
      </c>
      <c r="E292" s="96" t="s">
        <v>2698</v>
      </c>
      <c r="F292" s="96" t="s">
        <v>2699</v>
      </c>
      <c r="G292" s="88">
        <v>137106042159</v>
      </c>
      <c r="H292" s="91">
        <v>137.106042159</v>
      </c>
      <c r="I292" s="100" t="s">
        <v>2405</v>
      </c>
    </row>
    <row r="293" spans="1:9">
      <c r="A293" s="95" t="s">
        <v>2407</v>
      </c>
      <c r="B293" s="96" t="s">
        <v>2404</v>
      </c>
      <c r="C293" s="96" t="s">
        <v>410</v>
      </c>
      <c r="D293" s="96" t="s">
        <v>2700</v>
      </c>
      <c r="E293" s="96" t="s">
        <v>2701</v>
      </c>
      <c r="F293" s="96" t="s">
        <v>1659</v>
      </c>
      <c r="G293" s="88">
        <v>8653606469</v>
      </c>
      <c r="H293" s="91">
        <v>8.6536064689999996</v>
      </c>
      <c r="I293" s="100" t="s">
        <v>2405</v>
      </c>
    </row>
    <row r="294" spans="1:9">
      <c r="A294" s="95" t="s">
        <v>2407</v>
      </c>
      <c r="B294" s="96" t="s">
        <v>2404</v>
      </c>
      <c r="C294" s="96" t="s">
        <v>410</v>
      </c>
      <c r="D294" s="96" t="s">
        <v>2090</v>
      </c>
      <c r="E294" s="96" t="s">
        <v>2089</v>
      </c>
      <c r="F294" s="96" t="s">
        <v>2702</v>
      </c>
      <c r="G294" s="88">
        <v>-43244379453</v>
      </c>
      <c r="H294" s="91">
        <v>-43.244379453000001</v>
      </c>
      <c r="I294" s="100" t="s">
        <v>2405</v>
      </c>
    </row>
    <row r="295" spans="1:9">
      <c r="A295" s="95" t="s">
        <v>2407</v>
      </c>
      <c r="B295" s="96" t="s">
        <v>2404</v>
      </c>
      <c r="C295" s="96" t="s">
        <v>410</v>
      </c>
      <c r="D295" s="96" t="s">
        <v>2703</v>
      </c>
      <c r="E295" s="96" t="s">
        <v>2704</v>
      </c>
      <c r="F295" s="96" t="s">
        <v>2705</v>
      </c>
      <c r="G295" s="88">
        <v>0</v>
      </c>
      <c r="H295" s="91">
        <v>0</v>
      </c>
      <c r="I295" s="100" t="s">
        <v>2405</v>
      </c>
    </row>
    <row r="296" spans="1:9">
      <c r="A296" s="95" t="s">
        <v>2407</v>
      </c>
      <c r="B296" s="96" t="s">
        <v>2404</v>
      </c>
      <c r="C296" s="96" t="s">
        <v>410</v>
      </c>
      <c r="D296" s="96" t="s">
        <v>2706</v>
      </c>
      <c r="E296" s="96" t="s">
        <v>2707</v>
      </c>
      <c r="F296" s="96" t="s">
        <v>2708</v>
      </c>
      <c r="G296" s="88">
        <v>0</v>
      </c>
      <c r="H296" s="91">
        <v>0</v>
      </c>
      <c r="I296" s="100" t="s">
        <v>2405</v>
      </c>
    </row>
    <row r="297" spans="1:9">
      <c r="A297" s="95" t="s">
        <v>2407</v>
      </c>
      <c r="B297" s="96" t="s">
        <v>2404</v>
      </c>
      <c r="C297" s="96" t="s">
        <v>410</v>
      </c>
      <c r="D297" s="96" t="s">
        <v>2709</v>
      </c>
      <c r="E297" s="96" t="s">
        <v>2710</v>
      </c>
      <c r="F297" s="96" t="s">
        <v>2711</v>
      </c>
      <c r="G297" s="88">
        <v>-18798611441</v>
      </c>
      <c r="H297" s="91">
        <v>-18.798611440999998</v>
      </c>
      <c r="I297" s="100" t="s">
        <v>2405</v>
      </c>
    </row>
    <row r="298" spans="1:9">
      <c r="A298" s="95" t="s">
        <v>2407</v>
      </c>
      <c r="B298" s="96" t="s">
        <v>2404</v>
      </c>
      <c r="C298" s="96" t="s">
        <v>410</v>
      </c>
      <c r="D298" s="96" t="s">
        <v>2021</v>
      </c>
      <c r="E298" s="96" t="s">
        <v>2712</v>
      </c>
      <c r="F298" s="96" t="s">
        <v>2355</v>
      </c>
      <c r="G298" s="88">
        <v>27424302462</v>
      </c>
      <c r="H298" s="91">
        <v>27.424302462</v>
      </c>
      <c r="I298" s="100" t="s">
        <v>2405</v>
      </c>
    </row>
    <row r="299" spans="1:9">
      <c r="A299" s="95" t="s">
        <v>2407</v>
      </c>
      <c r="B299" s="96" t="s">
        <v>2404</v>
      </c>
      <c r="C299" s="96" t="s">
        <v>410</v>
      </c>
      <c r="D299" s="96" t="s">
        <v>2713</v>
      </c>
      <c r="E299" s="96" t="s">
        <v>2714</v>
      </c>
      <c r="F299" s="96" t="s">
        <v>2715</v>
      </c>
      <c r="G299" s="88">
        <v>0</v>
      </c>
      <c r="H299" s="91">
        <v>0</v>
      </c>
      <c r="I299" s="100" t="s">
        <v>2405</v>
      </c>
    </row>
    <row r="300" spans="1:9">
      <c r="A300" s="95" t="s">
        <v>2407</v>
      </c>
      <c r="B300" s="96" t="s">
        <v>2404</v>
      </c>
      <c r="C300" s="96" t="s">
        <v>410</v>
      </c>
      <c r="D300" s="96" t="s">
        <v>2716</v>
      </c>
      <c r="E300" s="96" t="s">
        <v>2717</v>
      </c>
      <c r="F300" s="96" t="s">
        <v>2718</v>
      </c>
      <c r="G300" s="88">
        <v>111140960196</v>
      </c>
      <c r="H300" s="91">
        <v>111.14096019599999</v>
      </c>
      <c r="I300" s="100" t="s">
        <v>2405</v>
      </c>
    </row>
    <row r="301" spans="1:9">
      <c r="A301" s="95" t="s">
        <v>2407</v>
      </c>
      <c r="B301" s="96" t="s">
        <v>2404</v>
      </c>
      <c r="C301" s="96" t="s">
        <v>410</v>
      </c>
      <c r="D301" s="96" t="s">
        <v>1956</v>
      </c>
      <c r="E301" s="96" t="s">
        <v>2719</v>
      </c>
      <c r="F301" s="96" t="s">
        <v>2720</v>
      </c>
      <c r="G301" s="88">
        <v>167540503901</v>
      </c>
      <c r="H301" s="91">
        <v>167.54050390099999</v>
      </c>
      <c r="I301" s="100" t="s">
        <v>2405</v>
      </c>
    </row>
    <row r="302" spans="1:9">
      <c r="A302" s="95" t="s">
        <v>2407</v>
      </c>
      <c r="B302" s="96" t="s">
        <v>2404</v>
      </c>
      <c r="C302" s="96" t="s">
        <v>410</v>
      </c>
      <c r="D302" s="96" t="s">
        <v>1958</v>
      </c>
      <c r="E302" s="96" t="s">
        <v>2721</v>
      </c>
      <c r="F302" s="96" t="s">
        <v>2722</v>
      </c>
      <c r="G302" s="88">
        <v>313197320058</v>
      </c>
      <c r="H302" s="91">
        <v>313.197320058</v>
      </c>
      <c r="I302" s="100" t="s">
        <v>2405</v>
      </c>
    </row>
    <row r="303" spans="1:9">
      <c r="A303" s="95" t="s">
        <v>2407</v>
      </c>
      <c r="B303" s="96" t="s">
        <v>2404</v>
      </c>
      <c r="C303" s="96" t="s">
        <v>410</v>
      </c>
      <c r="D303" s="96" t="s">
        <v>2723</v>
      </c>
      <c r="E303" s="96" t="s">
        <v>2724</v>
      </c>
      <c r="F303" s="96" t="s">
        <v>2725</v>
      </c>
      <c r="G303" s="88">
        <v>-912395622654</v>
      </c>
      <c r="H303" s="91">
        <v>-912.39562265400002</v>
      </c>
      <c r="I303" s="100" t="s">
        <v>2405</v>
      </c>
    </row>
    <row r="304" spans="1:9">
      <c r="A304" s="95" t="s">
        <v>2407</v>
      </c>
      <c r="B304" s="96" t="s">
        <v>2404</v>
      </c>
      <c r="C304" s="96" t="s">
        <v>410</v>
      </c>
      <c r="D304" s="96" t="s">
        <v>2726</v>
      </c>
      <c r="E304" s="96" t="s">
        <v>2727</v>
      </c>
      <c r="F304" s="96" t="s">
        <v>2728</v>
      </c>
      <c r="G304" s="88">
        <v>8986102560</v>
      </c>
      <c r="H304" s="91">
        <v>8.9861025600000008</v>
      </c>
      <c r="I304" s="100" t="s">
        <v>2405</v>
      </c>
    </row>
    <row r="305" spans="1:9">
      <c r="A305" s="95" t="s">
        <v>2407</v>
      </c>
      <c r="B305" s="96" t="s">
        <v>2404</v>
      </c>
      <c r="C305" s="96" t="s">
        <v>410</v>
      </c>
      <c r="D305" s="96" t="s">
        <v>2107</v>
      </c>
      <c r="E305" s="96" t="s">
        <v>2106</v>
      </c>
      <c r="F305" s="96" t="s">
        <v>2729</v>
      </c>
      <c r="G305" s="88">
        <v>-27074509823</v>
      </c>
      <c r="H305" s="91">
        <v>-27.074509823</v>
      </c>
      <c r="I305" s="100" t="s">
        <v>2405</v>
      </c>
    </row>
    <row r="306" spans="1:9">
      <c r="A306" s="95" t="s">
        <v>2407</v>
      </c>
      <c r="B306" s="96" t="s">
        <v>2404</v>
      </c>
      <c r="C306" s="96" t="s">
        <v>410</v>
      </c>
      <c r="D306" s="96" t="s">
        <v>109</v>
      </c>
      <c r="E306" s="96" t="s">
        <v>2730</v>
      </c>
      <c r="F306" s="96" t="s">
        <v>1661</v>
      </c>
      <c r="G306" s="88">
        <v>-46464467417</v>
      </c>
      <c r="H306" s="91">
        <v>-46.464467417000002</v>
      </c>
      <c r="I306" s="100" t="s">
        <v>2405</v>
      </c>
    </row>
    <row r="307" spans="1:9">
      <c r="A307" s="95" t="s">
        <v>2407</v>
      </c>
      <c r="B307" s="96" t="s">
        <v>2404</v>
      </c>
      <c r="C307" s="96" t="s">
        <v>410</v>
      </c>
      <c r="D307" s="96" t="s">
        <v>1966</v>
      </c>
      <c r="E307" s="96" t="s">
        <v>2731</v>
      </c>
      <c r="F307" s="96" t="s">
        <v>1965</v>
      </c>
      <c r="G307" s="88">
        <v>0</v>
      </c>
      <c r="H307" s="91">
        <v>0</v>
      </c>
      <c r="I307" s="100" t="s">
        <v>2405</v>
      </c>
    </row>
    <row r="308" spans="1:9">
      <c r="A308" s="95" t="s">
        <v>2407</v>
      </c>
      <c r="B308" s="96" t="s">
        <v>2404</v>
      </c>
      <c r="C308" s="96" t="s">
        <v>410</v>
      </c>
      <c r="D308" s="96" t="s">
        <v>2732</v>
      </c>
      <c r="E308" s="96" t="s">
        <v>2733</v>
      </c>
      <c r="F308" s="96" t="s">
        <v>1967</v>
      </c>
      <c r="G308" s="88">
        <v>0</v>
      </c>
      <c r="H308" s="91">
        <v>0</v>
      </c>
      <c r="I308" s="100" t="s">
        <v>2405</v>
      </c>
    </row>
    <row r="309" spans="1:9">
      <c r="A309" s="95" t="s">
        <v>2407</v>
      </c>
      <c r="B309" s="96" t="s">
        <v>2404</v>
      </c>
      <c r="C309" s="96" t="s">
        <v>410</v>
      </c>
      <c r="D309" s="96" t="s">
        <v>2734</v>
      </c>
      <c r="E309" s="96" t="s">
        <v>2735</v>
      </c>
      <c r="F309" s="96" t="s">
        <v>2736</v>
      </c>
      <c r="G309" s="88">
        <v>-385069713179</v>
      </c>
      <c r="H309" s="91">
        <v>-385.06971317900002</v>
      </c>
      <c r="I309" s="100" t="s">
        <v>2405</v>
      </c>
    </row>
    <row r="310" spans="1:9">
      <c r="A310" s="95" t="s">
        <v>2407</v>
      </c>
      <c r="B310" s="96" t="s">
        <v>2404</v>
      </c>
      <c r="C310" s="96" t="s">
        <v>410</v>
      </c>
      <c r="D310" s="96" t="s">
        <v>2737</v>
      </c>
      <c r="E310" s="96" t="s">
        <v>2738</v>
      </c>
      <c r="F310" s="96" t="s">
        <v>2739</v>
      </c>
      <c r="G310" s="88">
        <v>-125573095</v>
      </c>
      <c r="H310" s="91">
        <v>-0.125573095</v>
      </c>
      <c r="I310" s="100" t="s">
        <v>2405</v>
      </c>
    </row>
    <row r="311" spans="1:9">
      <c r="A311" s="95" t="s">
        <v>2407</v>
      </c>
      <c r="B311" s="96" t="s">
        <v>2404</v>
      </c>
      <c r="C311" s="96" t="s">
        <v>410</v>
      </c>
      <c r="D311" s="96" t="s">
        <v>2740</v>
      </c>
      <c r="E311" s="96" t="s">
        <v>2741</v>
      </c>
      <c r="F311" s="96" t="s">
        <v>2742</v>
      </c>
      <c r="G311" s="88">
        <v>0</v>
      </c>
      <c r="H311" s="91">
        <v>0</v>
      </c>
      <c r="I311" s="100" t="s">
        <v>2405</v>
      </c>
    </row>
    <row r="312" spans="1:9">
      <c r="A312" s="95" t="s">
        <v>2407</v>
      </c>
      <c r="B312" s="96" t="s">
        <v>2404</v>
      </c>
      <c r="C312" s="96" t="s">
        <v>410</v>
      </c>
      <c r="D312" s="96" t="s">
        <v>2743</v>
      </c>
      <c r="E312" s="96" t="s">
        <v>2744</v>
      </c>
      <c r="F312" s="96" t="s">
        <v>2745</v>
      </c>
      <c r="G312" s="88">
        <v>-23772903667</v>
      </c>
      <c r="H312" s="91">
        <v>-23.772903667000001</v>
      </c>
      <c r="I312" s="100" t="s">
        <v>2405</v>
      </c>
    </row>
    <row r="313" spans="1:9">
      <c r="A313" s="95" t="s">
        <v>2407</v>
      </c>
      <c r="B313" s="96" t="s">
        <v>2404</v>
      </c>
      <c r="C313" s="96" t="s">
        <v>410</v>
      </c>
      <c r="D313" s="96" t="s">
        <v>2746</v>
      </c>
      <c r="E313" s="96" t="s">
        <v>2747</v>
      </c>
      <c r="F313" s="96" t="s">
        <v>2748</v>
      </c>
      <c r="G313" s="88">
        <v>8500000000</v>
      </c>
      <c r="H313" s="91">
        <v>8.5</v>
      </c>
      <c r="I313" s="100" t="s">
        <v>2405</v>
      </c>
    </row>
    <row r="314" spans="1:9">
      <c r="A314" s="95" t="s">
        <v>2407</v>
      </c>
      <c r="B314" s="96" t="s">
        <v>2404</v>
      </c>
      <c r="C314" s="96" t="s">
        <v>410</v>
      </c>
      <c r="D314" s="96" t="s">
        <v>1816</v>
      </c>
      <c r="E314" s="96" t="s">
        <v>2749</v>
      </c>
      <c r="F314" s="96" t="s">
        <v>2750</v>
      </c>
      <c r="G314" s="88">
        <v>-32800000000</v>
      </c>
      <c r="H314" s="91">
        <v>-32.799999999999997</v>
      </c>
      <c r="I314" s="100" t="s">
        <v>2405</v>
      </c>
    </row>
    <row r="315" spans="1:9">
      <c r="A315" s="95" t="s">
        <v>2407</v>
      </c>
      <c r="B315" s="96" t="s">
        <v>2404</v>
      </c>
      <c r="C315" s="96" t="s">
        <v>410</v>
      </c>
      <c r="D315" s="96" t="s">
        <v>2751</v>
      </c>
      <c r="E315" s="96" t="s">
        <v>2752</v>
      </c>
      <c r="F315" s="96" t="s">
        <v>2753</v>
      </c>
      <c r="G315" s="88">
        <v>90254837165</v>
      </c>
      <c r="H315" s="91">
        <v>90.254837164999998</v>
      </c>
      <c r="I315" s="100" t="s">
        <v>2405</v>
      </c>
    </row>
    <row r="316" spans="1:9">
      <c r="A316" s="95" t="s">
        <v>2407</v>
      </c>
      <c r="B316" s="96" t="s">
        <v>2404</v>
      </c>
      <c r="C316" s="96" t="s">
        <v>410</v>
      </c>
      <c r="D316" s="96" t="s">
        <v>2754</v>
      </c>
      <c r="E316" s="96" t="s">
        <v>2755</v>
      </c>
      <c r="F316" s="96" t="s">
        <v>2756</v>
      </c>
      <c r="G316" s="88">
        <v>18712954122</v>
      </c>
      <c r="H316" s="91">
        <v>18.712954121999999</v>
      </c>
      <c r="I316" s="100" t="s">
        <v>2405</v>
      </c>
    </row>
    <row r="317" spans="1:9">
      <c r="A317" s="95" t="s">
        <v>2407</v>
      </c>
      <c r="B317" s="96" t="s">
        <v>2404</v>
      </c>
      <c r="C317" s="96" t="s">
        <v>410</v>
      </c>
      <c r="D317" s="96" t="s">
        <v>2757</v>
      </c>
      <c r="E317" s="96" t="s">
        <v>2758</v>
      </c>
      <c r="F317" s="96" t="s">
        <v>1664</v>
      </c>
      <c r="G317" s="88">
        <v>60769314525</v>
      </c>
      <c r="H317" s="91">
        <v>60.769314524999999</v>
      </c>
      <c r="I317" s="100" t="s">
        <v>2405</v>
      </c>
    </row>
    <row r="318" spans="1:9">
      <c r="A318" s="95" t="s">
        <v>2407</v>
      </c>
      <c r="B318" s="96" t="s">
        <v>2404</v>
      </c>
      <c r="C318" s="96" t="s">
        <v>410</v>
      </c>
      <c r="D318" s="96" t="s">
        <v>2759</v>
      </c>
      <c r="E318" s="96" t="s">
        <v>2760</v>
      </c>
      <c r="F318" s="96" t="s">
        <v>2761</v>
      </c>
      <c r="G318" s="88">
        <v>0</v>
      </c>
      <c r="H318" s="91">
        <v>0</v>
      </c>
      <c r="I318" s="100" t="s">
        <v>2405</v>
      </c>
    </row>
    <row r="319" spans="1:9">
      <c r="A319" s="95" t="s">
        <v>2407</v>
      </c>
      <c r="B319" s="96" t="s">
        <v>2404</v>
      </c>
      <c r="C319" s="96" t="s">
        <v>410</v>
      </c>
      <c r="D319" s="96" t="s">
        <v>2762</v>
      </c>
      <c r="E319" s="96" t="s">
        <v>2763</v>
      </c>
      <c r="F319" s="96" t="s">
        <v>2764</v>
      </c>
      <c r="G319" s="88">
        <v>0</v>
      </c>
      <c r="H319" s="91">
        <v>0</v>
      </c>
      <c r="I319" s="100" t="s">
        <v>2405</v>
      </c>
    </row>
    <row r="320" spans="1:9">
      <c r="A320" s="95" t="s">
        <v>2407</v>
      </c>
      <c r="B320" s="96" t="s">
        <v>2404</v>
      </c>
      <c r="C320" s="96" t="s">
        <v>410</v>
      </c>
      <c r="D320" s="96" t="s">
        <v>2765</v>
      </c>
      <c r="E320" s="96" t="s">
        <v>2766</v>
      </c>
      <c r="F320" s="96" t="s">
        <v>2767</v>
      </c>
      <c r="G320" s="88">
        <v>3378565424989</v>
      </c>
      <c r="H320" s="91">
        <v>3378.5654249889999</v>
      </c>
      <c r="I320" s="100" t="s">
        <v>2405</v>
      </c>
    </row>
    <row r="321" spans="1:9">
      <c r="A321" s="95" t="s">
        <v>2407</v>
      </c>
      <c r="B321" s="96" t="s">
        <v>2404</v>
      </c>
      <c r="C321" s="96" t="s">
        <v>410</v>
      </c>
      <c r="D321" s="96" t="s">
        <v>2768</v>
      </c>
      <c r="E321" s="96" t="s">
        <v>2769</v>
      </c>
      <c r="F321" s="96" t="s">
        <v>2770</v>
      </c>
      <c r="G321" s="88">
        <v>-3166292778186</v>
      </c>
      <c r="H321" s="91">
        <v>-3166.2927781859999</v>
      </c>
      <c r="I321" s="100" t="s">
        <v>2405</v>
      </c>
    </row>
    <row r="322" spans="1:9">
      <c r="A322" s="95" t="s">
        <v>2407</v>
      </c>
      <c r="B322" s="96" t="s">
        <v>2404</v>
      </c>
      <c r="C322" s="96" t="s">
        <v>410</v>
      </c>
      <c r="D322" s="96" t="s">
        <v>2771</v>
      </c>
      <c r="E322" s="96" t="s">
        <v>2772</v>
      </c>
      <c r="F322" s="96" t="s">
        <v>2773</v>
      </c>
      <c r="G322" s="88">
        <v>0</v>
      </c>
      <c r="H322" s="91">
        <v>0</v>
      </c>
      <c r="I322" s="100" t="s">
        <v>2405</v>
      </c>
    </row>
    <row r="323" spans="1:9">
      <c r="A323" s="95" t="s">
        <v>2407</v>
      </c>
      <c r="B323" s="96" t="s">
        <v>2404</v>
      </c>
      <c r="C323" s="96" t="s">
        <v>410</v>
      </c>
      <c r="D323" s="96" t="s">
        <v>2132</v>
      </c>
      <c r="E323" s="96" t="s">
        <v>2131</v>
      </c>
      <c r="F323" s="96" t="s">
        <v>2774</v>
      </c>
      <c r="G323" s="88">
        <v>0</v>
      </c>
      <c r="H323" s="91">
        <v>0</v>
      </c>
      <c r="I323" s="100" t="s">
        <v>2405</v>
      </c>
    </row>
    <row r="324" spans="1:9">
      <c r="A324" s="95" t="s">
        <v>2407</v>
      </c>
      <c r="B324" s="96" t="s">
        <v>2404</v>
      </c>
      <c r="C324" s="96" t="s">
        <v>410</v>
      </c>
      <c r="D324" s="96" t="s">
        <v>2775</v>
      </c>
      <c r="E324" s="96" t="s">
        <v>2776</v>
      </c>
      <c r="F324" s="96" t="s">
        <v>2777</v>
      </c>
      <c r="G324" s="88">
        <v>0</v>
      </c>
      <c r="H324" s="91">
        <v>0</v>
      </c>
      <c r="I324" s="100" t="s">
        <v>2405</v>
      </c>
    </row>
    <row r="325" spans="1:9">
      <c r="A325" s="95" t="s">
        <v>2407</v>
      </c>
      <c r="B325" s="96" t="s">
        <v>2404</v>
      </c>
      <c r="C325" s="96" t="s">
        <v>410</v>
      </c>
      <c r="D325" s="96" t="s">
        <v>2778</v>
      </c>
      <c r="E325" s="96" t="s">
        <v>2779</v>
      </c>
      <c r="F325" s="96" t="s">
        <v>1668</v>
      </c>
      <c r="G325" s="88">
        <v>212272646803</v>
      </c>
      <c r="H325" s="91">
        <v>212.27264680299999</v>
      </c>
      <c r="I325" s="100" t="s">
        <v>2405</v>
      </c>
    </row>
    <row r="326" spans="1:9">
      <c r="A326" s="95" t="s">
        <v>2407</v>
      </c>
      <c r="B326" s="96" t="s">
        <v>2404</v>
      </c>
      <c r="C326" s="96" t="s">
        <v>410</v>
      </c>
      <c r="D326" s="96" t="s">
        <v>2780</v>
      </c>
      <c r="E326" s="96" t="s">
        <v>2781</v>
      </c>
      <c r="F326" s="96" t="s">
        <v>1669</v>
      </c>
      <c r="G326" s="88">
        <v>-112027751851</v>
      </c>
      <c r="H326" s="91">
        <v>-112.027751851</v>
      </c>
      <c r="I326" s="100" t="s">
        <v>2405</v>
      </c>
    </row>
    <row r="327" spans="1:9">
      <c r="A327" s="95" t="s">
        <v>2407</v>
      </c>
      <c r="B327" s="96" t="s">
        <v>2404</v>
      </c>
      <c r="C327" s="96" t="s">
        <v>410</v>
      </c>
      <c r="D327" s="96" t="s">
        <v>2782</v>
      </c>
      <c r="E327" s="96" t="s">
        <v>2783</v>
      </c>
      <c r="F327" s="96" t="s">
        <v>1670</v>
      </c>
      <c r="G327" s="88">
        <v>1406664056957</v>
      </c>
      <c r="H327" s="91">
        <v>1406.664056957</v>
      </c>
      <c r="I327" s="100" t="s">
        <v>2405</v>
      </c>
    </row>
    <row r="328" spans="1:9">
      <c r="A328" s="95" t="s">
        <v>2407</v>
      </c>
      <c r="B328" s="96" t="s">
        <v>2404</v>
      </c>
      <c r="C328" s="96" t="s">
        <v>410</v>
      </c>
      <c r="D328" s="96" t="s">
        <v>2784</v>
      </c>
      <c r="E328" s="96" t="s">
        <v>2785</v>
      </c>
      <c r="F328" s="96" t="s">
        <v>1671</v>
      </c>
      <c r="G328" s="88">
        <v>0</v>
      </c>
      <c r="H328" s="91">
        <v>0</v>
      </c>
      <c r="I328" s="100" t="s">
        <v>2405</v>
      </c>
    </row>
    <row r="329" spans="1:9">
      <c r="A329" s="95" t="s">
        <v>2407</v>
      </c>
      <c r="B329" s="96" t="s">
        <v>2404</v>
      </c>
      <c r="C329" s="96" t="s">
        <v>410</v>
      </c>
      <c r="D329" s="96" t="s">
        <v>2786</v>
      </c>
      <c r="E329" s="96" t="s">
        <v>2787</v>
      </c>
      <c r="F329" s="96" t="s">
        <v>1672</v>
      </c>
      <c r="G329" s="88">
        <v>1294636305106</v>
      </c>
      <c r="H329" s="91">
        <v>1294.636305106</v>
      </c>
      <c r="I329" s="100" t="s">
        <v>2405</v>
      </c>
    </row>
    <row r="330" spans="1:9">
      <c r="A330" s="95" t="s">
        <v>2407</v>
      </c>
      <c r="B330" s="96" t="s">
        <v>2404</v>
      </c>
      <c r="C330" s="96" t="s">
        <v>410</v>
      </c>
      <c r="D330" s="96" t="s">
        <v>2788</v>
      </c>
      <c r="E330" s="96" t="s">
        <v>2789</v>
      </c>
      <c r="F330" s="96" t="s">
        <v>1949</v>
      </c>
      <c r="G330" s="88">
        <v>0</v>
      </c>
      <c r="H330" s="91">
        <v>0</v>
      </c>
      <c r="I330" s="100" t="s">
        <v>2405</v>
      </c>
    </row>
    <row r="331" spans="1:9">
      <c r="A331" s="95" t="s">
        <v>2407</v>
      </c>
      <c r="B331" s="96" t="s">
        <v>2404</v>
      </c>
      <c r="C331" s="96" t="s">
        <v>410</v>
      </c>
      <c r="D331" s="96" t="s">
        <v>1952</v>
      </c>
      <c r="E331" s="96" t="s">
        <v>2790</v>
      </c>
      <c r="F331" s="96" t="s">
        <v>1951</v>
      </c>
      <c r="G331" s="88">
        <v>0</v>
      </c>
      <c r="H331" s="91">
        <v>0</v>
      </c>
      <c r="I331" s="100" t="s">
        <v>2405</v>
      </c>
    </row>
    <row r="332" spans="1:9">
      <c r="A332" s="95" t="s">
        <v>2407</v>
      </c>
      <c r="B332" s="96" t="s">
        <v>2404</v>
      </c>
      <c r="C332" s="96" t="s">
        <v>410</v>
      </c>
      <c r="D332" s="96" t="s">
        <v>2791</v>
      </c>
      <c r="E332" s="96" t="s">
        <v>2792</v>
      </c>
      <c r="F332" s="96" t="s">
        <v>2793</v>
      </c>
      <c r="G332" s="88">
        <v>0</v>
      </c>
      <c r="H332" s="91">
        <v>0</v>
      </c>
      <c r="I332" s="100" t="s">
        <v>2405</v>
      </c>
    </row>
    <row r="333" spans="1:9">
      <c r="A333" s="95" t="s">
        <v>2407</v>
      </c>
      <c r="B333" s="96" t="s">
        <v>1034</v>
      </c>
      <c r="C333" s="96" t="s">
        <v>410</v>
      </c>
      <c r="D333" s="96" t="s">
        <v>2697</v>
      </c>
      <c r="E333" s="96" t="s">
        <v>2698</v>
      </c>
      <c r="F333" s="96" t="s">
        <v>2699</v>
      </c>
      <c r="G333" s="88">
        <v>256741580568</v>
      </c>
      <c r="H333" s="91">
        <v>256.74158056800002</v>
      </c>
      <c r="I333" s="100" t="s">
        <v>2405</v>
      </c>
    </row>
    <row r="334" spans="1:9">
      <c r="A334" s="95" t="s">
        <v>2407</v>
      </c>
      <c r="B334" s="96" t="s">
        <v>1034</v>
      </c>
      <c r="C334" s="96" t="s">
        <v>410</v>
      </c>
      <c r="D334" s="96" t="s">
        <v>2700</v>
      </c>
      <c r="E334" s="96" t="s">
        <v>2701</v>
      </c>
      <c r="F334" s="96" t="s">
        <v>1659</v>
      </c>
      <c r="G334" s="88">
        <v>11597258644</v>
      </c>
      <c r="H334" s="91">
        <v>11.597258644</v>
      </c>
      <c r="I334" s="100" t="s">
        <v>2405</v>
      </c>
    </row>
    <row r="335" spans="1:9">
      <c r="A335" s="95" t="s">
        <v>2407</v>
      </c>
      <c r="B335" s="96" t="s">
        <v>1034</v>
      </c>
      <c r="C335" s="96" t="s">
        <v>410</v>
      </c>
      <c r="D335" s="96" t="s">
        <v>2090</v>
      </c>
      <c r="E335" s="96" t="s">
        <v>2089</v>
      </c>
      <c r="F335" s="96" t="s">
        <v>2702</v>
      </c>
      <c r="G335" s="88">
        <v>-4604425997</v>
      </c>
      <c r="H335" s="91">
        <v>-4.6044259969999999</v>
      </c>
      <c r="I335" s="100" t="s">
        <v>2405</v>
      </c>
    </row>
    <row r="336" spans="1:9">
      <c r="A336" s="95" t="s">
        <v>2407</v>
      </c>
      <c r="B336" s="96" t="s">
        <v>1034</v>
      </c>
      <c r="C336" s="96" t="s">
        <v>410</v>
      </c>
      <c r="D336" s="96" t="s">
        <v>2703</v>
      </c>
      <c r="E336" s="96" t="s">
        <v>2704</v>
      </c>
      <c r="F336" s="96" t="s">
        <v>2705</v>
      </c>
      <c r="G336" s="88">
        <v>0</v>
      </c>
      <c r="H336" s="91">
        <v>0</v>
      </c>
      <c r="I336" s="100" t="s">
        <v>2405</v>
      </c>
    </row>
    <row r="337" spans="1:9">
      <c r="A337" s="95" t="s">
        <v>2407</v>
      </c>
      <c r="B337" s="96" t="s">
        <v>1034</v>
      </c>
      <c r="C337" s="96" t="s">
        <v>410</v>
      </c>
      <c r="D337" s="96" t="s">
        <v>2706</v>
      </c>
      <c r="E337" s="96" t="s">
        <v>2707</v>
      </c>
      <c r="F337" s="96" t="s">
        <v>2708</v>
      </c>
      <c r="G337" s="88">
        <v>0</v>
      </c>
      <c r="H337" s="91">
        <v>0</v>
      </c>
      <c r="I337" s="100" t="s">
        <v>2405</v>
      </c>
    </row>
    <row r="338" spans="1:9">
      <c r="A338" s="95" t="s">
        <v>2407</v>
      </c>
      <c r="B338" s="96" t="s">
        <v>1034</v>
      </c>
      <c r="C338" s="96" t="s">
        <v>410</v>
      </c>
      <c r="D338" s="96" t="s">
        <v>2709</v>
      </c>
      <c r="E338" s="96" t="s">
        <v>2710</v>
      </c>
      <c r="F338" s="96" t="s">
        <v>2711</v>
      </c>
      <c r="G338" s="88">
        <v>-21777539143</v>
      </c>
      <c r="H338" s="91">
        <v>-21.777539142999998</v>
      </c>
      <c r="I338" s="100" t="s">
        <v>2405</v>
      </c>
    </row>
    <row r="339" spans="1:9">
      <c r="A339" s="95" t="s">
        <v>2407</v>
      </c>
      <c r="B339" s="96" t="s">
        <v>1034</v>
      </c>
      <c r="C339" s="96" t="s">
        <v>410</v>
      </c>
      <c r="D339" s="96" t="s">
        <v>2021</v>
      </c>
      <c r="E339" s="96" t="s">
        <v>2712</v>
      </c>
      <c r="F339" s="96" t="s">
        <v>2355</v>
      </c>
      <c r="G339" s="88">
        <v>49909623855</v>
      </c>
      <c r="H339" s="91">
        <v>49.909623855</v>
      </c>
      <c r="I339" s="100" t="s">
        <v>2405</v>
      </c>
    </row>
    <row r="340" spans="1:9">
      <c r="A340" s="95" t="s">
        <v>2407</v>
      </c>
      <c r="B340" s="96" t="s">
        <v>1034</v>
      </c>
      <c r="C340" s="96" t="s">
        <v>410</v>
      </c>
      <c r="D340" s="96" t="s">
        <v>2713</v>
      </c>
      <c r="E340" s="96" t="s">
        <v>2714</v>
      </c>
      <c r="F340" s="96" t="s">
        <v>2715</v>
      </c>
      <c r="G340" s="88">
        <v>0</v>
      </c>
      <c r="H340" s="91">
        <v>0</v>
      </c>
      <c r="I340" s="100" t="s">
        <v>2405</v>
      </c>
    </row>
    <row r="341" spans="1:9">
      <c r="A341" s="95" t="s">
        <v>2407</v>
      </c>
      <c r="B341" s="96" t="s">
        <v>1034</v>
      </c>
      <c r="C341" s="96" t="s">
        <v>410</v>
      </c>
      <c r="D341" s="96" t="s">
        <v>2716</v>
      </c>
      <c r="E341" s="96" t="s">
        <v>2717</v>
      </c>
      <c r="F341" s="96" t="s">
        <v>2718</v>
      </c>
      <c r="G341" s="88">
        <v>291866497927</v>
      </c>
      <c r="H341" s="91">
        <v>291.86649792700001</v>
      </c>
      <c r="I341" s="100" t="s">
        <v>2405</v>
      </c>
    </row>
    <row r="342" spans="1:9">
      <c r="A342" s="95" t="s">
        <v>2407</v>
      </c>
      <c r="B342" s="96" t="s">
        <v>1034</v>
      </c>
      <c r="C342" s="96" t="s">
        <v>410</v>
      </c>
      <c r="D342" s="96" t="s">
        <v>1956</v>
      </c>
      <c r="E342" s="96" t="s">
        <v>2719</v>
      </c>
      <c r="F342" s="96" t="s">
        <v>2720</v>
      </c>
      <c r="G342" s="88">
        <v>-1243071675050</v>
      </c>
      <c r="H342" s="91">
        <v>-1243.0716750500001</v>
      </c>
      <c r="I342" s="100" t="s">
        <v>2405</v>
      </c>
    </row>
    <row r="343" spans="1:9">
      <c r="A343" s="95" t="s">
        <v>2407</v>
      </c>
      <c r="B343" s="96" t="s">
        <v>1034</v>
      </c>
      <c r="C343" s="96" t="s">
        <v>410</v>
      </c>
      <c r="D343" s="96" t="s">
        <v>1958</v>
      </c>
      <c r="E343" s="96" t="s">
        <v>2721</v>
      </c>
      <c r="F343" s="96" t="s">
        <v>2722</v>
      </c>
      <c r="G343" s="88">
        <v>1755038218836</v>
      </c>
      <c r="H343" s="91">
        <v>1755.0382188359999</v>
      </c>
      <c r="I343" s="100" t="s">
        <v>2405</v>
      </c>
    </row>
    <row r="344" spans="1:9">
      <c r="A344" s="95" t="s">
        <v>2407</v>
      </c>
      <c r="B344" s="96" t="s">
        <v>1034</v>
      </c>
      <c r="C344" s="96" t="s">
        <v>410</v>
      </c>
      <c r="D344" s="96" t="s">
        <v>2723</v>
      </c>
      <c r="E344" s="96" t="s">
        <v>2724</v>
      </c>
      <c r="F344" s="96" t="s">
        <v>2725</v>
      </c>
      <c r="G344" s="88">
        <v>-1344655475526</v>
      </c>
      <c r="H344" s="91">
        <v>-1344.6554755259999</v>
      </c>
      <c r="I344" s="100" t="s">
        <v>2405</v>
      </c>
    </row>
    <row r="345" spans="1:9">
      <c r="A345" s="95" t="s">
        <v>2407</v>
      </c>
      <c r="B345" s="96" t="s">
        <v>1034</v>
      </c>
      <c r="C345" s="96" t="s">
        <v>410</v>
      </c>
      <c r="D345" s="96" t="s">
        <v>2726</v>
      </c>
      <c r="E345" s="96" t="s">
        <v>2727</v>
      </c>
      <c r="F345" s="96" t="s">
        <v>2728</v>
      </c>
      <c r="G345" s="88">
        <v>7090566296</v>
      </c>
      <c r="H345" s="91">
        <v>7.0905662960000004</v>
      </c>
      <c r="I345" s="100" t="s">
        <v>2405</v>
      </c>
    </row>
    <row r="346" spans="1:9">
      <c r="A346" s="95" t="s">
        <v>2407</v>
      </c>
      <c r="B346" s="96" t="s">
        <v>1034</v>
      </c>
      <c r="C346" s="96" t="s">
        <v>410</v>
      </c>
      <c r="D346" s="96" t="s">
        <v>2107</v>
      </c>
      <c r="E346" s="96" t="s">
        <v>2106</v>
      </c>
      <c r="F346" s="96" t="s">
        <v>2729</v>
      </c>
      <c r="G346" s="88">
        <v>-45580047635</v>
      </c>
      <c r="H346" s="91">
        <v>-45.580047635</v>
      </c>
      <c r="I346" s="100" t="s">
        <v>2405</v>
      </c>
    </row>
    <row r="347" spans="1:9">
      <c r="A347" s="95" t="s">
        <v>2407</v>
      </c>
      <c r="B347" s="96" t="s">
        <v>1034</v>
      </c>
      <c r="C347" s="96" t="s">
        <v>410</v>
      </c>
      <c r="D347" s="96" t="s">
        <v>109</v>
      </c>
      <c r="E347" s="96" t="s">
        <v>2730</v>
      </c>
      <c r="F347" s="96" t="s">
        <v>1661</v>
      </c>
      <c r="G347" s="88">
        <v>-45157596939</v>
      </c>
      <c r="H347" s="91">
        <v>-45.157596939000001</v>
      </c>
      <c r="I347" s="100" t="s">
        <v>2405</v>
      </c>
    </row>
    <row r="348" spans="1:9">
      <c r="A348" s="95" t="s">
        <v>2407</v>
      </c>
      <c r="B348" s="96" t="s">
        <v>1034</v>
      </c>
      <c r="C348" s="96" t="s">
        <v>410</v>
      </c>
      <c r="D348" s="96" t="s">
        <v>1966</v>
      </c>
      <c r="E348" s="96" t="s">
        <v>2731</v>
      </c>
      <c r="F348" s="96" t="s">
        <v>1965</v>
      </c>
      <c r="G348" s="88">
        <v>0</v>
      </c>
      <c r="H348" s="91">
        <v>0</v>
      </c>
      <c r="I348" s="100" t="s">
        <v>2405</v>
      </c>
    </row>
    <row r="349" spans="1:9">
      <c r="A349" s="95" t="s">
        <v>2407</v>
      </c>
      <c r="B349" s="96" t="s">
        <v>1034</v>
      </c>
      <c r="C349" s="96" t="s">
        <v>410</v>
      </c>
      <c r="D349" s="96" t="s">
        <v>2732</v>
      </c>
      <c r="E349" s="96" t="s">
        <v>2733</v>
      </c>
      <c r="F349" s="96" t="s">
        <v>1967</v>
      </c>
      <c r="G349" s="88">
        <v>0</v>
      </c>
      <c r="H349" s="91">
        <v>0</v>
      </c>
      <c r="I349" s="100" t="s">
        <v>2405</v>
      </c>
    </row>
    <row r="350" spans="1:9">
      <c r="A350" s="95" t="s">
        <v>2407</v>
      </c>
      <c r="B350" s="96" t="s">
        <v>1034</v>
      </c>
      <c r="C350" s="96" t="s">
        <v>410</v>
      </c>
      <c r="D350" s="96" t="s">
        <v>2734</v>
      </c>
      <c r="E350" s="96" t="s">
        <v>2735</v>
      </c>
      <c r="F350" s="96" t="s">
        <v>2736</v>
      </c>
      <c r="G350" s="88">
        <v>-641619385594</v>
      </c>
      <c r="H350" s="91">
        <v>-641.61938559400005</v>
      </c>
      <c r="I350" s="100" t="s">
        <v>2405</v>
      </c>
    </row>
    <row r="351" spans="1:9">
      <c r="A351" s="95" t="s">
        <v>2407</v>
      </c>
      <c r="B351" s="96" t="s">
        <v>1034</v>
      </c>
      <c r="C351" s="96" t="s">
        <v>410</v>
      </c>
      <c r="D351" s="96" t="s">
        <v>2737</v>
      </c>
      <c r="E351" s="96" t="s">
        <v>2738</v>
      </c>
      <c r="F351" s="96" t="s">
        <v>2739</v>
      </c>
      <c r="G351" s="88">
        <v>-1874347007</v>
      </c>
      <c r="H351" s="91">
        <v>-1.8743470069999999</v>
      </c>
      <c r="I351" s="100" t="s">
        <v>2405</v>
      </c>
    </row>
    <row r="352" spans="1:9">
      <c r="A352" s="95" t="s">
        <v>2407</v>
      </c>
      <c r="B352" s="96" t="s">
        <v>1034</v>
      </c>
      <c r="C352" s="96" t="s">
        <v>410</v>
      </c>
      <c r="D352" s="96" t="s">
        <v>2740</v>
      </c>
      <c r="E352" s="96" t="s">
        <v>2741</v>
      </c>
      <c r="F352" s="96" t="s">
        <v>2742</v>
      </c>
      <c r="G352" s="88">
        <v>0</v>
      </c>
      <c r="H352" s="91">
        <v>0</v>
      </c>
      <c r="I352" s="100" t="s">
        <v>2405</v>
      </c>
    </row>
    <row r="353" spans="1:9">
      <c r="A353" s="95" t="s">
        <v>2407</v>
      </c>
      <c r="B353" s="96" t="s">
        <v>1034</v>
      </c>
      <c r="C353" s="96" t="s">
        <v>410</v>
      </c>
      <c r="D353" s="96" t="s">
        <v>2743</v>
      </c>
      <c r="E353" s="96" t="s">
        <v>2744</v>
      </c>
      <c r="F353" s="96" t="s">
        <v>2745</v>
      </c>
      <c r="G353" s="88">
        <v>-36074166667</v>
      </c>
      <c r="H353" s="91">
        <v>-36.074166667</v>
      </c>
      <c r="I353" s="100" t="s">
        <v>2405</v>
      </c>
    </row>
    <row r="354" spans="1:9">
      <c r="A354" s="95" t="s">
        <v>2407</v>
      </c>
      <c r="B354" s="96" t="s">
        <v>1034</v>
      </c>
      <c r="C354" s="96" t="s">
        <v>410</v>
      </c>
      <c r="D354" s="96" t="s">
        <v>2746</v>
      </c>
      <c r="E354" s="96" t="s">
        <v>2747</v>
      </c>
      <c r="F354" s="96" t="s">
        <v>2748</v>
      </c>
      <c r="G354" s="88">
        <v>7025833333</v>
      </c>
      <c r="H354" s="91">
        <v>7.0258333329999996</v>
      </c>
      <c r="I354" s="100" t="s">
        <v>2405</v>
      </c>
    </row>
    <row r="355" spans="1:9">
      <c r="A355" s="95" t="s">
        <v>2407</v>
      </c>
      <c r="B355" s="96" t="s">
        <v>1034</v>
      </c>
      <c r="C355" s="96" t="s">
        <v>410</v>
      </c>
      <c r="D355" s="96" t="s">
        <v>1816</v>
      </c>
      <c r="E355" s="96" t="s">
        <v>2749</v>
      </c>
      <c r="F355" s="96" t="s">
        <v>2750</v>
      </c>
      <c r="G355" s="88">
        <v>0</v>
      </c>
      <c r="H355" s="91">
        <v>0</v>
      </c>
      <c r="I355" s="100" t="s">
        <v>2405</v>
      </c>
    </row>
    <row r="356" spans="1:9">
      <c r="A356" s="95" t="s">
        <v>2407</v>
      </c>
      <c r="B356" s="96" t="s">
        <v>1034</v>
      </c>
      <c r="C356" s="96" t="s">
        <v>410</v>
      </c>
      <c r="D356" s="96" t="s">
        <v>2751</v>
      </c>
      <c r="E356" s="96" t="s">
        <v>2752</v>
      </c>
      <c r="F356" s="96" t="s">
        <v>2753</v>
      </c>
      <c r="G356" s="88">
        <v>0</v>
      </c>
      <c r="H356" s="91">
        <v>0</v>
      </c>
      <c r="I356" s="100" t="s">
        <v>2405</v>
      </c>
    </row>
    <row r="357" spans="1:9">
      <c r="A357" s="95" t="s">
        <v>2407</v>
      </c>
      <c r="B357" s="96" t="s">
        <v>1034</v>
      </c>
      <c r="C357" s="96" t="s">
        <v>410</v>
      </c>
      <c r="D357" s="96" t="s">
        <v>2754</v>
      </c>
      <c r="E357" s="96" t="s">
        <v>2755</v>
      </c>
      <c r="F357" s="96" t="s">
        <v>2756</v>
      </c>
      <c r="G357" s="88">
        <v>29420048887</v>
      </c>
      <c r="H357" s="91">
        <v>29.420048887</v>
      </c>
      <c r="I357" s="100" t="s">
        <v>2405</v>
      </c>
    </row>
    <row r="358" spans="1:9">
      <c r="A358" s="95" t="s">
        <v>2407</v>
      </c>
      <c r="B358" s="96" t="s">
        <v>1034</v>
      </c>
      <c r="C358" s="96" t="s">
        <v>410</v>
      </c>
      <c r="D358" s="96" t="s">
        <v>2757</v>
      </c>
      <c r="E358" s="96" t="s">
        <v>2758</v>
      </c>
      <c r="F358" s="96" t="s">
        <v>1664</v>
      </c>
      <c r="G358" s="88">
        <v>-1502631454</v>
      </c>
      <c r="H358" s="91">
        <v>-1.5026314540000001</v>
      </c>
      <c r="I358" s="100" t="s">
        <v>2405</v>
      </c>
    </row>
    <row r="359" spans="1:9">
      <c r="A359" s="95" t="s">
        <v>2407</v>
      </c>
      <c r="B359" s="96" t="s">
        <v>1034</v>
      </c>
      <c r="C359" s="96" t="s">
        <v>410</v>
      </c>
      <c r="D359" s="96" t="s">
        <v>2759</v>
      </c>
      <c r="E359" s="96" t="s">
        <v>2760</v>
      </c>
      <c r="F359" s="96" t="s">
        <v>2761</v>
      </c>
      <c r="G359" s="88">
        <v>0</v>
      </c>
      <c r="H359" s="91">
        <v>0</v>
      </c>
      <c r="I359" s="100" t="s">
        <v>2405</v>
      </c>
    </row>
    <row r="360" spans="1:9">
      <c r="A360" s="95" t="s">
        <v>2407</v>
      </c>
      <c r="B360" s="96" t="s">
        <v>1034</v>
      </c>
      <c r="C360" s="96" t="s">
        <v>410</v>
      </c>
      <c r="D360" s="96" t="s">
        <v>2762</v>
      </c>
      <c r="E360" s="96" t="s">
        <v>2763</v>
      </c>
      <c r="F360" s="96" t="s">
        <v>2764</v>
      </c>
      <c r="G360" s="88">
        <v>0</v>
      </c>
      <c r="H360" s="91">
        <v>0</v>
      </c>
      <c r="I360" s="100" t="s">
        <v>2405</v>
      </c>
    </row>
    <row r="361" spans="1:9">
      <c r="A361" s="95" t="s">
        <v>2407</v>
      </c>
      <c r="B361" s="96" t="s">
        <v>1034</v>
      </c>
      <c r="C361" s="96" t="s">
        <v>410</v>
      </c>
      <c r="D361" s="96" t="s">
        <v>2765</v>
      </c>
      <c r="E361" s="96" t="s">
        <v>2766</v>
      </c>
      <c r="F361" s="96" t="s">
        <v>2767</v>
      </c>
      <c r="G361" s="88">
        <v>4256568796481</v>
      </c>
      <c r="H361" s="91">
        <v>4256.5687964810004</v>
      </c>
      <c r="I361" s="100" t="s">
        <v>2405</v>
      </c>
    </row>
    <row r="362" spans="1:9">
      <c r="A362" s="95" t="s">
        <v>2407</v>
      </c>
      <c r="B362" s="96" t="s">
        <v>1034</v>
      </c>
      <c r="C362" s="96" t="s">
        <v>410</v>
      </c>
      <c r="D362" s="96" t="s">
        <v>2768</v>
      </c>
      <c r="E362" s="96" t="s">
        <v>2769</v>
      </c>
      <c r="F362" s="96" t="s">
        <v>2770</v>
      </c>
      <c r="G362" s="88">
        <v>-4365778300302</v>
      </c>
      <c r="H362" s="91">
        <v>-4365.7783003020004</v>
      </c>
      <c r="I362" s="100" t="s">
        <v>2405</v>
      </c>
    </row>
    <row r="363" spans="1:9">
      <c r="A363" s="95" t="s">
        <v>2407</v>
      </c>
      <c r="B363" s="96" t="s">
        <v>1034</v>
      </c>
      <c r="C363" s="96" t="s">
        <v>410</v>
      </c>
      <c r="D363" s="96" t="s">
        <v>2771</v>
      </c>
      <c r="E363" s="96" t="s">
        <v>2772</v>
      </c>
      <c r="F363" s="96" t="s">
        <v>2773</v>
      </c>
      <c r="G363" s="88">
        <v>0</v>
      </c>
      <c r="H363" s="91">
        <v>0</v>
      </c>
      <c r="I363" s="100" t="s">
        <v>2405</v>
      </c>
    </row>
    <row r="364" spans="1:9">
      <c r="A364" s="95" t="s">
        <v>2407</v>
      </c>
      <c r="B364" s="96" t="s">
        <v>1034</v>
      </c>
      <c r="C364" s="96" t="s">
        <v>410</v>
      </c>
      <c r="D364" s="96" t="s">
        <v>2132</v>
      </c>
      <c r="E364" s="96" t="s">
        <v>2131</v>
      </c>
      <c r="F364" s="96" t="s">
        <v>2774</v>
      </c>
      <c r="G364" s="88">
        <v>0</v>
      </c>
      <c r="H364" s="91">
        <v>0</v>
      </c>
      <c r="I364" s="100" t="s">
        <v>2405</v>
      </c>
    </row>
    <row r="365" spans="1:9">
      <c r="A365" s="95" t="s">
        <v>2407</v>
      </c>
      <c r="B365" s="96" t="s">
        <v>1034</v>
      </c>
      <c r="C365" s="96" t="s">
        <v>410</v>
      </c>
      <c r="D365" s="96" t="s">
        <v>2775</v>
      </c>
      <c r="E365" s="96" t="s">
        <v>2776</v>
      </c>
      <c r="F365" s="96" t="s">
        <v>2777</v>
      </c>
      <c r="G365" s="88">
        <v>0</v>
      </c>
      <c r="H365" s="91">
        <v>0</v>
      </c>
      <c r="I365" s="100" t="s">
        <v>2405</v>
      </c>
    </row>
    <row r="366" spans="1:9">
      <c r="A366" s="95" t="s">
        <v>2407</v>
      </c>
      <c r="B366" s="96" t="s">
        <v>1034</v>
      </c>
      <c r="C366" s="96" t="s">
        <v>410</v>
      </c>
      <c r="D366" s="96" t="s">
        <v>2778</v>
      </c>
      <c r="E366" s="96" t="s">
        <v>2779</v>
      </c>
      <c r="F366" s="96" t="s">
        <v>1668</v>
      </c>
      <c r="G366" s="88">
        <v>-109209503821</v>
      </c>
      <c r="H366" s="91">
        <v>-109.209503821</v>
      </c>
      <c r="I366" s="100" t="s">
        <v>2405</v>
      </c>
    </row>
    <row r="367" spans="1:9">
      <c r="A367" s="95" t="s">
        <v>2407</v>
      </c>
      <c r="B367" s="96" t="s">
        <v>1034</v>
      </c>
      <c r="C367" s="96" t="s">
        <v>410</v>
      </c>
      <c r="D367" s="96" t="s">
        <v>2780</v>
      </c>
      <c r="E367" s="96" t="s">
        <v>2781</v>
      </c>
      <c r="F367" s="96" t="s">
        <v>1669</v>
      </c>
      <c r="G367" s="88">
        <v>-752331520869</v>
      </c>
      <c r="H367" s="91">
        <v>-752.33152086899997</v>
      </c>
      <c r="I367" s="100" t="s">
        <v>2405</v>
      </c>
    </row>
    <row r="368" spans="1:9">
      <c r="A368" s="95" t="s">
        <v>2407</v>
      </c>
      <c r="B368" s="96" t="s">
        <v>1034</v>
      </c>
      <c r="C368" s="96" t="s">
        <v>410</v>
      </c>
      <c r="D368" s="96" t="s">
        <v>2782</v>
      </c>
      <c r="E368" s="96" t="s">
        <v>2783</v>
      </c>
      <c r="F368" s="96" t="s">
        <v>1670</v>
      </c>
      <c r="G368" s="88">
        <v>1742001985979</v>
      </c>
      <c r="H368" s="91">
        <v>1742.001985979</v>
      </c>
      <c r="I368" s="100" t="s">
        <v>2405</v>
      </c>
    </row>
    <row r="369" spans="1:9">
      <c r="A369" s="95" t="s">
        <v>2407</v>
      </c>
      <c r="B369" s="96" t="s">
        <v>1034</v>
      </c>
      <c r="C369" s="96" t="s">
        <v>410</v>
      </c>
      <c r="D369" s="96" t="s">
        <v>2784</v>
      </c>
      <c r="E369" s="96" t="s">
        <v>2785</v>
      </c>
      <c r="F369" s="96" t="s">
        <v>1671</v>
      </c>
      <c r="G369" s="88">
        <v>0</v>
      </c>
      <c r="H369" s="91">
        <v>0</v>
      </c>
      <c r="I369" s="100" t="s">
        <v>2405</v>
      </c>
    </row>
    <row r="370" spans="1:9">
      <c r="A370" s="95" t="s">
        <v>2407</v>
      </c>
      <c r="B370" s="96" t="s">
        <v>1034</v>
      </c>
      <c r="C370" s="96" t="s">
        <v>410</v>
      </c>
      <c r="D370" s="96" t="s">
        <v>2786</v>
      </c>
      <c r="E370" s="96" t="s">
        <v>2787</v>
      </c>
      <c r="F370" s="96" t="s">
        <v>1672</v>
      </c>
      <c r="G370" s="88">
        <v>989670465110</v>
      </c>
      <c r="H370" s="91">
        <v>989.67046511000001</v>
      </c>
      <c r="I370" s="100" t="s">
        <v>2405</v>
      </c>
    </row>
    <row r="371" spans="1:9">
      <c r="A371" s="95" t="s">
        <v>2407</v>
      </c>
      <c r="B371" s="96" t="s">
        <v>1034</v>
      </c>
      <c r="C371" s="96" t="s">
        <v>410</v>
      </c>
      <c r="D371" s="96" t="s">
        <v>2788</v>
      </c>
      <c r="E371" s="96" t="s">
        <v>2789</v>
      </c>
      <c r="F371" s="96" t="s">
        <v>1949</v>
      </c>
      <c r="G371" s="88">
        <v>0</v>
      </c>
      <c r="H371" s="91">
        <v>0</v>
      </c>
      <c r="I371" s="100" t="s">
        <v>2405</v>
      </c>
    </row>
    <row r="372" spans="1:9">
      <c r="A372" s="95" t="s">
        <v>2407</v>
      </c>
      <c r="B372" s="96" t="s">
        <v>1034</v>
      </c>
      <c r="C372" s="96" t="s">
        <v>410</v>
      </c>
      <c r="D372" s="96" t="s">
        <v>1952</v>
      </c>
      <c r="E372" s="96" t="s">
        <v>2790</v>
      </c>
      <c r="F372" s="96" t="s">
        <v>1951</v>
      </c>
      <c r="G372" s="88">
        <v>0</v>
      </c>
      <c r="H372" s="91">
        <v>0</v>
      </c>
      <c r="I372" s="100" t="s">
        <v>2405</v>
      </c>
    </row>
    <row r="373" spans="1:9">
      <c r="A373" s="95" t="s">
        <v>2407</v>
      </c>
      <c r="B373" s="96" t="s">
        <v>1034</v>
      </c>
      <c r="C373" s="96" t="s">
        <v>410</v>
      </c>
      <c r="D373" s="96" t="s">
        <v>2791</v>
      </c>
      <c r="E373" s="96" t="s">
        <v>2792</v>
      </c>
      <c r="F373" s="96" t="s">
        <v>2793</v>
      </c>
      <c r="G373" s="88">
        <v>-17149873503</v>
      </c>
      <c r="H373" s="91">
        <v>-17.149873502999998</v>
      </c>
      <c r="I373" s="100" t="s">
        <v>2405</v>
      </c>
    </row>
    <row r="374" spans="1:9">
      <c r="A374" s="95" t="s">
        <v>2408</v>
      </c>
      <c r="B374" s="96" t="s">
        <v>2333</v>
      </c>
      <c r="C374" s="96" t="s">
        <v>410</v>
      </c>
      <c r="D374" s="96" t="s">
        <v>2697</v>
      </c>
      <c r="E374" s="96" t="s">
        <v>2698</v>
      </c>
      <c r="F374" s="96" t="s">
        <v>2699</v>
      </c>
      <c r="G374" s="88">
        <v>451710205093</v>
      </c>
      <c r="H374" s="91">
        <v>451.71020509300001</v>
      </c>
      <c r="I374" s="100" t="s">
        <v>2337</v>
      </c>
    </row>
    <row r="375" spans="1:9">
      <c r="A375" s="95" t="s">
        <v>2408</v>
      </c>
      <c r="B375" s="96" t="s">
        <v>2333</v>
      </c>
      <c r="C375" s="96" t="s">
        <v>410</v>
      </c>
      <c r="D375" s="96" t="s">
        <v>2700</v>
      </c>
      <c r="E375" s="96" t="s">
        <v>2701</v>
      </c>
      <c r="F375" s="96" t="s">
        <v>1659</v>
      </c>
      <c r="G375" s="88">
        <v>71170807905</v>
      </c>
      <c r="H375" s="91">
        <v>71.170807905000004</v>
      </c>
      <c r="I375" s="100" t="s">
        <v>2337</v>
      </c>
    </row>
    <row r="376" spans="1:9">
      <c r="A376" s="95" t="s">
        <v>2408</v>
      </c>
      <c r="B376" s="96" t="s">
        <v>2333</v>
      </c>
      <c r="C376" s="96" t="s">
        <v>410</v>
      </c>
      <c r="D376" s="96" t="s">
        <v>2090</v>
      </c>
      <c r="E376" s="96" t="s">
        <v>2089</v>
      </c>
      <c r="F376" s="96" t="s">
        <v>2702</v>
      </c>
      <c r="G376" s="88">
        <v>52726521917</v>
      </c>
      <c r="H376" s="91">
        <v>52.726521916999999</v>
      </c>
      <c r="I376" s="100" t="s">
        <v>2337</v>
      </c>
    </row>
    <row r="377" spans="1:9">
      <c r="A377" s="95" t="s">
        <v>2408</v>
      </c>
      <c r="B377" s="96" t="s">
        <v>2333</v>
      </c>
      <c r="C377" s="96" t="s">
        <v>410</v>
      </c>
      <c r="D377" s="96" t="s">
        <v>2703</v>
      </c>
      <c r="E377" s="96" t="s">
        <v>2704</v>
      </c>
      <c r="F377" s="96" t="s">
        <v>2705</v>
      </c>
      <c r="G377" s="88">
        <v>-325491758</v>
      </c>
      <c r="H377" s="91">
        <v>-0.32549175800000002</v>
      </c>
      <c r="I377" s="100" t="s">
        <v>2337</v>
      </c>
    </row>
    <row r="378" spans="1:9">
      <c r="A378" s="95" t="s">
        <v>2408</v>
      </c>
      <c r="B378" s="96" t="s">
        <v>2333</v>
      </c>
      <c r="C378" s="96" t="s">
        <v>410</v>
      </c>
      <c r="D378" s="96" t="s">
        <v>2706</v>
      </c>
      <c r="E378" s="96" t="s">
        <v>2707</v>
      </c>
      <c r="F378" s="96" t="s">
        <v>2708</v>
      </c>
      <c r="G378" s="88">
        <v>0</v>
      </c>
      <c r="H378" s="91">
        <v>0</v>
      </c>
      <c r="I378" s="100" t="s">
        <v>2337</v>
      </c>
    </row>
    <row r="379" spans="1:9">
      <c r="A379" s="95" t="s">
        <v>2408</v>
      </c>
      <c r="B379" s="96" t="s">
        <v>2333</v>
      </c>
      <c r="C379" s="96" t="s">
        <v>410</v>
      </c>
      <c r="D379" s="96" t="s">
        <v>2709</v>
      </c>
      <c r="E379" s="96" t="s">
        <v>2710</v>
      </c>
      <c r="F379" s="96" t="s">
        <v>2711</v>
      </c>
      <c r="G379" s="88">
        <v>-272046385155</v>
      </c>
      <c r="H379" s="91">
        <v>-272.046385155</v>
      </c>
      <c r="I379" s="100" t="s">
        <v>2337</v>
      </c>
    </row>
    <row r="380" spans="1:9">
      <c r="A380" s="95" t="s">
        <v>2408</v>
      </c>
      <c r="B380" s="96" t="s">
        <v>2333</v>
      </c>
      <c r="C380" s="96" t="s">
        <v>410</v>
      </c>
      <c r="D380" s="96" t="s">
        <v>2021</v>
      </c>
      <c r="E380" s="96" t="s">
        <v>2712</v>
      </c>
      <c r="F380" s="96" t="s">
        <v>2355</v>
      </c>
      <c r="G380" s="88">
        <v>230628646948</v>
      </c>
      <c r="H380" s="91">
        <v>230.62864694800001</v>
      </c>
      <c r="I380" s="100" t="s">
        <v>2337</v>
      </c>
    </row>
    <row r="381" spans="1:9">
      <c r="A381" s="95" t="s">
        <v>2408</v>
      </c>
      <c r="B381" s="96" t="s">
        <v>2333</v>
      </c>
      <c r="C381" s="96" t="s">
        <v>410</v>
      </c>
      <c r="D381" s="96" t="s">
        <v>2713</v>
      </c>
      <c r="E381" s="96" t="s">
        <v>2714</v>
      </c>
      <c r="F381" s="96" t="s">
        <v>2715</v>
      </c>
      <c r="G381" s="88">
        <v>0</v>
      </c>
      <c r="H381" s="91">
        <v>0</v>
      </c>
      <c r="I381" s="100" t="s">
        <v>2337</v>
      </c>
    </row>
    <row r="382" spans="1:9">
      <c r="A382" s="95" t="s">
        <v>2408</v>
      </c>
      <c r="B382" s="96" t="s">
        <v>2333</v>
      </c>
      <c r="C382" s="96" t="s">
        <v>410</v>
      </c>
      <c r="D382" s="96" t="s">
        <v>2716</v>
      </c>
      <c r="E382" s="96" t="s">
        <v>2717</v>
      </c>
      <c r="F382" s="96" t="s">
        <v>2718</v>
      </c>
      <c r="G382" s="88">
        <v>533864304950</v>
      </c>
      <c r="H382" s="91">
        <v>533.86430495000002</v>
      </c>
      <c r="I382" s="100" t="s">
        <v>2337</v>
      </c>
    </row>
    <row r="383" spans="1:9">
      <c r="A383" s="95" t="s">
        <v>2408</v>
      </c>
      <c r="B383" s="96" t="s">
        <v>2333</v>
      </c>
      <c r="C383" s="96" t="s">
        <v>410</v>
      </c>
      <c r="D383" s="96" t="s">
        <v>1956</v>
      </c>
      <c r="E383" s="96" t="s">
        <v>2719</v>
      </c>
      <c r="F383" s="96" t="s">
        <v>2720</v>
      </c>
      <c r="G383" s="88">
        <v>-2243799051703</v>
      </c>
      <c r="H383" s="91">
        <v>-2243.7990517029998</v>
      </c>
      <c r="I383" s="100" t="s">
        <v>2337</v>
      </c>
    </row>
    <row r="384" spans="1:9">
      <c r="A384" s="95" t="s">
        <v>2408</v>
      </c>
      <c r="B384" s="96" t="s">
        <v>2333</v>
      </c>
      <c r="C384" s="96" t="s">
        <v>410</v>
      </c>
      <c r="D384" s="96" t="s">
        <v>1958</v>
      </c>
      <c r="E384" s="96" t="s">
        <v>2721</v>
      </c>
      <c r="F384" s="96" t="s">
        <v>2722</v>
      </c>
      <c r="G384" s="88">
        <v>52818331646</v>
      </c>
      <c r="H384" s="91">
        <v>52.818331645999997</v>
      </c>
      <c r="I384" s="100" t="s">
        <v>2337</v>
      </c>
    </row>
    <row r="385" spans="1:9">
      <c r="A385" s="95" t="s">
        <v>2408</v>
      </c>
      <c r="B385" s="96" t="s">
        <v>2333</v>
      </c>
      <c r="C385" s="96" t="s">
        <v>410</v>
      </c>
      <c r="D385" s="96" t="s">
        <v>2723</v>
      </c>
      <c r="E385" s="96" t="s">
        <v>2724</v>
      </c>
      <c r="F385" s="96" t="s">
        <v>2725</v>
      </c>
      <c r="G385" s="88">
        <v>828109198066</v>
      </c>
      <c r="H385" s="91">
        <v>828.10919806599998</v>
      </c>
      <c r="I385" s="100" t="s">
        <v>2337</v>
      </c>
    </row>
    <row r="386" spans="1:9">
      <c r="A386" s="95" t="s">
        <v>2408</v>
      </c>
      <c r="B386" s="96" t="s">
        <v>2333</v>
      </c>
      <c r="C386" s="96" t="s">
        <v>410</v>
      </c>
      <c r="D386" s="96" t="s">
        <v>2726</v>
      </c>
      <c r="E386" s="96" t="s">
        <v>2727</v>
      </c>
      <c r="F386" s="96" t="s">
        <v>2728</v>
      </c>
      <c r="G386" s="88">
        <v>21115830180</v>
      </c>
      <c r="H386" s="91">
        <v>21.11583018</v>
      </c>
      <c r="I386" s="100" t="s">
        <v>2337</v>
      </c>
    </row>
    <row r="387" spans="1:9">
      <c r="A387" s="95" t="s">
        <v>2408</v>
      </c>
      <c r="B387" s="96" t="s">
        <v>2333</v>
      </c>
      <c r="C387" s="96" t="s">
        <v>410</v>
      </c>
      <c r="D387" s="96" t="s">
        <v>2107</v>
      </c>
      <c r="E387" s="96" t="s">
        <v>2106</v>
      </c>
      <c r="F387" s="96" t="s">
        <v>2729</v>
      </c>
      <c r="G387" s="88">
        <v>-226186198748</v>
      </c>
      <c r="H387" s="91">
        <v>-226.18619874800001</v>
      </c>
      <c r="I387" s="100" t="s">
        <v>2337</v>
      </c>
    </row>
    <row r="388" spans="1:9">
      <c r="A388" s="95" t="s">
        <v>2408</v>
      </c>
      <c r="B388" s="96" t="s">
        <v>2333</v>
      </c>
      <c r="C388" s="96" t="s">
        <v>410</v>
      </c>
      <c r="D388" s="96" t="s">
        <v>109</v>
      </c>
      <c r="E388" s="96" t="s">
        <v>2730</v>
      </c>
      <c r="F388" s="96" t="s">
        <v>1661</v>
      </c>
      <c r="G388" s="88">
        <v>-81772604483</v>
      </c>
      <c r="H388" s="91">
        <v>-81.772604482999995</v>
      </c>
      <c r="I388" s="100" t="s">
        <v>2337</v>
      </c>
    </row>
    <row r="389" spans="1:9">
      <c r="A389" s="95" t="s">
        <v>2408</v>
      </c>
      <c r="B389" s="96" t="s">
        <v>2333</v>
      </c>
      <c r="C389" s="96" t="s">
        <v>410</v>
      </c>
      <c r="D389" s="96" t="s">
        <v>1966</v>
      </c>
      <c r="E389" s="96" t="s">
        <v>2731</v>
      </c>
      <c r="F389" s="96" t="s">
        <v>1965</v>
      </c>
      <c r="G389" s="88">
        <v>0</v>
      </c>
      <c r="H389" s="91">
        <v>0</v>
      </c>
      <c r="I389" s="100" t="s">
        <v>2337</v>
      </c>
    </row>
    <row r="390" spans="1:9">
      <c r="A390" s="95" t="s">
        <v>2408</v>
      </c>
      <c r="B390" s="96" t="s">
        <v>2333</v>
      </c>
      <c r="C390" s="96" t="s">
        <v>410</v>
      </c>
      <c r="D390" s="96" t="s">
        <v>2732</v>
      </c>
      <c r="E390" s="96" t="s">
        <v>2733</v>
      </c>
      <c r="F390" s="96" t="s">
        <v>1967</v>
      </c>
      <c r="G390" s="88">
        <v>-6723159841</v>
      </c>
      <c r="H390" s="91">
        <v>-6.7231598410000002</v>
      </c>
      <c r="I390" s="100" t="s">
        <v>2337</v>
      </c>
    </row>
    <row r="391" spans="1:9">
      <c r="A391" s="95" t="s">
        <v>2408</v>
      </c>
      <c r="B391" s="96" t="s">
        <v>2333</v>
      </c>
      <c r="C391" s="96" t="s">
        <v>410</v>
      </c>
      <c r="D391" s="96" t="s">
        <v>2734</v>
      </c>
      <c r="E391" s="96" t="s">
        <v>2735</v>
      </c>
      <c r="F391" s="96" t="s">
        <v>2736</v>
      </c>
      <c r="G391" s="88">
        <v>-1388857174193</v>
      </c>
      <c r="H391" s="91">
        <v>-1388.857174193</v>
      </c>
      <c r="I391" s="100" t="s">
        <v>2337</v>
      </c>
    </row>
    <row r="392" spans="1:9">
      <c r="A392" s="95" t="s">
        <v>2408</v>
      </c>
      <c r="B392" s="96" t="s">
        <v>2333</v>
      </c>
      <c r="C392" s="96" t="s">
        <v>410</v>
      </c>
      <c r="D392" s="96" t="s">
        <v>2737</v>
      </c>
      <c r="E392" s="96" t="s">
        <v>2738</v>
      </c>
      <c r="F392" s="96" t="s">
        <v>2739</v>
      </c>
      <c r="G392" s="88">
        <v>-43267247325</v>
      </c>
      <c r="H392" s="91">
        <v>-43.267247325</v>
      </c>
      <c r="I392" s="100" t="s">
        <v>2337</v>
      </c>
    </row>
    <row r="393" spans="1:9">
      <c r="A393" s="95" t="s">
        <v>2408</v>
      </c>
      <c r="B393" s="96" t="s">
        <v>2333</v>
      </c>
      <c r="C393" s="96" t="s">
        <v>410</v>
      </c>
      <c r="D393" s="96" t="s">
        <v>2740</v>
      </c>
      <c r="E393" s="96" t="s">
        <v>2741</v>
      </c>
      <c r="F393" s="96" t="s">
        <v>2742</v>
      </c>
      <c r="G393" s="88">
        <v>2625325884</v>
      </c>
      <c r="H393" s="91">
        <v>2.625325884</v>
      </c>
      <c r="I393" s="100" t="s">
        <v>2337</v>
      </c>
    </row>
    <row r="394" spans="1:9">
      <c r="A394" s="95" t="s">
        <v>2408</v>
      </c>
      <c r="B394" s="96" t="s">
        <v>2333</v>
      </c>
      <c r="C394" s="96" t="s">
        <v>410</v>
      </c>
      <c r="D394" s="96" t="s">
        <v>2743</v>
      </c>
      <c r="E394" s="96" t="s">
        <v>2744</v>
      </c>
      <c r="F394" s="96" t="s">
        <v>2745</v>
      </c>
      <c r="G394" s="88">
        <v>-7585201989123</v>
      </c>
      <c r="H394" s="91">
        <v>-7585.2019891230002</v>
      </c>
      <c r="I394" s="100" t="s">
        <v>2337</v>
      </c>
    </row>
    <row r="395" spans="1:9">
      <c r="A395" s="95" t="s">
        <v>2408</v>
      </c>
      <c r="B395" s="96" t="s">
        <v>2333</v>
      </c>
      <c r="C395" s="96" t="s">
        <v>410</v>
      </c>
      <c r="D395" s="96" t="s">
        <v>2746</v>
      </c>
      <c r="E395" s="96" t="s">
        <v>2747</v>
      </c>
      <c r="F395" s="96" t="s">
        <v>2748</v>
      </c>
      <c r="G395" s="88">
        <v>6409787636966</v>
      </c>
      <c r="H395" s="91">
        <v>6409.7876369659998</v>
      </c>
      <c r="I395" s="100" t="s">
        <v>2337</v>
      </c>
    </row>
    <row r="396" spans="1:9">
      <c r="A396" s="95" t="s">
        <v>2408</v>
      </c>
      <c r="B396" s="96" t="s">
        <v>2333</v>
      </c>
      <c r="C396" s="96" t="s">
        <v>410</v>
      </c>
      <c r="D396" s="96" t="s">
        <v>1816</v>
      </c>
      <c r="E396" s="96" t="s">
        <v>2749</v>
      </c>
      <c r="F396" s="96" t="s">
        <v>2750</v>
      </c>
      <c r="G396" s="88">
        <v>0</v>
      </c>
      <c r="H396" s="91">
        <v>0</v>
      </c>
      <c r="I396" s="100" t="s">
        <v>2337</v>
      </c>
    </row>
    <row r="397" spans="1:9">
      <c r="A397" s="95" t="s">
        <v>2408</v>
      </c>
      <c r="B397" s="96" t="s">
        <v>2333</v>
      </c>
      <c r="C397" s="96" t="s">
        <v>410</v>
      </c>
      <c r="D397" s="96" t="s">
        <v>2751</v>
      </c>
      <c r="E397" s="96" t="s">
        <v>2752</v>
      </c>
      <c r="F397" s="96" t="s">
        <v>2753</v>
      </c>
      <c r="G397" s="88">
        <v>0</v>
      </c>
      <c r="H397" s="91">
        <v>0</v>
      </c>
      <c r="I397" s="100" t="s">
        <v>2337</v>
      </c>
    </row>
    <row r="398" spans="1:9">
      <c r="A398" s="95" t="s">
        <v>2408</v>
      </c>
      <c r="B398" s="96" t="s">
        <v>2333</v>
      </c>
      <c r="C398" s="96" t="s">
        <v>410</v>
      </c>
      <c r="D398" s="96" t="s">
        <v>2754</v>
      </c>
      <c r="E398" s="96" t="s">
        <v>2755</v>
      </c>
      <c r="F398" s="96" t="s">
        <v>2756</v>
      </c>
      <c r="G398" s="88">
        <v>256151531359</v>
      </c>
      <c r="H398" s="91">
        <v>256.15153135899999</v>
      </c>
      <c r="I398" s="100" t="s">
        <v>2337</v>
      </c>
    </row>
    <row r="399" spans="1:9">
      <c r="A399" s="95" t="s">
        <v>2408</v>
      </c>
      <c r="B399" s="96" t="s">
        <v>2333</v>
      </c>
      <c r="C399" s="96" t="s">
        <v>410</v>
      </c>
      <c r="D399" s="96" t="s">
        <v>2757</v>
      </c>
      <c r="E399" s="96" t="s">
        <v>2758</v>
      </c>
      <c r="F399" s="96" t="s">
        <v>1664</v>
      </c>
      <c r="G399" s="88">
        <v>-959904742239</v>
      </c>
      <c r="H399" s="91">
        <v>-959.90474223900003</v>
      </c>
      <c r="I399" s="100" t="s">
        <v>2337</v>
      </c>
    </row>
    <row r="400" spans="1:9">
      <c r="A400" s="95" t="s">
        <v>2408</v>
      </c>
      <c r="B400" s="96" t="s">
        <v>2333</v>
      </c>
      <c r="C400" s="96" t="s">
        <v>410</v>
      </c>
      <c r="D400" s="96" t="s">
        <v>2759</v>
      </c>
      <c r="E400" s="96" t="s">
        <v>2760</v>
      </c>
      <c r="F400" s="96" t="s">
        <v>2761</v>
      </c>
      <c r="G400" s="88">
        <v>0</v>
      </c>
      <c r="H400" s="91">
        <v>0</v>
      </c>
      <c r="I400" s="100" t="s">
        <v>2337</v>
      </c>
    </row>
    <row r="401" spans="1:9">
      <c r="A401" s="95" t="s">
        <v>2408</v>
      </c>
      <c r="B401" s="96" t="s">
        <v>2333</v>
      </c>
      <c r="C401" s="96" t="s">
        <v>410</v>
      </c>
      <c r="D401" s="96" t="s">
        <v>2762</v>
      </c>
      <c r="E401" s="96" t="s">
        <v>2763</v>
      </c>
      <c r="F401" s="96" t="s">
        <v>2764</v>
      </c>
      <c r="G401" s="88">
        <v>0</v>
      </c>
      <c r="H401" s="91">
        <v>0</v>
      </c>
      <c r="I401" s="100" t="s">
        <v>2337</v>
      </c>
    </row>
    <row r="402" spans="1:9">
      <c r="A402" s="95" t="s">
        <v>2408</v>
      </c>
      <c r="B402" s="96" t="s">
        <v>2333</v>
      </c>
      <c r="C402" s="96" t="s">
        <v>410</v>
      </c>
      <c r="D402" s="96" t="s">
        <v>2765</v>
      </c>
      <c r="E402" s="96" t="s">
        <v>2766</v>
      </c>
      <c r="F402" s="96" t="s">
        <v>2767</v>
      </c>
      <c r="G402" s="88">
        <v>17159088845115</v>
      </c>
      <c r="H402" s="91">
        <v>17159.088845114999</v>
      </c>
      <c r="I402" s="100" t="s">
        <v>2337</v>
      </c>
    </row>
    <row r="403" spans="1:9">
      <c r="A403" s="95" t="s">
        <v>2408</v>
      </c>
      <c r="B403" s="96" t="s">
        <v>2333</v>
      </c>
      <c r="C403" s="96" t="s">
        <v>410</v>
      </c>
      <c r="D403" s="96" t="s">
        <v>2768</v>
      </c>
      <c r="E403" s="96" t="s">
        <v>2769</v>
      </c>
      <c r="F403" s="96" t="s">
        <v>2770</v>
      </c>
      <c r="G403" s="88">
        <v>-15084298334446</v>
      </c>
      <c r="H403" s="91">
        <v>-15084.298334446001</v>
      </c>
      <c r="I403" s="100" t="s">
        <v>2337</v>
      </c>
    </row>
    <row r="404" spans="1:9">
      <c r="A404" s="95" t="s">
        <v>2408</v>
      </c>
      <c r="B404" s="96" t="s">
        <v>2333</v>
      </c>
      <c r="C404" s="96" t="s">
        <v>410</v>
      </c>
      <c r="D404" s="96" t="s">
        <v>2771</v>
      </c>
      <c r="E404" s="96" t="s">
        <v>2772</v>
      </c>
      <c r="F404" s="96" t="s">
        <v>2773</v>
      </c>
      <c r="G404" s="88">
        <v>0</v>
      </c>
      <c r="H404" s="91">
        <v>0</v>
      </c>
      <c r="I404" s="100" t="s">
        <v>2337</v>
      </c>
    </row>
    <row r="405" spans="1:9">
      <c r="A405" s="95" t="s">
        <v>2408</v>
      </c>
      <c r="B405" s="96" t="s">
        <v>2333</v>
      </c>
      <c r="C405" s="96" t="s">
        <v>410</v>
      </c>
      <c r="D405" s="96" t="s">
        <v>2132</v>
      </c>
      <c r="E405" s="96" t="s">
        <v>2131</v>
      </c>
      <c r="F405" s="96" t="s">
        <v>2774</v>
      </c>
      <c r="G405" s="88">
        <v>-17714695500</v>
      </c>
      <c r="H405" s="91">
        <v>-17.714695500000001</v>
      </c>
      <c r="I405" s="100" t="s">
        <v>2337</v>
      </c>
    </row>
    <row r="406" spans="1:9">
      <c r="A406" s="95" t="s">
        <v>2408</v>
      </c>
      <c r="B406" s="96" t="s">
        <v>2333</v>
      </c>
      <c r="C406" s="96" t="s">
        <v>410</v>
      </c>
      <c r="D406" s="96" t="s">
        <v>2775</v>
      </c>
      <c r="E406" s="96" t="s">
        <v>2776</v>
      </c>
      <c r="F406" s="96" t="s">
        <v>2777</v>
      </c>
      <c r="G406" s="88">
        <v>0</v>
      </c>
      <c r="H406" s="91">
        <v>0</v>
      </c>
      <c r="I406" s="100" t="s">
        <v>2337</v>
      </c>
    </row>
    <row r="407" spans="1:9">
      <c r="A407" s="95" t="s">
        <v>2408</v>
      </c>
      <c r="B407" s="96" t="s">
        <v>2333</v>
      </c>
      <c r="C407" s="96" t="s">
        <v>410</v>
      </c>
      <c r="D407" s="96" t="s">
        <v>2778</v>
      </c>
      <c r="E407" s="96" t="s">
        <v>2779</v>
      </c>
      <c r="F407" s="96" t="s">
        <v>1668</v>
      </c>
      <c r="G407" s="88">
        <v>2057075815169</v>
      </c>
      <c r="H407" s="91">
        <v>2057.0758151690002</v>
      </c>
      <c r="I407" s="100" t="s">
        <v>2337</v>
      </c>
    </row>
    <row r="408" spans="1:9">
      <c r="A408" s="95" t="s">
        <v>2408</v>
      </c>
      <c r="B408" s="96" t="s">
        <v>2333</v>
      </c>
      <c r="C408" s="96" t="s">
        <v>410</v>
      </c>
      <c r="D408" s="96" t="s">
        <v>2780</v>
      </c>
      <c r="E408" s="96" t="s">
        <v>2781</v>
      </c>
      <c r="F408" s="96" t="s">
        <v>1669</v>
      </c>
      <c r="G408" s="88">
        <v>-291686101263</v>
      </c>
      <c r="H408" s="91">
        <v>-291.68610126300001</v>
      </c>
      <c r="I408" s="100" t="s">
        <v>2337</v>
      </c>
    </row>
    <row r="409" spans="1:9">
      <c r="A409" s="95" t="s">
        <v>2408</v>
      </c>
      <c r="B409" s="96" t="s">
        <v>2333</v>
      </c>
      <c r="C409" s="96" t="s">
        <v>410</v>
      </c>
      <c r="D409" s="96" t="s">
        <v>2782</v>
      </c>
      <c r="E409" s="96" t="s">
        <v>2783</v>
      </c>
      <c r="F409" s="96" t="s">
        <v>1670</v>
      </c>
      <c r="G409" s="88">
        <v>1766009708784</v>
      </c>
      <c r="H409" s="91">
        <v>1766.0097087839999</v>
      </c>
      <c r="I409" s="100" t="s">
        <v>2337</v>
      </c>
    </row>
    <row r="410" spans="1:9">
      <c r="A410" s="95" t="s">
        <v>2408</v>
      </c>
      <c r="B410" s="96" t="s">
        <v>2333</v>
      </c>
      <c r="C410" s="96" t="s">
        <v>410</v>
      </c>
      <c r="D410" s="96" t="s">
        <v>2784</v>
      </c>
      <c r="E410" s="96" t="s">
        <v>2785</v>
      </c>
      <c r="F410" s="96" t="s">
        <v>1671</v>
      </c>
      <c r="G410" s="88">
        <v>0</v>
      </c>
      <c r="H410" s="91">
        <v>0</v>
      </c>
      <c r="I410" s="100" t="s">
        <v>2337</v>
      </c>
    </row>
    <row r="411" spans="1:9">
      <c r="A411" s="95" t="s">
        <v>2408</v>
      </c>
      <c r="B411" s="96" t="s">
        <v>2333</v>
      </c>
      <c r="C411" s="96" t="s">
        <v>410</v>
      </c>
      <c r="D411" s="96" t="s">
        <v>2786</v>
      </c>
      <c r="E411" s="96" t="s">
        <v>2787</v>
      </c>
      <c r="F411" s="96" t="s">
        <v>1672</v>
      </c>
      <c r="G411" s="88">
        <v>1474323607521</v>
      </c>
      <c r="H411" s="91">
        <v>1474.323607521</v>
      </c>
      <c r="I411" s="100" t="s">
        <v>2337</v>
      </c>
    </row>
    <row r="412" spans="1:9">
      <c r="A412" s="95" t="s">
        <v>2408</v>
      </c>
      <c r="B412" s="96" t="s">
        <v>2333</v>
      </c>
      <c r="C412" s="96" t="s">
        <v>410</v>
      </c>
      <c r="D412" s="96" t="s">
        <v>2788</v>
      </c>
      <c r="E412" s="96" t="s">
        <v>2789</v>
      </c>
      <c r="F412" s="96" t="s">
        <v>1949</v>
      </c>
      <c r="G412" s="88">
        <v>0</v>
      </c>
      <c r="H412" s="91">
        <v>0</v>
      </c>
      <c r="I412" s="100" t="s">
        <v>2337</v>
      </c>
    </row>
    <row r="413" spans="1:9">
      <c r="A413" s="95" t="s">
        <v>2408</v>
      </c>
      <c r="B413" s="96" t="s">
        <v>2333</v>
      </c>
      <c r="C413" s="96" t="s">
        <v>410</v>
      </c>
      <c r="D413" s="96" t="s">
        <v>1952</v>
      </c>
      <c r="E413" s="96" t="s">
        <v>2790</v>
      </c>
      <c r="F413" s="96" t="s">
        <v>1951</v>
      </c>
      <c r="G413" s="88">
        <v>0</v>
      </c>
      <c r="H413" s="91">
        <v>0</v>
      </c>
      <c r="I413" s="100" t="s">
        <v>2337</v>
      </c>
    </row>
    <row r="414" spans="1:9">
      <c r="A414" s="95" t="s">
        <v>2408</v>
      </c>
      <c r="B414" s="96" t="s">
        <v>2333</v>
      </c>
      <c r="C414" s="96" t="s">
        <v>410</v>
      </c>
      <c r="D414" s="96" t="s">
        <v>2791</v>
      </c>
      <c r="E414" s="96" t="s">
        <v>2792</v>
      </c>
      <c r="F414" s="96" t="s">
        <v>2793</v>
      </c>
      <c r="G414" s="88">
        <v>-266283824260</v>
      </c>
      <c r="H414" s="91">
        <v>-266.28382426000002</v>
      </c>
      <c r="I414" s="100" t="s">
        <v>2337</v>
      </c>
    </row>
    <row r="415" spans="1:9">
      <c r="A415" s="95" t="s">
        <v>2408</v>
      </c>
      <c r="B415" s="96" t="s">
        <v>2404</v>
      </c>
      <c r="C415" s="96" t="s">
        <v>410</v>
      </c>
      <c r="D415" s="96" t="s">
        <v>2697</v>
      </c>
      <c r="E415" s="96" t="s">
        <v>2698</v>
      </c>
      <c r="F415" s="96" t="s">
        <v>2699</v>
      </c>
      <c r="G415" s="88">
        <v>60559905869</v>
      </c>
      <c r="H415" s="91">
        <v>60.559905868999998</v>
      </c>
      <c r="I415" s="100" t="s">
        <v>2405</v>
      </c>
    </row>
    <row r="416" spans="1:9">
      <c r="A416" s="95" t="s">
        <v>2408</v>
      </c>
      <c r="B416" s="96" t="s">
        <v>2404</v>
      </c>
      <c r="C416" s="96" t="s">
        <v>410</v>
      </c>
      <c r="D416" s="96" t="s">
        <v>2700</v>
      </c>
      <c r="E416" s="96" t="s">
        <v>2701</v>
      </c>
      <c r="F416" s="96" t="s">
        <v>1659</v>
      </c>
      <c r="G416" s="88">
        <v>15307406083</v>
      </c>
      <c r="H416" s="91">
        <v>15.307406083</v>
      </c>
      <c r="I416" s="100" t="s">
        <v>2405</v>
      </c>
    </row>
    <row r="417" spans="1:9">
      <c r="A417" s="95" t="s">
        <v>2408</v>
      </c>
      <c r="B417" s="96" t="s">
        <v>2404</v>
      </c>
      <c r="C417" s="96" t="s">
        <v>410</v>
      </c>
      <c r="D417" s="96" t="s">
        <v>2090</v>
      </c>
      <c r="E417" s="96" t="s">
        <v>2089</v>
      </c>
      <c r="F417" s="96" t="s">
        <v>2702</v>
      </c>
      <c r="G417" s="88">
        <v>1424126951</v>
      </c>
      <c r="H417" s="91">
        <v>1.4241269510000001</v>
      </c>
      <c r="I417" s="100" t="s">
        <v>2405</v>
      </c>
    </row>
    <row r="418" spans="1:9">
      <c r="A418" s="95" t="s">
        <v>2408</v>
      </c>
      <c r="B418" s="96" t="s">
        <v>2404</v>
      </c>
      <c r="C418" s="96" t="s">
        <v>410</v>
      </c>
      <c r="D418" s="96" t="s">
        <v>2703</v>
      </c>
      <c r="E418" s="96" t="s">
        <v>2704</v>
      </c>
      <c r="F418" s="96" t="s">
        <v>2705</v>
      </c>
      <c r="G418" s="88">
        <v>3982282488</v>
      </c>
      <c r="H418" s="91">
        <v>3.9822824880000001</v>
      </c>
      <c r="I418" s="100" t="s">
        <v>2405</v>
      </c>
    </row>
    <row r="419" spans="1:9">
      <c r="A419" s="95" t="s">
        <v>2408</v>
      </c>
      <c r="B419" s="96" t="s">
        <v>2404</v>
      </c>
      <c r="C419" s="96" t="s">
        <v>410</v>
      </c>
      <c r="D419" s="96" t="s">
        <v>2706</v>
      </c>
      <c r="E419" s="96" t="s">
        <v>2707</v>
      </c>
      <c r="F419" s="96" t="s">
        <v>2708</v>
      </c>
      <c r="G419" s="88">
        <v>0</v>
      </c>
      <c r="H419" s="91">
        <v>0</v>
      </c>
      <c r="I419" s="100" t="s">
        <v>2405</v>
      </c>
    </row>
    <row r="420" spans="1:9">
      <c r="A420" s="95" t="s">
        <v>2408</v>
      </c>
      <c r="B420" s="96" t="s">
        <v>2404</v>
      </c>
      <c r="C420" s="96" t="s">
        <v>410</v>
      </c>
      <c r="D420" s="96" t="s">
        <v>2709</v>
      </c>
      <c r="E420" s="96" t="s">
        <v>2710</v>
      </c>
      <c r="F420" s="96" t="s">
        <v>2711</v>
      </c>
      <c r="G420" s="88">
        <v>-48175465220</v>
      </c>
      <c r="H420" s="91">
        <v>-48.17546522</v>
      </c>
      <c r="I420" s="100" t="s">
        <v>2405</v>
      </c>
    </row>
    <row r="421" spans="1:9">
      <c r="A421" s="95" t="s">
        <v>2408</v>
      </c>
      <c r="B421" s="96" t="s">
        <v>2404</v>
      </c>
      <c r="C421" s="96" t="s">
        <v>410</v>
      </c>
      <c r="D421" s="96" t="s">
        <v>2021</v>
      </c>
      <c r="E421" s="96" t="s">
        <v>2712</v>
      </c>
      <c r="F421" s="96" t="s">
        <v>2355</v>
      </c>
      <c r="G421" s="88">
        <v>46334026389</v>
      </c>
      <c r="H421" s="91">
        <v>46.334026389000002</v>
      </c>
      <c r="I421" s="100" t="s">
        <v>2405</v>
      </c>
    </row>
    <row r="422" spans="1:9">
      <c r="A422" s="95" t="s">
        <v>2408</v>
      </c>
      <c r="B422" s="96" t="s">
        <v>2404</v>
      </c>
      <c r="C422" s="96" t="s">
        <v>410</v>
      </c>
      <c r="D422" s="96" t="s">
        <v>2713</v>
      </c>
      <c r="E422" s="96" t="s">
        <v>2714</v>
      </c>
      <c r="F422" s="96" t="s">
        <v>2715</v>
      </c>
      <c r="G422" s="88">
        <v>0</v>
      </c>
      <c r="H422" s="91">
        <v>0</v>
      </c>
      <c r="I422" s="100" t="s">
        <v>2405</v>
      </c>
    </row>
    <row r="423" spans="1:9">
      <c r="A423" s="95" t="s">
        <v>2408</v>
      </c>
      <c r="B423" s="96" t="s">
        <v>2404</v>
      </c>
      <c r="C423" s="96" t="s">
        <v>410</v>
      </c>
      <c r="D423" s="96" t="s">
        <v>2716</v>
      </c>
      <c r="E423" s="96" t="s">
        <v>2717</v>
      </c>
      <c r="F423" s="96" t="s">
        <v>2718</v>
      </c>
      <c r="G423" s="88">
        <v>79432282560</v>
      </c>
      <c r="H423" s="91">
        <v>79.432282560000004</v>
      </c>
      <c r="I423" s="100" t="s">
        <v>2405</v>
      </c>
    </row>
    <row r="424" spans="1:9">
      <c r="A424" s="95" t="s">
        <v>2408</v>
      </c>
      <c r="B424" s="96" t="s">
        <v>2404</v>
      </c>
      <c r="C424" s="96" t="s">
        <v>410</v>
      </c>
      <c r="D424" s="96" t="s">
        <v>1956</v>
      </c>
      <c r="E424" s="96" t="s">
        <v>2719</v>
      </c>
      <c r="F424" s="96" t="s">
        <v>2720</v>
      </c>
      <c r="G424" s="88">
        <v>-328520168417</v>
      </c>
      <c r="H424" s="91">
        <v>-328.52016841699998</v>
      </c>
      <c r="I424" s="100" t="s">
        <v>2405</v>
      </c>
    </row>
    <row r="425" spans="1:9">
      <c r="A425" s="95" t="s">
        <v>2408</v>
      </c>
      <c r="B425" s="96" t="s">
        <v>2404</v>
      </c>
      <c r="C425" s="96" t="s">
        <v>410</v>
      </c>
      <c r="D425" s="96" t="s">
        <v>1958</v>
      </c>
      <c r="E425" s="96" t="s">
        <v>2721</v>
      </c>
      <c r="F425" s="96" t="s">
        <v>2722</v>
      </c>
      <c r="G425" s="88">
        <v>8584069243</v>
      </c>
      <c r="H425" s="91">
        <v>8.5840692430000001</v>
      </c>
      <c r="I425" s="100" t="s">
        <v>2405</v>
      </c>
    </row>
    <row r="426" spans="1:9">
      <c r="A426" s="95" t="s">
        <v>2408</v>
      </c>
      <c r="B426" s="96" t="s">
        <v>2404</v>
      </c>
      <c r="C426" s="96" t="s">
        <v>410</v>
      </c>
      <c r="D426" s="96" t="s">
        <v>2723</v>
      </c>
      <c r="E426" s="96" t="s">
        <v>2724</v>
      </c>
      <c r="F426" s="96" t="s">
        <v>2725</v>
      </c>
      <c r="G426" s="88">
        <v>911893220497</v>
      </c>
      <c r="H426" s="91">
        <v>911.89322049700002</v>
      </c>
      <c r="I426" s="100" t="s">
        <v>2405</v>
      </c>
    </row>
    <row r="427" spans="1:9">
      <c r="A427" s="95" t="s">
        <v>2408</v>
      </c>
      <c r="B427" s="96" t="s">
        <v>2404</v>
      </c>
      <c r="C427" s="96" t="s">
        <v>410</v>
      </c>
      <c r="D427" s="96" t="s">
        <v>2726</v>
      </c>
      <c r="E427" s="96" t="s">
        <v>2727</v>
      </c>
      <c r="F427" s="96" t="s">
        <v>2728</v>
      </c>
      <c r="G427" s="88">
        <v>-1387084770</v>
      </c>
      <c r="H427" s="91">
        <v>-1.38708477</v>
      </c>
      <c r="I427" s="100" t="s">
        <v>2405</v>
      </c>
    </row>
    <row r="428" spans="1:9">
      <c r="A428" s="95" t="s">
        <v>2408</v>
      </c>
      <c r="B428" s="96" t="s">
        <v>2404</v>
      </c>
      <c r="C428" s="96" t="s">
        <v>410</v>
      </c>
      <c r="D428" s="96" t="s">
        <v>2107</v>
      </c>
      <c r="E428" s="96" t="s">
        <v>2106</v>
      </c>
      <c r="F428" s="96" t="s">
        <v>2729</v>
      </c>
      <c r="G428" s="88">
        <v>-46109642148</v>
      </c>
      <c r="H428" s="91">
        <v>-46.109642147999999</v>
      </c>
      <c r="I428" s="100" t="s">
        <v>2405</v>
      </c>
    </row>
    <row r="429" spans="1:9">
      <c r="A429" s="95" t="s">
        <v>2408</v>
      </c>
      <c r="B429" s="96" t="s">
        <v>2404</v>
      </c>
      <c r="C429" s="96" t="s">
        <v>410</v>
      </c>
      <c r="D429" s="96" t="s">
        <v>109</v>
      </c>
      <c r="E429" s="96" t="s">
        <v>2730</v>
      </c>
      <c r="F429" s="96" t="s">
        <v>1661</v>
      </c>
      <c r="G429" s="88">
        <v>-14369896499</v>
      </c>
      <c r="H429" s="91">
        <v>-14.369896498999999</v>
      </c>
      <c r="I429" s="100" t="s">
        <v>2405</v>
      </c>
    </row>
    <row r="430" spans="1:9">
      <c r="A430" s="95" t="s">
        <v>2408</v>
      </c>
      <c r="B430" s="96" t="s">
        <v>2404</v>
      </c>
      <c r="C430" s="96" t="s">
        <v>410</v>
      </c>
      <c r="D430" s="96" t="s">
        <v>1966</v>
      </c>
      <c r="E430" s="96" t="s">
        <v>2731</v>
      </c>
      <c r="F430" s="96" t="s">
        <v>1965</v>
      </c>
      <c r="G430" s="88">
        <v>0</v>
      </c>
      <c r="H430" s="91">
        <v>0</v>
      </c>
      <c r="I430" s="100" t="s">
        <v>2405</v>
      </c>
    </row>
    <row r="431" spans="1:9">
      <c r="A431" s="95" t="s">
        <v>2408</v>
      </c>
      <c r="B431" s="96" t="s">
        <v>2404</v>
      </c>
      <c r="C431" s="96" t="s">
        <v>410</v>
      </c>
      <c r="D431" s="96" t="s">
        <v>2732</v>
      </c>
      <c r="E431" s="96" t="s">
        <v>2733</v>
      </c>
      <c r="F431" s="96" t="s">
        <v>1967</v>
      </c>
      <c r="G431" s="88">
        <v>-2259083819</v>
      </c>
      <c r="H431" s="91">
        <v>-2.2590838190000002</v>
      </c>
      <c r="I431" s="100" t="s">
        <v>2405</v>
      </c>
    </row>
    <row r="432" spans="1:9">
      <c r="A432" s="95" t="s">
        <v>2408</v>
      </c>
      <c r="B432" s="96" t="s">
        <v>2404</v>
      </c>
      <c r="C432" s="96" t="s">
        <v>410</v>
      </c>
      <c r="D432" s="96" t="s">
        <v>2734</v>
      </c>
      <c r="E432" s="96" t="s">
        <v>2735</v>
      </c>
      <c r="F432" s="96" t="s">
        <v>2736</v>
      </c>
      <c r="G432" s="88">
        <v>602436659709</v>
      </c>
      <c r="H432" s="91">
        <v>602.43665970899997</v>
      </c>
      <c r="I432" s="100" t="s">
        <v>2405</v>
      </c>
    </row>
    <row r="433" spans="1:9">
      <c r="A433" s="95" t="s">
        <v>2408</v>
      </c>
      <c r="B433" s="96" t="s">
        <v>2404</v>
      </c>
      <c r="C433" s="96" t="s">
        <v>410</v>
      </c>
      <c r="D433" s="96" t="s">
        <v>2737</v>
      </c>
      <c r="E433" s="96" t="s">
        <v>2738</v>
      </c>
      <c r="F433" s="96" t="s">
        <v>2739</v>
      </c>
      <c r="G433" s="88">
        <v>-12467986152</v>
      </c>
      <c r="H433" s="91">
        <v>-12.467986152</v>
      </c>
      <c r="I433" s="100" t="s">
        <v>2405</v>
      </c>
    </row>
    <row r="434" spans="1:9">
      <c r="A434" s="95" t="s">
        <v>2408</v>
      </c>
      <c r="B434" s="96" t="s">
        <v>2404</v>
      </c>
      <c r="C434" s="96" t="s">
        <v>410</v>
      </c>
      <c r="D434" s="96" t="s">
        <v>2740</v>
      </c>
      <c r="E434" s="96" t="s">
        <v>2741</v>
      </c>
      <c r="F434" s="96" t="s">
        <v>2742</v>
      </c>
      <c r="G434" s="88">
        <v>273331650</v>
      </c>
      <c r="H434" s="91">
        <v>0.27333164999999998</v>
      </c>
      <c r="I434" s="100" t="s">
        <v>2405</v>
      </c>
    </row>
    <row r="435" spans="1:9">
      <c r="A435" s="95" t="s">
        <v>2408</v>
      </c>
      <c r="B435" s="96" t="s">
        <v>2404</v>
      </c>
      <c r="C435" s="96" t="s">
        <v>410</v>
      </c>
      <c r="D435" s="96" t="s">
        <v>2743</v>
      </c>
      <c r="E435" s="96" t="s">
        <v>2744</v>
      </c>
      <c r="F435" s="96" t="s">
        <v>2745</v>
      </c>
      <c r="G435" s="88">
        <v>-1084381504061</v>
      </c>
      <c r="H435" s="91">
        <v>-1084.381504061</v>
      </c>
      <c r="I435" s="100" t="s">
        <v>2405</v>
      </c>
    </row>
    <row r="436" spans="1:9">
      <c r="A436" s="95" t="s">
        <v>2408</v>
      </c>
      <c r="B436" s="96" t="s">
        <v>2404</v>
      </c>
      <c r="C436" s="96" t="s">
        <v>410</v>
      </c>
      <c r="D436" s="96" t="s">
        <v>2746</v>
      </c>
      <c r="E436" s="96" t="s">
        <v>2747</v>
      </c>
      <c r="F436" s="96" t="s">
        <v>2748</v>
      </c>
      <c r="G436" s="88">
        <v>159142842068</v>
      </c>
      <c r="H436" s="91">
        <v>159.14284206799999</v>
      </c>
      <c r="I436" s="100" t="s">
        <v>2405</v>
      </c>
    </row>
    <row r="437" spans="1:9">
      <c r="A437" s="95" t="s">
        <v>2408</v>
      </c>
      <c r="B437" s="96" t="s">
        <v>2404</v>
      </c>
      <c r="C437" s="96" t="s">
        <v>410</v>
      </c>
      <c r="D437" s="96" t="s">
        <v>1816</v>
      </c>
      <c r="E437" s="96" t="s">
        <v>2749</v>
      </c>
      <c r="F437" s="96" t="s">
        <v>2750</v>
      </c>
      <c r="G437" s="88">
        <v>0</v>
      </c>
      <c r="H437" s="91">
        <v>0</v>
      </c>
      <c r="I437" s="100" t="s">
        <v>2405</v>
      </c>
    </row>
    <row r="438" spans="1:9">
      <c r="A438" s="95" t="s">
        <v>2408</v>
      </c>
      <c r="B438" s="96" t="s">
        <v>2404</v>
      </c>
      <c r="C438" s="96" t="s">
        <v>410</v>
      </c>
      <c r="D438" s="96" t="s">
        <v>2751</v>
      </c>
      <c r="E438" s="96" t="s">
        <v>2752</v>
      </c>
      <c r="F438" s="96" t="s">
        <v>2753</v>
      </c>
      <c r="G438" s="88">
        <v>0</v>
      </c>
      <c r="H438" s="91">
        <v>0</v>
      </c>
      <c r="I438" s="100" t="s">
        <v>2405</v>
      </c>
    </row>
    <row r="439" spans="1:9">
      <c r="A439" s="95" t="s">
        <v>2408</v>
      </c>
      <c r="B439" s="96" t="s">
        <v>2404</v>
      </c>
      <c r="C439" s="96" t="s">
        <v>410</v>
      </c>
      <c r="D439" s="96" t="s">
        <v>2754</v>
      </c>
      <c r="E439" s="96" t="s">
        <v>2755</v>
      </c>
      <c r="F439" s="96" t="s">
        <v>2756</v>
      </c>
      <c r="G439" s="88">
        <v>45058487138</v>
      </c>
      <c r="H439" s="91">
        <v>45.058487137999997</v>
      </c>
      <c r="I439" s="100" t="s">
        <v>2405</v>
      </c>
    </row>
    <row r="440" spans="1:9">
      <c r="A440" s="95" t="s">
        <v>2408</v>
      </c>
      <c r="B440" s="96" t="s">
        <v>2404</v>
      </c>
      <c r="C440" s="96" t="s">
        <v>410</v>
      </c>
      <c r="D440" s="96" t="s">
        <v>2757</v>
      </c>
      <c r="E440" s="96" t="s">
        <v>2758</v>
      </c>
      <c r="F440" s="96" t="s">
        <v>1664</v>
      </c>
      <c r="G440" s="88">
        <v>-892374829357</v>
      </c>
      <c r="H440" s="91">
        <v>-892.37482935699995</v>
      </c>
      <c r="I440" s="100" t="s">
        <v>2405</v>
      </c>
    </row>
    <row r="441" spans="1:9">
      <c r="A441" s="95" t="s">
        <v>2408</v>
      </c>
      <c r="B441" s="96" t="s">
        <v>2404</v>
      </c>
      <c r="C441" s="96" t="s">
        <v>410</v>
      </c>
      <c r="D441" s="96" t="s">
        <v>2759</v>
      </c>
      <c r="E441" s="96" t="s">
        <v>2760</v>
      </c>
      <c r="F441" s="96" t="s">
        <v>2761</v>
      </c>
      <c r="G441" s="88">
        <v>0</v>
      </c>
      <c r="H441" s="91">
        <v>0</v>
      </c>
      <c r="I441" s="100" t="s">
        <v>2405</v>
      </c>
    </row>
    <row r="442" spans="1:9">
      <c r="A442" s="95" t="s">
        <v>2408</v>
      </c>
      <c r="B442" s="96" t="s">
        <v>2404</v>
      </c>
      <c r="C442" s="96" t="s">
        <v>410</v>
      </c>
      <c r="D442" s="96" t="s">
        <v>2762</v>
      </c>
      <c r="E442" s="96" t="s">
        <v>2763</v>
      </c>
      <c r="F442" s="96" t="s">
        <v>2764</v>
      </c>
      <c r="G442" s="88">
        <v>0</v>
      </c>
      <c r="H442" s="91">
        <v>0</v>
      </c>
      <c r="I442" s="100" t="s">
        <v>2405</v>
      </c>
    </row>
    <row r="443" spans="1:9">
      <c r="A443" s="95" t="s">
        <v>2408</v>
      </c>
      <c r="B443" s="96" t="s">
        <v>2404</v>
      </c>
      <c r="C443" s="96" t="s">
        <v>410</v>
      </c>
      <c r="D443" s="96" t="s">
        <v>2765</v>
      </c>
      <c r="E443" s="96" t="s">
        <v>2766</v>
      </c>
      <c r="F443" s="96" t="s">
        <v>2767</v>
      </c>
      <c r="G443" s="88">
        <v>3517350078087</v>
      </c>
      <c r="H443" s="91">
        <v>3517.3500780869999</v>
      </c>
      <c r="I443" s="100" t="s">
        <v>2405</v>
      </c>
    </row>
    <row r="444" spans="1:9">
      <c r="A444" s="95" t="s">
        <v>2408</v>
      </c>
      <c r="B444" s="96" t="s">
        <v>2404</v>
      </c>
      <c r="C444" s="96" t="s">
        <v>410</v>
      </c>
      <c r="D444" s="96" t="s">
        <v>2768</v>
      </c>
      <c r="E444" s="96" t="s">
        <v>2769</v>
      </c>
      <c r="F444" s="96" t="s">
        <v>2770</v>
      </c>
      <c r="G444" s="88">
        <v>-3849486475681</v>
      </c>
      <c r="H444" s="91">
        <v>-3849.4864756809998</v>
      </c>
      <c r="I444" s="100" t="s">
        <v>2405</v>
      </c>
    </row>
    <row r="445" spans="1:9">
      <c r="A445" s="95" t="s">
        <v>2408</v>
      </c>
      <c r="B445" s="96" t="s">
        <v>2404</v>
      </c>
      <c r="C445" s="96" t="s">
        <v>410</v>
      </c>
      <c r="D445" s="96" t="s">
        <v>2771</v>
      </c>
      <c r="E445" s="96" t="s">
        <v>2772</v>
      </c>
      <c r="F445" s="96" t="s">
        <v>2773</v>
      </c>
      <c r="G445" s="88">
        <v>0</v>
      </c>
      <c r="H445" s="91">
        <v>0</v>
      </c>
      <c r="I445" s="100" t="s">
        <v>2405</v>
      </c>
    </row>
    <row r="446" spans="1:9">
      <c r="A446" s="95" t="s">
        <v>2408</v>
      </c>
      <c r="B446" s="96" t="s">
        <v>2404</v>
      </c>
      <c r="C446" s="96" t="s">
        <v>410</v>
      </c>
      <c r="D446" s="96" t="s">
        <v>2132</v>
      </c>
      <c r="E446" s="96" t="s">
        <v>2131</v>
      </c>
      <c r="F446" s="96" t="s">
        <v>2774</v>
      </c>
      <c r="G446" s="88">
        <v>-12741579265</v>
      </c>
      <c r="H446" s="91">
        <v>-12.741579265</v>
      </c>
      <c r="I446" s="100" t="s">
        <v>2405</v>
      </c>
    </row>
    <row r="447" spans="1:9">
      <c r="A447" s="95" t="s">
        <v>2408</v>
      </c>
      <c r="B447" s="96" t="s">
        <v>2404</v>
      </c>
      <c r="C447" s="96" t="s">
        <v>410</v>
      </c>
      <c r="D447" s="96" t="s">
        <v>2775</v>
      </c>
      <c r="E447" s="96" t="s">
        <v>2776</v>
      </c>
      <c r="F447" s="96" t="s">
        <v>2777</v>
      </c>
      <c r="G447" s="88">
        <v>0</v>
      </c>
      <c r="H447" s="91">
        <v>0</v>
      </c>
      <c r="I447" s="100" t="s">
        <v>2405</v>
      </c>
    </row>
    <row r="448" spans="1:9">
      <c r="A448" s="95" t="s">
        <v>2408</v>
      </c>
      <c r="B448" s="96" t="s">
        <v>2404</v>
      </c>
      <c r="C448" s="96" t="s">
        <v>410</v>
      </c>
      <c r="D448" s="96" t="s">
        <v>2778</v>
      </c>
      <c r="E448" s="96" t="s">
        <v>2779</v>
      </c>
      <c r="F448" s="96" t="s">
        <v>1668</v>
      </c>
      <c r="G448" s="88">
        <v>-344877976859</v>
      </c>
      <c r="H448" s="91">
        <v>-344.877976859</v>
      </c>
      <c r="I448" s="100" t="s">
        <v>2405</v>
      </c>
    </row>
    <row r="449" spans="1:9">
      <c r="A449" s="95" t="s">
        <v>2408</v>
      </c>
      <c r="B449" s="96" t="s">
        <v>2404</v>
      </c>
      <c r="C449" s="96" t="s">
        <v>410</v>
      </c>
      <c r="D449" s="96" t="s">
        <v>2780</v>
      </c>
      <c r="E449" s="96" t="s">
        <v>2781</v>
      </c>
      <c r="F449" s="96" t="s">
        <v>1669</v>
      </c>
      <c r="G449" s="88">
        <v>-634816146507</v>
      </c>
      <c r="H449" s="91">
        <v>-634.81614650699998</v>
      </c>
      <c r="I449" s="100" t="s">
        <v>2405</v>
      </c>
    </row>
    <row r="450" spans="1:9">
      <c r="A450" s="95" t="s">
        <v>2408</v>
      </c>
      <c r="B450" s="96" t="s">
        <v>2404</v>
      </c>
      <c r="C450" s="96" t="s">
        <v>410</v>
      </c>
      <c r="D450" s="96" t="s">
        <v>2782</v>
      </c>
      <c r="E450" s="96" t="s">
        <v>2783</v>
      </c>
      <c r="F450" s="96" t="s">
        <v>1670</v>
      </c>
      <c r="G450" s="88">
        <v>1766009708784</v>
      </c>
      <c r="H450" s="91">
        <v>1766.0097087839999</v>
      </c>
      <c r="I450" s="100" t="s">
        <v>2405</v>
      </c>
    </row>
    <row r="451" spans="1:9">
      <c r="A451" s="95" t="s">
        <v>2408</v>
      </c>
      <c r="B451" s="96" t="s">
        <v>2404</v>
      </c>
      <c r="C451" s="96" t="s">
        <v>410</v>
      </c>
      <c r="D451" s="96" t="s">
        <v>2784</v>
      </c>
      <c r="E451" s="96" t="s">
        <v>2785</v>
      </c>
      <c r="F451" s="96" t="s">
        <v>1671</v>
      </c>
      <c r="G451" s="88">
        <v>0</v>
      </c>
      <c r="H451" s="91">
        <v>0</v>
      </c>
      <c r="I451" s="100" t="s">
        <v>2405</v>
      </c>
    </row>
    <row r="452" spans="1:9">
      <c r="A452" s="95" t="s">
        <v>2408</v>
      </c>
      <c r="B452" s="96" t="s">
        <v>2404</v>
      </c>
      <c r="C452" s="96" t="s">
        <v>410</v>
      </c>
      <c r="D452" s="96" t="s">
        <v>2786</v>
      </c>
      <c r="E452" s="96" t="s">
        <v>2787</v>
      </c>
      <c r="F452" s="96" t="s">
        <v>1672</v>
      </c>
      <c r="G452" s="88">
        <v>1131193562277</v>
      </c>
      <c r="H452" s="91">
        <v>1131.193562277</v>
      </c>
      <c r="I452" s="100" t="s">
        <v>2405</v>
      </c>
    </row>
    <row r="453" spans="1:9">
      <c r="A453" s="95" t="s">
        <v>2408</v>
      </c>
      <c r="B453" s="96" t="s">
        <v>2404</v>
      </c>
      <c r="C453" s="96" t="s">
        <v>410</v>
      </c>
      <c r="D453" s="96" t="s">
        <v>2788</v>
      </c>
      <c r="E453" s="96" t="s">
        <v>2789</v>
      </c>
      <c r="F453" s="96" t="s">
        <v>1949</v>
      </c>
      <c r="G453" s="88">
        <v>0</v>
      </c>
      <c r="H453" s="91">
        <v>0</v>
      </c>
      <c r="I453" s="100" t="s">
        <v>2405</v>
      </c>
    </row>
    <row r="454" spans="1:9">
      <c r="A454" s="95" t="s">
        <v>2408</v>
      </c>
      <c r="B454" s="96" t="s">
        <v>2404</v>
      </c>
      <c r="C454" s="96" t="s">
        <v>410</v>
      </c>
      <c r="D454" s="96" t="s">
        <v>1952</v>
      </c>
      <c r="E454" s="96" t="s">
        <v>2790</v>
      </c>
      <c r="F454" s="96" t="s">
        <v>1951</v>
      </c>
      <c r="G454" s="88">
        <v>0</v>
      </c>
      <c r="H454" s="91">
        <v>0</v>
      </c>
      <c r="I454" s="100" t="s">
        <v>2405</v>
      </c>
    </row>
    <row r="455" spans="1:9">
      <c r="A455" s="95" t="s">
        <v>2408</v>
      </c>
      <c r="B455" s="96" t="s">
        <v>2404</v>
      </c>
      <c r="C455" s="96" t="s">
        <v>410</v>
      </c>
      <c r="D455" s="96" t="s">
        <v>2791</v>
      </c>
      <c r="E455" s="96" t="s">
        <v>2792</v>
      </c>
      <c r="F455" s="96" t="s">
        <v>2793</v>
      </c>
      <c r="G455" s="88">
        <v>-4827036938</v>
      </c>
      <c r="H455" s="91">
        <v>-4.827036938</v>
      </c>
      <c r="I455" s="100" t="s">
        <v>2405</v>
      </c>
    </row>
    <row r="456" spans="1:9">
      <c r="A456" s="95" t="s">
        <v>2408</v>
      </c>
      <c r="B456" s="96" t="s">
        <v>1034</v>
      </c>
      <c r="C456" s="96" t="s">
        <v>410</v>
      </c>
      <c r="D456" s="96" t="s">
        <v>2697</v>
      </c>
      <c r="E456" s="96" t="s">
        <v>2698</v>
      </c>
      <c r="F456" s="96" t="s">
        <v>2699</v>
      </c>
      <c r="G456" s="88">
        <v>125956430503</v>
      </c>
      <c r="H456" s="91">
        <v>125.95643050300001</v>
      </c>
      <c r="I456" s="100" t="s">
        <v>2405</v>
      </c>
    </row>
    <row r="457" spans="1:9">
      <c r="A457" s="95" t="s">
        <v>2408</v>
      </c>
      <c r="B457" s="96" t="s">
        <v>1034</v>
      </c>
      <c r="C457" s="96" t="s">
        <v>410</v>
      </c>
      <c r="D457" s="96" t="s">
        <v>2700</v>
      </c>
      <c r="E457" s="96" t="s">
        <v>2701</v>
      </c>
      <c r="F457" s="96" t="s">
        <v>1659</v>
      </c>
      <c r="G457" s="88">
        <v>19771110515</v>
      </c>
      <c r="H457" s="91">
        <v>19.771110515</v>
      </c>
      <c r="I457" s="100" t="s">
        <v>2405</v>
      </c>
    </row>
    <row r="458" spans="1:9">
      <c r="A458" s="95" t="s">
        <v>2408</v>
      </c>
      <c r="B458" s="96" t="s">
        <v>1034</v>
      </c>
      <c r="C458" s="96" t="s">
        <v>410</v>
      </c>
      <c r="D458" s="96" t="s">
        <v>2090</v>
      </c>
      <c r="E458" s="96" t="s">
        <v>2089</v>
      </c>
      <c r="F458" s="96" t="s">
        <v>2702</v>
      </c>
      <c r="G458" s="88">
        <v>8552716008</v>
      </c>
      <c r="H458" s="91">
        <v>8.5527160080000009</v>
      </c>
      <c r="I458" s="100" t="s">
        <v>2405</v>
      </c>
    </row>
    <row r="459" spans="1:9">
      <c r="A459" s="95" t="s">
        <v>2408</v>
      </c>
      <c r="B459" s="96" t="s">
        <v>1034</v>
      </c>
      <c r="C459" s="96" t="s">
        <v>410</v>
      </c>
      <c r="D459" s="96" t="s">
        <v>2703</v>
      </c>
      <c r="E459" s="96" t="s">
        <v>2704</v>
      </c>
      <c r="F459" s="96" t="s">
        <v>2705</v>
      </c>
      <c r="G459" s="88">
        <v>-9239182868</v>
      </c>
      <c r="H459" s="91">
        <v>-9.2391828680000003</v>
      </c>
      <c r="I459" s="100" t="s">
        <v>2405</v>
      </c>
    </row>
    <row r="460" spans="1:9">
      <c r="A460" s="95" t="s">
        <v>2408</v>
      </c>
      <c r="B460" s="96" t="s">
        <v>1034</v>
      </c>
      <c r="C460" s="96" t="s">
        <v>410</v>
      </c>
      <c r="D460" s="96" t="s">
        <v>2706</v>
      </c>
      <c r="E460" s="96" t="s">
        <v>2707</v>
      </c>
      <c r="F460" s="96" t="s">
        <v>2708</v>
      </c>
      <c r="G460" s="88">
        <v>0</v>
      </c>
      <c r="H460" s="91">
        <v>0</v>
      </c>
      <c r="I460" s="100" t="s">
        <v>2405</v>
      </c>
    </row>
    <row r="461" spans="1:9">
      <c r="A461" s="95" t="s">
        <v>2408</v>
      </c>
      <c r="B461" s="96" t="s">
        <v>1034</v>
      </c>
      <c r="C461" s="96" t="s">
        <v>410</v>
      </c>
      <c r="D461" s="96" t="s">
        <v>2709</v>
      </c>
      <c r="E461" s="96" t="s">
        <v>2710</v>
      </c>
      <c r="F461" s="96" t="s">
        <v>2711</v>
      </c>
      <c r="G461" s="88">
        <v>-82566878780</v>
      </c>
      <c r="H461" s="91">
        <v>-82.566878779999996</v>
      </c>
      <c r="I461" s="100" t="s">
        <v>2405</v>
      </c>
    </row>
    <row r="462" spans="1:9">
      <c r="A462" s="95" t="s">
        <v>2408</v>
      </c>
      <c r="B462" s="96" t="s">
        <v>1034</v>
      </c>
      <c r="C462" s="96" t="s">
        <v>410</v>
      </c>
      <c r="D462" s="96" t="s">
        <v>2021</v>
      </c>
      <c r="E462" s="96" t="s">
        <v>2712</v>
      </c>
      <c r="F462" s="96" t="s">
        <v>2355</v>
      </c>
      <c r="G462" s="88">
        <v>118682433154</v>
      </c>
      <c r="H462" s="91">
        <v>118.68243315399999</v>
      </c>
      <c r="I462" s="100" t="s">
        <v>2405</v>
      </c>
    </row>
    <row r="463" spans="1:9">
      <c r="A463" s="95" t="s">
        <v>2408</v>
      </c>
      <c r="B463" s="96" t="s">
        <v>1034</v>
      </c>
      <c r="C463" s="96" t="s">
        <v>410</v>
      </c>
      <c r="D463" s="96" t="s">
        <v>2713</v>
      </c>
      <c r="E463" s="96" t="s">
        <v>2714</v>
      </c>
      <c r="F463" s="96" t="s">
        <v>2715</v>
      </c>
      <c r="G463" s="88">
        <v>0</v>
      </c>
      <c r="H463" s="91">
        <v>0</v>
      </c>
      <c r="I463" s="100" t="s">
        <v>2405</v>
      </c>
    </row>
    <row r="464" spans="1:9">
      <c r="A464" s="95" t="s">
        <v>2408</v>
      </c>
      <c r="B464" s="96" t="s">
        <v>1034</v>
      </c>
      <c r="C464" s="96" t="s">
        <v>410</v>
      </c>
      <c r="D464" s="96" t="s">
        <v>2716</v>
      </c>
      <c r="E464" s="96" t="s">
        <v>2717</v>
      </c>
      <c r="F464" s="96" t="s">
        <v>2718</v>
      </c>
      <c r="G464" s="88">
        <v>181156628532</v>
      </c>
      <c r="H464" s="91">
        <v>181.15662853200001</v>
      </c>
      <c r="I464" s="100" t="s">
        <v>2405</v>
      </c>
    </row>
    <row r="465" spans="1:9">
      <c r="A465" s="95" t="s">
        <v>2408</v>
      </c>
      <c r="B465" s="96" t="s">
        <v>1034</v>
      </c>
      <c r="C465" s="96" t="s">
        <v>410</v>
      </c>
      <c r="D465" s="96" t="s">
        <v>1956</v>
      </c>
      <c r="E465" s="96" t="s">
        <v>2719</v>
      </c>
      <c r="F465" s="96" t="s">
        <v>2720</v>
      </c>
      <c r="G465" s="88">
        <v>-904112635482</v>
      </c>
      <c r="H465" s="91">
        <v>-904.11263548199997</v>
      </c>
      <c r="I465" s="100" t="s">
        <v>2405</v>
      </c>
    </row>
    <row r="466" spans="1:9">
      <c r="A466" s="95" t="s">
        <v>2408</v>
      </c>
      <c r="B466" s="96" t="s">
        <v>1034</v>
      </c>
      <c r="C466" s="96" t="s">
        <v>410</v>
      </c>
      <c r="D466" s="96" t="s">
        <v>1958</v>
      </c>
      <c r="E466" s="96" t="s">
        <v>2721</v>
      </c>
      <c r="F466" s="96" t="s">
        <v>2722</v>
      </c>
      <c r="G466" s="88">
        <v>168665532392</v>
      </c>
      <c r="H466" s="91">
        <v>168.66553239199999</v>
      </c>
      <c r="I466" s="100" t="s">
        <v>2405</v>
      </c>
    </row>
    <row r="467" spans="1:9">
      <c r="A467" s="95" t="s">
        <v>2408</v>
      </c>
      <c r="B467" s="96" t="s">
        <v>1034</v>
      </c>
      <c r="C467" s="96" t="s">
        <v>410</v>
      </c>
      <c r="D467" s="96" t="s">
        <v>2723</v>
      </c>
      <c r="E467" s="96" t="s">
        <v>2724</v>
      </c>
      <c r="F467" s="96" t="s">
        <v>2725</v>
      </c>
      <c r="G467" s="88">
        <v>-114061126280</v>
      </c>
      <c r="H467" s="91">
        <v>-114.06112628</v>
      </c>
      <c r="I467" s="100" t="s">
        <v>2405</v>
      </c>
    </row>
    <row r="468" spans="1:9">
      <c r="A468" s="95" t="s">
        <v>2408</v>
      </c>
      <c r="B468" s="96" t="s">
        <v>1034</v>
      </c>
      <c r="C468" s="96" t="s">
        <v>410</v>
      </c>
      <c r="D468" s="96" t="s">
        <v>2726</v>
      </c>
      <c r="E468" s="96" t="s">
        <v>2727</v>
      </c>
      <c r="F468" s="96" t="s">
        <v>2728</v>
      </c>
      <c r="G468" s="88">
        <v>2305985606</v>
      </c>
      <c r="H468" s="91">
        <v>2.3059856060000001</v>
      </c>
      <c r="I468" s="100" t="s">
        <v>2405</v>
      </c>
    </row>
    <row r="469" spans="1:9">
      <c r="A469" s="95" t="s">
        <v>2408</v>
      </c>
      <c r="B469" s="96" t="s">
        <v>1034</v>
      </c>
      <c r="C469" s="96" t="s">
        <v>410</v>
      </c>
      <c r="D469" s="96" t="s">
        <v>2107</v>
      </c>
      <c r="E469" s="96" t="s">
        <v>2106</v>
      </c>
      <c r="F469" s="96" t="s">
        <v>2729</v>
      </c>
      <c r="G469" s="88">
        <v>-118682433154</v>
      </c>
      <c r="H469" s="91">
        <v>-118.68243315399999</v>
      </c>
      <c r="I469" s="100" t="s">
        <v>2405</v>
      </c>
    </row>
    <row r="470" spans="1:9">
      <c r="A470" s="95" t="s">
        <v>2408</v>
      </c>
      <c r="B470" s="96" t="s">
        <v>1034</v>
      </c>
      <c r="C470" s="96" t="s">
        <v>410</v>
      </c>
      <c r="D470" s="96" t="s">
        <v>109</v>
      </c>
      <c r="E470" s="96" t="s">
        <v>2730</v>
      </c>
      <c r="F470" s="96" t="s">
        <v>1661</v>
      </c>
      <c r="G470" s="88">
        <v>-34918588930</v>
      </c>
      <c r="H470" s="91">
        <v>-34.918588929999999</v>
      </c>
      <c r="I470" s="100" t="s">
        <v>2405</v>
      </c>
    </row>
    <row r="471" spans="1:9">
      <c r="A471" s="95" t="s">
        <v>2408</v>
      </c>
      <c r="B471" s="96" t="s">
        <v>1034</v>
      </c>
      <c r="C471" s="96" t="s">
        <v>410</v>
      </c>
      <c r="D471" s="96" t="s">
        <v>1966</v>
      </c>
      <c r="E471" s="96" t="s">
        <v>2731</v>
      </c>
      <c r="F471" s="96" t="s">
        <v>1965</v>
      </c>
      <c r="G471" s="88">
        <v>0</v>
      </c>
      <c r="H471" s="91">
        <v>0</v>
      </c>
      <c r="I471" s="100" t="s">
        <v>2405</v>
      </c>
    </row>
    <row r="472" spans="1:9">
      <c r="A472" s="95" t="s">
        <v>2408</v>
      </c>
      <c r="B472" s="96" t="s">
        <v>1034</v>
      </c>
      <c r="C472" s="96" t="s">
        <v>410</v>
      </c>
      <c r="D472" s="96" t="s">
        <v>2732</v>
      </c>
      <c r="E472" s="96" t="s">
        <v>2733</v>
      </c>
      <c r="F472" s="96" t="s">
        <v>1967</v>
      </c>
      <c r="G472" s="88">
        <v>-2269828793</v>
      </c>
      <c r="H472" s="91">
        <v>-2.2698287929999998</v>
      </c>
      <c r="I472" s="100" t="s">
        <v>2405</v>
      </c>
    </row>
    <row r="473" spans="1:9">
      <c r="A473" s="95" t="s">
        <v>2408</v>
      </c>
      <c r="B473" s="96" t="s">
        <v>1034</v>
      </c>
      <c r="C473" s="96" t="s">
        <v>410</v>
      </c>
      <c r="D473" s="96" t="s">
        <v>2734</v>
      </c>
      <c r="E473" s="96" t="s">
        <v>2735</v>
      </c>
      <c r="F473" s="96" t="s">
        <v>2736</v>
      </c>
      <c r="G473" s="88">
        <v>-894081011198</v>
      </c>
      <c r="H473" s="91">
        <v>-894.08101119800006</v>
      </c>
      <c r="I473" s="100" t="s">
        <v>2405</v>
      </c>
    </row>
    <row r="474" spans="1:9">
      <c r="A474" s="95" t="s">
        <v>2408</v>
      </c>
      <c r="B474" s="96" t="s">
        <v>1034</v>
      </c>
      <c r="C474" s="96" t="s">
        <v>410</v>
      </c>
      <c r="D474" s="96" t="s">
        <v>2737</v>
      </c>
      <c r="E474" s="96" t="s">
        <v>2738</v>
      </c>
      <c r="F474" s="96" t="s">
        <v>2739</v>
      </c>
      <c r="G474" s="88">
        <v>-12894698221</v>
      </c>
      <c r="H474" s="91">
        <v>-12.894698221000001</v>
      </c>
      <c r="I474" s="100" t="s">
        <v>2405</v>
      </c>
    </row>
    <row r="475" spans="1:9">
      <c r="A475" s="95" t="s">
        <v>2408</v>
      </c>
      <c r="B475" s="96" t="s">
        <v>1034</v>
      </c>
      <c r="C475" s="96" t="s">
        <v>410</v>
      </c>
      <c r="D475" s="96" t="s">
        <v>2740</v>
      </c>
      <c r="E475" s="96" t="s">
        <v>2741</v>
      </c>
      <c r="F475" s="96" t="s">
        <v>2742</v>
      </c>
      <c r="G475" s="88">
        <v>563795490</v>
      </c>
      <c r="H475" s="91">
        <v>0.56379548999999995</v>
      </c>
      <c r="I475" s="100" t="s">
        <v>2405</v>
      </c>
    </row>
    <row r="476" spans="1:9">
      <c r="A476" s="95" t="s">
        <v>2408</v>
      </c>
      <c r="B476" s="96" t="s">
        <v>1034</v>
      </c>
      <c r="C476" s="96" t="s">
        <v>410</v>
      </c>
      <c r="D476" s="96" t="s">
        <v>2743</v>
      </c>
      <c r="E476" s="96" t="s">
        <v>2744</v>
      </c>
      <c r="F476" s="96" t="s">
        <v>2745</v>
      </c>
      <c r="G476" s="88">
        <v>-1717026542715</v>
      </c>
      <c r="H476" s="91">
        <v>-1717.026542715</v>
      </c>
      <c r="I476" s="100" t="s">
        <v>2405</v>
      </c>
    </row>
    <row r="477" spans="1:9">
      <c r="A477" s="95" t="s">
        <v>2408</v>
      </c>
      <c r="B477" s="96" t="s">
        <v>1034</v>
      </c>
      <c r="C477" s="96" t="s">
        <v>410</v>
      </c>
      <c r="D477" s="96" t="s">
        <v>2746</v>
      </c>
      <c r="E477" s="96" t="s">
        <v>2747</v>
      </c>
      <c r="F477" s="96" t="s">
        <v>2748</v>
      </c>
      <c r="G477" s="88">
        <v>1556247260162</v>
      </c>
      <c r="H477" s="91">
        <v>1556.247260162</v>
      </c>
      <c r="I477" s="100" t="s">
        <v>2405</v>
      </c>
    </row>
    <row r="478" spans="1:9">
      <c r="A478" s="95" t="s">
        <v>2408</v>
      </c>
      <c r="B478" s="96" t="s">
        <v>1034</v>
      </c>
      <c r="C478" s="96" t="s">
        <v>410</v>
      </c>
      <c r="D478" s="96" t="s">
        <v>1816</v>
      </c>
      <c r="E478" s="96" t="s">
        <v>2749</v>
      </c>
      <c r="F478" s="96" t="s">
        <v>2750</v>
      </c>
      <c r="G478" s="88">
        <v>0</v>
      </c>
      <c r="H478" s="91">
        <v>0</v>
      </c>
      <c r="I478" s="100" t="s">
        <v>2405</v>
      </c>
    </row>
    <row r="479" spans="1:9">
      <c r="A479" s="95" t="s">
        <v>2408</v>
      </c>
      <c r="B479" s="96" t="s">
        <v>1034</v>
      </c>
      <c r="C479" s="96" t="s">
        <v>410</v>
      </c>
      <c r="D479" s="96" t="s">
        <v>2751</v>
      </c>
      <c r="E479" s="96" t="s">
        <v>2752</v>
      </c>
      <c r="F479" s="96" t="s">
        <v>2753</v>
      </c>
      <c r="G479" s="88">
        <v>0</v>
      </c>
      <c r="H479" s="91">
        <v>0</v>
      </c>
      <c r="I479" s="100" t="s">
        <v>2405</v>
      </c>
    </row>
    <row r="480" spans="1:9">
      <c r="A480" s="95" t="s">
        <v>2408</v>
      </c>
      <c r="B480" s="96" t="s">
        <v>1034</v>
      </c>
      <c r="C480" s="96" t="s">
        <v>410</v>
      </c>
      <c r="D480" s="96" t="s">
        <v>2754</v>
      </c>
      <c r="E480" s="96" t="s">
        <v>2755</v>
      </c>
      <c r="F480" s="96" t="s">
        <v>2756</v>
      </c>
      <c r="G480" s="88">
        <v>82399753210</v>
      </c>
      <c r="H480" s="91">
        <v>82.39975321</v>
      </c>
      <c r="I480" s="100" t="s">
        <v>2405</v>
      </c>
    </row>
    <row r="481" spans="1:9">
      <c r="A481" s="95" t="s">
        <v>2408</v>
      </c>
      <c r="B481" s="96" t="s">
        <v>1034</v>
      </c>
      <c r="C481" s="96" t="s">
        <v>410</v>
      </c>
      <c r="D481" s="96" t="s">
        <v>2757</v>
      </c>
      <c r="E481" s="96" t="s">
        <v>2758</v>
      </c>
      <c r="F481" s="96" t="s">
        <v>1664</v>
      </c>
      <c r="G481" s="88">
        <v>-90710432074</v>
      </c>
      <c r="H481" s="91">
        <v>-90.710432073999996</v>
      </c>
      <c r="I481" s="100" t="s">
        <v>2405</v>
      </c>
    </row>
    <row r="482" spans="1:9">
      <c r="A482" s="95" t="s">
        <v>2408</v>
      </c>
      <c r="B482" s="96" t="s">
        <v>1034</v>
      </c>
      <c r="C482" s="96" t="s">
        <v>410</v>
      </c>
      <c r="D482" s="96" t="s">
        <v>2759</v>
      </c>
      <c r="E482" s="96" t="s">
        <v>2760</v>
      </c>
      <c r="F482" s="96" t="s">
        <v>2761</v>
      </c>
      <c r="G482" s="88">
        <v>0</v>
      </c>
      <c r="H482" s="91">
        <v>0</v>
      </c>
      <c r="I482" s="100" t="s">
        <v>2405</v>
      </c>
    </row>
    <row r="483" spans="1:9">
      <c r="A483" s="95" t="s">
        <v>2408</v>
      </c>
      <c r="B483" s="96" t="s">
        <v>1034</v>
      </c>
      <c r="C483" s="96" t="s">
        <v>410</v>
      </c>
      <c r="D483" s="96" t="s">
        <v>2762</v>
      </c>
      <c r="E483" s="96" t="s">
        <v>2763</v>
      </c>
      <c r="F483" s="96" t="s">
        <v>2764</v>
      </c>
      <c r="G483" s="88">
        <v>0</v>
      </c>
      <c r="H483" s="91">
        <v>0</v>
      </c>
      <c r="I483" s="100" t="s">
        <v>2405</v>
      </c>
    </row>
    <row r="484" spans="1:9">
      <c r="A484" s="95" t="s">
        <v>2408</v>
      </c>
      <c r="B484" s="96" t="s">
        <v>1034</v>
      </c>
      <c r="C484" s="96" t="s">
        <v>410</v>
      </c>
      <c r="D484" s="96" t="s">
        <v>2765</v>
      </c>
      <c r="E484" s="96" t="s">
        <v>2766</v>
      </c>
      <c r="F484" s="96" t="s">
        <v>2767</v>
      </c>
      <c r="G484" s="88">
        <v>7222314338324</v>
      </c>
      <c r="H484" s="91">
        <v>7222.3143383240003</v>
      </c>
      <c r="I484" s="100" t="s">
        <v>2405</v>
      </c>
    </row>
    <row r="485" spans="1:9">
      <c r="A485" s="95" t="s">
        <v>2408</v>
      </c>
      <c r="B485" s="96" t="s">
        <v>1034</v>
      </c>
      <c r="C485" s="96" t="s">
        <v>410</v>
      </c>
      <c r="D485" s="96" t="s">
        <v>2768</v>
      </c>
      <c r="E485" s="96" t="s">
        <v>2769</v>
      </c>
      <c r="F485" s="96" t="s">
        <v>2770</v>
      </c>
      <c r="G485" s="88">
        <v>-7055165610712</v>
      </c>
      <c r="H485" s="91">
        <v>-7055.1656107119998</v>
      </c>
      <c r="I485" s="100" t="s">
        <v>2405</v>
      </c>
    </row>
    <row r="486" spans="1:9">
      <c r="A486" s="95" t="s">
        <v>2408</v>
      </c>
      <c r="B486" s="96" t="s">
        <v>1034</v>
      </c>
      <c r="C486" s="96" t="s">
        <v>410</v>
      </c>
      <c r="D486" s="96" t="s">
        <v>2771</v>
      </c>
      <c r="E486" s="96" t="s">
        <v>2772</v>
      </c>
      <c r="F486" s="96" t="s">
        <v>2773</v>
      </c>
      <c r="G486" s="88">
        <v>0</v>
      </c>
      <c r="H486" s="91">
        <v>0</v>
      </c>
      <c r="I486" s="100" t="s">
        <v>2405</v>
      </c>
    </row>
    <row r="487" spans="1:9">
      <c r="A487" s="95" t="s">
        <v>2408</v>
      </c>
      <c r="B487" s="96" t="s">
        <v>1034</v>
      </c>
      <c r="C487" s="96" t="s">
        <v>410</v>
      </c>
      <c r="D487" s="96" t="s">
        <v>2132</v>
      </c>
      <c r="E487" s="96" t="s">
        <v>2131</v>
      </c>
      <c r="F487" s="96" t="s">
        <v>2774</v>
      </c>
      <c r="G487" s="88">
        <v>-39743776577</v>
      </c>
      <c r="H487" s="91">
        <v>-39.743776576999998</v>
      </c>
      <c r="I487" s="100" t="s">
        <v>2405</v>
      </c>
    </row>
    <row r="488" spans="1:9">
      <c r="A488" s="95" t="s">
        <v>2408</v>
      </c>
      <c r="B488" s="96" t="s">
        <v>1034</v>
      </c>
      <c r="C488" s="96" t="s">
        <v>410</v>
      </c>
      <c r="D488" s="96" t="s">
        <v>2775</v>
      </c>
      <c r="E488" s="96" t="s">
        <v>2776</v>
      </c>
      <c r="F488" s="96" t="s">
        <v>2777</v>
      </c>
      <c r="G488" s="88">
        <v>0</v>
      </c>
      <c r="H488" s="91">
        <v>0</v>
      </c>
      <c r="I488" s="100" t="s">
        <v>2405</v>
      </c>
    </row>
    <row r="489" spans="1:9">
      <c r="A489" s="95" t="s">
        <v>2408</v>
      </c>
      <c r="B489" s="96" t="s">
        <v>1034</v>
      </c>
      <c r="C489" s="96" t="s">
        <v>410</v>
      </c>
      <c r="D489" s="96" t="s">
        <v>2778</v>
      </c>
      <c r="E489" s="96" t="s">
        <v>2779</v>
      </c>
      <c r="F489" s="96" t="s">
        <v>1668</v>
      </c>
      <c r="G489" s="88">
        <v>127404951035</v>
      </c>
      <c r="H489" s="91">
        <v>127.404951035</v>
      </c>
      <c r="I489" s="100" t="s">
        <v>2405</v>
      </c>
    </row>
    <row r="490" spans="1:9">
      <c r="A490" s="95" t="s">
        <v>2408</v>
      </c>
      <c r="B490" s="96" t="s">
        <v>1034</v>
      </c>
      <c r="C490" s="96" t="s">
        <v>410</v>
      </c>
      <c r="D490" s="96" t="s">
        <v>2780</v>
      </c>
      <c r="E490" s="96" t="s">
        <v>2781</v>
      </c>
      <c r="F490" s="96" t="s">
        <v>1669</v>
      </c>
      <c r="G490" s="88">
        <v>-857386492237</v>
      </c>
      <c r="H490" s="91">
        <v>-857.38649223699997</v>
      </c>
      <c r="I490" s="100" t="s">
        <v>2405</v>
      </c>
    </row>
    <row r="491" spans="1:9">
      <c r="A491" s="95" t="s">
        <v>2408</v>
      </c>
      <c r="B491" s="96" t="s">
        <v>1034</v>
      </c>
      <c r="C491" s="96" t="s">
        <v>410</v>
      </c>
      <c r="D491" s="96" t="s">
        <v>2782</v>
      </c>
      <c r="E491" s="96" t="s">
        <v>2783</v>
      </c>
      <c r="F491" s="96" t="s">
        <v>1670</v>
      </c>
      <c r="G491" s="88">
        <v>1474323607521</v>
      </c>
      <c r="H491" s="91">
        <v>1474.323607521</v>
      </c>
      <c r="I491" s="100" t="s">
        <v>2405</v>
      </c>
    </row>
    <row r="492" spans="1:9">
      <c r="A492" s="95" t="s">
        <v>2408</v>
      </c>
      <c r="B492" s="96" t="s">
        <v>1034</v>
      </c>
      <c r="C492" s="96" t="s">
        <v>410</v>
      </c>
      <c r="D492" s="96" t="s">
        <v>2784</v>
      </c>
      <c r="E492" s="96" t="s">
        <v>2785</v>
      </c>
      <c r="F492" s="96" t="s">
        <v>1671</v>
      </c>
      <c r="G492" s="88">
        <v>0</v>
      </c>
      <c r="H492" s="91">
        <v>0</v>
      </c>
      <c r="I492" s="100" t="s">
        <v>2405</v>
      </c>
    </row>
    <row r="493" spans="1:9">
      <c r="A493" s="95" t="s">
        <v>2408</v>
      </c>
      <c r="B493" s="96" t="s">
        <v>1034</v>
      </c>
      <c r="C493" s="96" t="s">
        <v>410</v>
      </c>
      <c r="D493" s="96" t="s">
        <v>2786</v>
      </c>
      <c r="E493" s="96" t="s">
        <v>2787</v>
      </c>
      <c r="F493" s="96" t="s">
        <v>1672</v>
      </c>
      <c r="G493" s="88">
        <v>616937115284</v>
      </c>
      <c r="H493" s="91">
        <v>616.93711528400001</v>
      </c>
      <c r="I493" s="100" t="s">
        <v>2405</v>
      </c>
    </row>
    <row r="494" spans="1:9">
      <c r="A494" s="95" t="s">
        <v>2408</v>
      </c>
      <c r="B494" s="96" t="s">
        <v>1034</v>
      </c>
      <c r="C494" s="96" t="s">
        <v>410</v>
      </c>
      <c r="D494" s="96" t="s">
        <v>2788</v>
      </c>
      <c r="E494" s="96" t="s">
        <v>2789</v>
      </c>
      <c r="F494" s="96" t="s">
        <v>1949</v>
      </c>
      <c r="G494" s="88">
        <v>0</v>
      </c>
      <c r="H494" s="91">
        <v>0</v>
      </c>
      <c r="I494" s="100" t="s">
        <v>2405</v>
      </c>
    </row>
    <row r="495" spans="1:9">
      <c r="A495" s="95" t="s">
        <v>2408</v>
      </c>
      <c r="B495" s="96" t="s">
        <v>1034</v>
      </c>
      <c r="C495" s="96" t="s">
        <v>410</v>
      </c>
      <c r="D495" s="96" t="s">
        <v>1952</v>
      </c>
      <c r="E495" s="96" t="s">
        <v>2790</v>
      </c>
      <c r="F495" s="96" t="s">
        <v>1951</v>
      </c>
      <c r="G495" s="88">
        <v>0</v>
      </c>
      <c r="H495" s="91">
        <v>0</v>
      </c>
      <c r="I495" s="100" t="s">
        <v>2405</v>
      </c>
    </row>
    <row r="496" spans="1:9">
      <c r="A496" s="95" t="s">
        <v>2408</v>
      </c>
      <c r="B496" s="96" t="s">
        <v>1034</v>
      </c>
      <c r="C496" s="96" t="s">
        <v>410</v>
      </c>
      <c r="D496" s="96" t="s">
        <v>2791</v>
      </c>
      <c r="E496" s="96" t="s">
        <v>2792</v>
      </c>
      <c r="F496" s="96" t="s">
        <v>2793</v>
      </c>
      <c r="G496" s="88">
        <v>-72164545089</v>
      </c>
      <c r="H496" s="91">
        <v>-72.164545089000001</v>
      </c>
      <c r="I496" s="100" t="s">
        <v>2405</v>
      </c>
    </row>
    <row r="497" spans="1:9">
      <c r="A497" s="95" t="s">
        <v>2409</v>
      </c>
      <c r="B497" s="96" t="s">
        <v>2333</v>
      </c>
      <c r="C497" s="96" t="s">
        <v>410</v>
      </c>
      <c r="D497" s="96" t="s">
        <v>2697</v>
      </c>
      <c r="E497" s="96" t="s">
        <v>2698</v>
      </c>
      <c r="F497" s="96" t="s">
        <v>2699</v>
      </c>
      <c r="G497" s="88">
        <v>7888090000000</v>
      </c>
      <c r="H497" s="91">
        <v>7888.09</v>
      </c>
      <c r="I497" s="100" t="s">
        <v>2337</v>
      </c>
    </row>
    <row r="498" spans="1:9">
      <c r="A498" s="95" t="s">
        <v>2409</v>
      </c>
      <c r="B498" s="96" t="s">
        <v>2333</v>
      </c>
      <c r="C498" s="96" t="s">
        <v>410</v>
      </c>
      <c r="D498" s="96" t="s">
        <v>2700</v>
      </c>
      <c r="E498" s="96" t="s">
        <v>2701</v>
      </c>
      <c r="F498" s="96" t="s">
        <v>1659</v>
      </c>
      <c r="G498" s="88">
        <v>3428706000000</v>
      </c>
      <c r="H498" s="91">
        <v>3428.7060000000001</v>
      </c>
      <c r="I498" s="100" t="s">
        <v>2337</v>
      </c>
    </row>
    <row r="499" spans="1:9">
      <c r="A499" s="95" t="s">
        <v>2409</v>
      </c>
      <c r="B499" s="96" t="s">
        <v>2333</v>
      </c>
      <c r="C499" s="96" t="s">
        <v>410</v>
      </c>
      <c r="D499" s="96" t="s">
        <v>2090</v>
      </c>
      <c r="E499" s="96" t="s">
        <v>2089</v>
      </c>
      <c r="F499" s="96" t="s">
        <v>2702</v>
      </c>
      <c r="G499" s="88">
        <v>631460000000</v>
      </c>
      <c r="H499" s="91">
        <v>631.46</v>
      </c>
      <c r="I499" s="100" t="s">
        <v>2337</v>
      </c>
    </row>
    <row r="500" spans="1:9">
      <c r="A500" s="95" t="s">
        <v>2409</v>
      </c>
      <c r="B500" s="96" t="s">
        <v>2333</v>
      </c>
      <c r="C500" s="96" t="s">
        <v>410</v>
      </c>
      <c r="D500" s="96" t="s">
        <v>2703</v>
      </c>
      <c r="E500" s="96" t="s">
        <v>2704</v>
      </c>
      <c r="F500" s="96" t="s">
        <v>2705</v>
      </c>
      <c r="G500" s="88">
        <v>-21086000000</v>
      </c>
      <c r="H500" s="91">
        <v>-21.085999999999999</v>
      </c>
      <c r="I500" s="100" t="s">
        <v>2337</v>
      </c>
    </row>
    <row r="501" spans="1:9">
      <c r="A501" s="95" t="s">
        <v>2409</v>
      </c>
      <c r="B501" s="96" t="s">
        <v>2333</v>
      </c>
      <c r="C501" s="96" t="s">
        <v>410</v>
      </c>
      <c r="D501" s="96" t="s">
        <v>2706</v>
      </c>
      <c r="E501" s="96" t="s">
        <v>2707</v>
      </c>
      <c r="F501" s="96" t="s">
        <v>2708</v>
      </c>
      <c r="G501" s="88">
        <v>0</v>
      </c>
      <c r="H501" s="91">
        <v>0</v>
      </c>
      <c r="I501" s="100" t="s">
        <v>2337</v>
      </c>
    </row>
    <row r="502" spans="1:9">
      <c r="A502" s="95" t="s">
        <v>2409</v>
      </c>
      <c r="B502" s="96" t="s">
        <v>2333</v>
      </c>
      <c r="C502" s="96" t="s">
        <v>410</v>
      </c>
      <c r="D502" s="96" t="s">
        <v>2709</v>
      </c>
      <c r="E502" s="96" t="s">
        <v>2710</v>
      </c>
      <c r="F502" s="96" t="s">
        <v>2711</v>
      </c>
      <c r="G502" s="88">
        <v>-6211382000000</v>
      </c>
      <c r="H502" s="91">
        <v>-6211.3819999999996</v>
      </c>
      <c r="I502" s="100" t="s">
        <v>2337</v>
      </c>
    </row>
    <row r="503" spans="1:9">
      <c r="A503" s="95" t="s">
        <v>2409</v>
      </c>
      <c r="B503" s="96" t="s">
        <v>2333</v>
      </c>
      <c r="C503" s="96" t="s">
        <v>410</v>
      </c>
      <c r="D503" s="96" t="s">
        <v>2021</v>
      </c>
      <c r="E503" s="96" t="s">
        <v>2712</v>
      </c>
      <c r="F503" s="96" t="s">
        <v>2355</v>
      </c>
      <c r="G503" s="88">
        <v>5924079000000</v>
      </c>
      <c r="H503" s="91">
        <v>5924.0789999999997</v>
      </c>
      <c r="I503" s="100" t="s">
        <v>2337</v>
      </c>
    </row>
    <row r="504" spans="1:9">
      <c r="A504" s="95" t="s">
        <v>2409</v>
      </c>
      <c r="B504" s="96" t="s">
        <v>2333</v>
      </c>
      <c r="C504" s="96" t="s">
        <v>410</v>
      </c>
      <c r="D504" s="96" t="s">
        <v>2713</v>
      </c>
      <c r="E504" s="96" t="s">
        <v>2714</v>
      </c>
      <c r="F504" s="96" t="s">
        <v>2715</v>
      </c>
      <c r="G504" s="88">
        <v>0</v>
      </c>
      <c r="H504" s="91">
        <v>0</v>
      </c>
      <c r="I504" s="100" t="s">
        <v>2337</v>
      </c>
    </row>
    <row r="505" spans="1:9">
      <c r="A505" s="95" t="s">
        <v>2409</v>
      </c>
      <c r="B505" s="96" t="s">
        <v>2333</v>
      </c>
      <c r="C505" s="96" t="s">
        <v>410</v>
      </c>
      <c r="D505" s="96" t="s">
        <v>2716</v>
      </c>
      <c r="E505" s="96" t="s">
        <v>2717</v>
      </c>
      <c r="F505" s="96" t="s">
        <v>2718</v>
      </c>
      <c r="G505" s="88">
        <v>11639867000000</v>
      </c>
      <c r="H505" s="91">
        <v>11639.867</v>
      </c>
      <c r="I505" s="100" t="s">
        <v>2337</v>
      </c>
    </row>
    <row r="506" spans="1:9">
      <c r="A506" s="95" t="s">
        <v>2409</v>
      </c>
      <c r="B506" s="96" t="s">
        <v>2333</v>
      </c>
      <c r="C506" s="96" t="s">
        <v>410</v>
      </c>
      <c r="D506" s="96" t="s">
        <v>1956</v>
      </c>
      <c r="E506" s="96" t="s">
        <v>2719</v>
      </c>
      <c r="F506" s="96" t="s">
        <v>2720</v>
      </c>
      <c r="G506" s="88">
        <v>299800000000</v>
      </c>
      <c r="H506" s="91">
        <v>299.8</v>
      </c>
      <c r="I506" s="100" t="s">
        <v>2337</v>
      </c>
    </row>
    <row r="507" spans="1:9">
      <c r="A507" s="95" t="s">
        <v>2409</v>
      </c>
      <c r="B507" s="96" t="s">
        <v>2333</v>
      </c>
      <c r="C507" s="96" t="s">
        <v>410</v>
      </c>
      <c r="D507" s="96" t="s">
        <v>1958</v>
      </c>
      <c r="E507" s="96" t="s">
        <v>2721</v>
      </c>
      <c r="F507" s="96" t="s">
        <v>2722</v>
      </c>
      <c r="G507" s="88">
        <v>-671875000000</v>
      </c>
      <c r="H507" s="91">
        <v>-671.875</v>
      </c>
      <c r="I507" s="100" t="s">
        <v>2337</v>
      </c>
    </row>
    <row r="508" spans="1:9">
      <c r="A508" s="95" t="s">
        <v>2409</v>
      </c>
      <c r="B508" s="96" t="s">
        <v>2333</v>
      </c>
      <c r="C508" s="96" t="s">
        <v>410</v>
      </c>
      <c r="D508" s="96" t="s">
        <v>2723</v>
      </c>
      <c r="E508" s="96" t="s">
        <v>2724</v>
      </c>
      <c r="F508" s="96" t="s">
        <v>2725</v>
      </c>
      <c r="G508" s="88">
        <v>1077837000000</v>
      </c>
      <c r="H508" s="91">
        <v>1077.837</v>
      </c>
      <c r="I508" s="100" t="s">
        <v>2337</v>
      </c>
    </row>
    <row r="509" spans="1:9">
      <c r="A509" s="95" t="s">
        <v>2409</v>
      </c>
      <c r="B509" s="96" t="s">
        <v>2333</v>
      </c>
      <c r="C509" s="96" t="s">
        <v>410</v>
      </c>
      <c r="D509" s="96" t="s">
        <v>2726</v>
      </c>
      <c r="E509" s="96" t="s">
        <v>2727</v>
      </c>
      <c r="F509" s="96" t="s">
        <v>2728</v>
      </c>
      <c r="G509" s="88">
        <v>98203000000</v>
      </c>
      <c r="H509" s="91">
        <v>98.203000000000003</v>
      </c>
      <c r="I509" s="100" t="s">
        <v>2337</v>
      </c>
    </row>
    <row r="510" spans="1:9">
      <c r="A510" s="95" t="s">
        <v>2409</v>
      </c>
      <c r="B510" s="96" t="s">
        <v>2333</v>
      </c>
      <c r="C510" s="96" t="s">
        <v>410</v>
      </c>
      <c r="D510" s="96" t="s">
        <v>2107</v>
      </c>
      <c r="E510" s="96" t="s">
        <v>2106</v>
      </c>
      <c r="F510" s="96" t="s">
        <v>2729</v>
      </c>
      <c r="G510" s="88">
        <v>-5975241000000</v>
      </c>
      <c r="H510" s="91">
        <v>-5975.241</v>
      </c>
      <c r="I510" s="100" t="s">
        <v>2337</v>
      </c>
    </row>
    <row r="511" spans="1:9">
      <c r="A511" s="95" t="s">
        <v>2409</v>
      </c>
      <c r="B511" s="96" t="s">
        <v>2333</v>
      </c>
      <c r="C511" s="96" t="s">
        <v>410</v>
      </c>
      <c r="D511" s="96" t="s">
        <v>109</v>
      </c>
      <c r="E511" s="96" t="s">
        <v>2730</v>
      </c>
      <c r="F511" s="96" t="s">
        <v>1661</v>
      </c>
      <c r="G511" s="88">
        <v>-1273816000000</v>
      </c>
      <c r="H511" s="91">
        <v>-1273.816</v>
      </c>
      <c r="I511" s="100" t="s">
        <v>2337</v>
      </c>
    </row>
    <row r="512" spans="1:9">
      <c r="A512" s="95" t="s">
        <v>2409</v>
      </c>
      <c r="B512" s="96" t="s">
        <v>2333</v>
      </c>
      <c r="C512" s="96" t="s">
        <v>410</v>
      </c>
      <c r="D512" s="96" t="s">
        <v>1966</v>
      </c>
      <c r="E512" s="96" t="s">
        <v>2731</v>
      </c>
      <c r="F512" s="96" t="s">
        <v>1965</v>
      </c>
      <c r="G512" s="88">
        <v>0</v>
      </c>
      <c r="H512" s="91">
        <v>0</v>
      </c>
      <c r="I512" s="100" t="s">
        <v>2337</v>
      </c>
    </row>
    <row r="513" spans="1:9">
      <c r="A513" s="95" t="s">
        <v>2409</v>
      </c>
      <c r="B513" s="96" t="s">
        <v>2333</v>
      </c>
      <c r="C513" s="96" t="s">
        <v>410</v>
      </c>
      <c r="D513" s="96" t="s">
        <v>2732</v>
      </c>
      <c r="E513" s="96" t="s">
        <v>2733</v>
      </c>
      <c r="F513" s="96" t="s">
        <v>1967</v>
      </c>
      <c r="G513" s="88">
        <v>-1138000000</v>
      </c>
      <c r="H513" s="91">
        <v>-1.1379999999999999</v>
      </c>
      <c r="I513" s="100" t="s">
        <v>2337</v>
      </c>
    </row>
    <row r="514" spans="1:9">
      <c r="A514" s="95" t="s">
        <v>2409</v>
      </c>
      <c r="B514" s="96" t="s">
        <v>2333</v>
      </c>
      <c r="C514" s="96" t="s">
        <v>410</v>
      </c>
      <c r="D514" s="96" t="s">
        <v>2734</v>
      </c>
      <c r="E514" s="96" t="s">
        <v>2735</v>
      </c>
      <c r="F514" s="96" t="s">
        <v>2736</v>
      </c>
      <c r="G514" s="88">
        <v>1369570000000</v>
      </c>
      <c r="H514" s="91">
        <v>1369.57</v>
      </c>
      <c r="I514" s="100" t="s">
        <v>2337</v>
      </c>
    </row>
    <row r="515" spans="1:9">
      <c r="A515" s="95" t="s">
        <v>2409</v>
      </c>
      <c r="B515" s="96" t="s">
        <v>2333</v>
      </c>
      <c r="C515" s="96" t="s">
        <v>410</v>
      </c>
      <c r="D515" s="96" t="s">
        <v>2737</v>
      </c>
      <c r="E515" s="96" t="s">
        <v>2738</v>
      </c>
      <c r="F515" s="96" t="s">
        <v>2739</v>
      </c>
      <c r="G515" s="88">
        <v>-1878231000000</v>
      </c>
      <c r="H515" s="91">
        <v>-1878.231</v>
      </c>
      <c r="I515" s="100" t="s">
        <v>2337</v>
      </c>
    </row>
    <row r="516" spans="1:9">
      <c r="A516" s="95" t="s">
        <v>2409</v>
      </c>
      <c r="B516" s="96" t="s">
        <v>2333</v>
      </c>
      <c r="C516" s="96" t="s">
        <v>410</v>
      </c>
      <c r="D516" s="96" t="s">
        <v>2740</v>
      </c>
      <c r="E516" s="96" t="s">
        <v>2741</v>
      </c>
      <c r="F516" s="96" t="s">
        <v>2742</v>
      </c>
      <c r="G516" s="88">
        <v>22047000000</v>
      </c>
      <c r="H516" s="91">
        <v>22.047000000000001</v>
      </c>
      <c r="I516" s="100" t="s">
        <v>2337</v>
      </c>
    </row>
    <row r="517" spans="1:9">
      <c r="A517" s="95" t="s">
        <v>2409</v>
      </c>
      <c r="B517" s="96" t="s">
        <v>2333</v>
      </c>
      <c r="C517" s="96" t="s">
        <v>410</v>
      </c>
      <c r="D517" s="96" t="s">
        <v>2743</v>
      </c>
      <c r="E517" s="96" t="s">
        <v>2744</v>
      </c>
      <c r="F517" s="96" t="s">
        <v>2745</v>
      </c>
      <c r="G517" s="88">
        <v>-13280619000000</v>
      </c>
      <c r="H517" s="91">
        <v>-13280.619000000001</v>
      </c>
      <c r="I517" s="100" t="s">
        <v>2337</v>
      </c>
    </row>
    <row r="518" spans="1:9">
      <c r="A518" s="95" t="s">
        <v>2409</v>
      </c>
      <c r="B518" s="96" t="s">
        <v>2333</v>
      </c>
      <c r="C518" s="96" t="s">
        <v>410</v>
      </c>
      <c r="D518" s="96" t="s">
        <v>2746</v>
      </c>
      <c r="E518" s="96" t="s">
        <v>2747</v>
      </c>
      <c r="F518" s="96" t="s">
        <v>2748</v>
      </c>
      <c r="G518" s="88">
        <v>32034279000000</v>
      </c>
      <c r="H518" s="91">
        <v>32034.278999999999</v>
      </c>
      <c r="I518" s="100" t="s">
        <v>2337</v>
      </c>
    </row>
    <row r="519" spans="1:9">
      <c r="A519" s="95" t="s">
        <v>2409</v>
      </c>
      <c r="B519" s="96" t="s">
        <v>2333</v>
      </c>
      <c r="C519" s="96" t="s">
        <v>410</v>
      </c>
      <c r="D519" s="96" t="s">
        <v>1816</v>
      </c>
      <c r="E519" s="96" t="s">
        <v>2749</v>
      </c>
      <c r="F519" s="96" t="s">
        <v>2750</v>
      </c>
      <c r="G519" s="88">
        <v>-3114488000000</v>
      </c>
      <c r="H519" s="91">
        <v>-3114.4879999999998</v>
      </c>
      <c r="I519" s="100" t="s">
        <v>2337</v>
      </c>
    </row>
    <row r="520" spans="1:9">
      <c r="A520" s="95" t="s">
        <v>2409</v>
      </c>
      <c r="B520" s="96" t="s">
        <v>2333</v>
      </c>
      <c r="C520" s="96" t="s">
        <v>410</v>
      </c>
      <c r="D520" s="96" t="s">
        <v>2751</v>
      </c>
      <c r="E520" s="96" t="s">
        <v>2752</v>
      </c>
      <c r="F520" s="96" t="s">
        <v>2753</v>
      </c>
      <c r="G520" s="88">
        <v>84669000000</v>
      </c>
      <c r="H520" s="91">
        <v>84.668999999999997</v>
      </c>
      <c r="I520" s="100" t="s">
        <v>2337</v>
      </c>
    </row>
    <row r="521" spans="1:9">
      <c r="A521" s="95" t="s">
        <v>2409</v>
      </c>
      <c r="B521" s="96" t="s">
        <v>2333</v>
      </c>
      <c r="C521" s="96" t="s">
        <v>410</v>
      </c>
      <c r="D521" s="96" t="s">
        <v>2754</v>
      </c>
      <c r="E521" s="96" t="s">
        <v>2755</v>
      </c>
      <c r="F521" s="96" t="s">
        <v>2756</v>
      </c>
      <c r="G521" s="88">
        <v>3031223000000</v>
      </c>
      <c r="H521" s="91">
        <v>3031.223</v>
      </c>
      <c r="I521" s="100" t="s">
        <v>2337</v>
      </c>
    </row>
    <row r="522" spans="1:9">
      <c r="A522" s="95" t="s">
        <v>2409</v>
      </c>
      <c r="B522" s="96" t="s">
        <v>2333</v>
      </c>
      <c r="C522" s="96" t="s">
        <v>410</v>
      </c>
      <c r="D522" s="96" t="s">
        <v>2757</v>
      </c>
      <c r="E522" s="96" t="s">
        <v>2758</v>
      </c>
      <c r="F522" s="96" t="s">
        <v>1664</v>
      </c>
      <c r="G522" s="88">
        <v>16898880000000</v>
      </c>
      <c r="H522" s="91">
        <v>16898.88</v>
      </c>
      <c r="I522" s="100" t="s">
        <v>2337</v>
      </c>
    </row>
    <row r="523" spans="1:9">
      <c r="A523" s="95" t="s">
        <v>2409</v>
      </c>
      <c r="B523" s="96" t="s">
        <v>2333</v>
      </c>
      <c r="C523" s="96" t="s">
        <v>410</v>
      </c>
      <c r="D523" s="96" t="s">
        <v>2759</v>
      </c>
      <c r="E523" s="96" t="s">
        <v>2760</v>
      </c>
      <c r="F523" s="96" t="s">
        <v>2761</v>
      </c>
      <c r="G523" s="88">
        <v>2822594000000</v>
      </c>
      <c r="H523" s="91">
        <v>2822.5940000000001</v>
      </c>
      <c r="I523" s="100" t="s">
        <v>2337</v>
      </c>
    </row>
    <row r="524" spans="1:9">
      <c r="A524" s="95" t="s">
        <v>2409</v>
      </c>
      <c r="B524" s="96" t="s">
        <v>2333</v>
      </c>
      <c r="C524" s="96" t="s">
        <v>410</v>
      </c>
      <c r="D524" s="96" t="s">
        <v>2762</v>
      </c>
      <c r="E524" s="96" t="s">
        <v>2763</v>
      </c>
      <c r="F524" s="96" t="s">
        <v>2764</v>
      </c>
      <c r="G524" s="88">
        <v>-2551526000000</v>
      </c>
      <c r="H524" s="91">
        <v>-2551.5259999999998</v>
      </c>
      <c r="I524" s="100" t="s">
        <v>2337</v>
      </c>
    </row>
    <row r="525" spans="1:9">
      <c r="A525" s="95" t="s">
        <v>2409</v>
      </c>
      <c r="B525" s="96" t="s">
        <v>2333</v>
      </c>
      <c r="C525" s="96" t="s">
        <v>410</v>
      </c>
      <c r="D525" s="96" t="s">
        <v>2765</v>
      </c>
      <c r="E525" s="96" t="s">
        <v>2766</v>
      </c>
      <c r="F525" s="96" t="s">
        <v>2767</v>
      </c>
      <c r="G525" s="88">
        <v>59984641000000</v>
      </c>
      <c r="H525" s="91">
        <v>59984.641000000003</v>
      </c>
      <c r="I525" s="100" t="s">
        <v>2337</v>
      </c>
    </row>
    <row r="526" spans="1:9">
      <c r="A526" s="95" t="s">
        <v>2409</v>
      </c>
      <c r="B526" s="96" t="s">
        <v>2333</v>
      </c>
      <c r="C526" s="96" t="s">
        <v>410</v>
      </c>
      <c r="D526" s="96" t="s">
        <v>2768</v>
      </c>
      <c r="E526" s="96" t="s">
        <v>2769</v>
      </c>
      <c r="F526" s="96" t="s">
        <v>2770</v>
      </c>
      <c r="G526" s="88">
        <v>-84136781000000</v>
      </c>
      <c r="H526" s="91">
        <v>-84136.781000000003</v>
      </c>
      <c r="I526" s="100" t="s">
        <v>2337</v>
      </c>
    </row>
    <row r="527" spans="1:9">
      <c r="A527" s="95" t="s">
        <v>2409</v>
      </c>
      <c r="B527" s="96" t="s">
        <v>2333</v>
      </c>
      <c r="C527" s="96" t="s">
        <v>410</v>
      </c>
      <c r="D527" s="96" t="s">
        <v>2771</v>
      </c>
      <c r="E527" s="96" t="s">
        <v>2772</v>
      </c>
      <c r="F527" s="96" t="s">
        <v>2773</v>
      </c>
      <c r="G527" s="88">
        <v>-12259000000</v>
      </c>
      <c r="H527" s="91">
        <v>-12.259</v>
      </c>
      <c r="I527" s="100" t="s">
        <v>2337</v>
      </c>
    </row>
    <row r="528" spans="1:9">
      <c r="A528" s="95" t="s">
        <v>2409</v>
      </c>
      <c r="B528" s="96" t="s">
        <v>2333</v>
      </c>
      <c r="C528" s="96" t="s">
        <v>410</v>
      </c>
      <c r="D528" s="96" t="s">
        <v>2132</v>
      </c>
      <c r="E528" s="96" t="s">
        <v>2131</v>
      </c>
      <c r="F528" s="96" t="s">
        <v>2774</v>
      </c>
      <c r="G528" s="88">
        <v>-890481000000</v>
      </c>
      <c r="H528" s="91">
        <v>-890.48099999999999</v>
      </c>
      <c r="I528" s="100" t="s">
        <v>2337</v>
      </c>
    </row>
    <row r="529" spans="1:9">
      <c r="A529" s="95" t="s">
        <v>2409</v>
      </c>
      <c r="B529" s="96" t="s">
        <v>2333</v>
      </c>
      <c r="C529" s="96" t="s">
        <v>410</v>
      </c>
      <c r="D529" s="96" t="s">
        <v>2775</v>
      </c>
      <c r="E529" s="96" t="s">
        <v>2776</v>
      </c>
      <c r="F529" s="96" t="s">
        <v>2777</v>
      </c>
      <c r="G529" s="88">
        <v>0</v>
      </c>
      <c r="H529" s="91">
        <v>0</v>
      </c>
      <c r="I529" s="100" t="s">
        <v>2337</v>
      </c>
    </row>
    <row r="530" spans="1:9">
      <c r="A530" s="95" t="s">
        <v>2409</v>
      </c>
      <c r="B530" s="96" t="s">
        <v>2333</v>
      </c>
      <c r="C530" s="96" t="s">
        <v>410</v>
      </c>
      <c r="D530" s="96" t="s">
        <v>2778</v>
      </c>
      <c r="E530" s="96" t="s">
        <v>2779</v>
      </c>
      <c r="F530" s="96" t="s">
        <v>1668</v>
      </c>
      <c r="G530" s="88">
        <v>-24783812000000</v>
      </c>
      <c r="H530" s="91">
        <v>-24783.812000000002</v>
      </c>
      <c r="I530" s="100" t="s">
        <v>2337</v>
      </c>
    </row>
    <row r="531" spans="1:9">
      <c r="A531" s="95" t="s">
        <v>2409</v>
      </c>
      <c r="B531" s="96" t="s">
        <v>2333</v>
      </c>
      <c r="C531" s="96" t="s">
        <v>410</v>
      </c>
      <c r="D531" s="96" t="s">
        <v>2780</v>
      </c>
      <c r="E531" s="96" t="s">
        <v>2781</v>
      </c>
      <c r="F531" s="96" t="s">
        <v>1669</v>
      </c>
      <c r="G531" s="88">
        <v>-6515362000000</v>
      </c>
      <c r="H531" s="91">
        <v>-6515.3620000000001</v>
      </c>
      <c r="I531" s="100" t="s">
        <v>2337</v>
      </c>
    </row>
    <row r="532" spans="1:9">
      <c r="A532" s="95" t="s">
        <v>2409</v>
      </c>
      <c r="B532" s="96" t="s">
        <v>2333</v>
      </c>
      <c r="C532" s="96" t="s">
        <v>410</v>
      </c>
      <c r="D532" s="96" t="s">
        <v>2782</v>
      </c>
      <c r="E532" s="96" t="s">
        <v>2783</v>
      </c>
      <c r="F532" s="96" t="s">
        <v>1670</v>
      </c>
      <c r="G532" s="88">
        <v>18617866000000</v>
      </c>
      <c r="H532" s="91">
        <v>18617.866000000002</v>
      </c>
      <c r="I532" s="100" t="s">
        <v>2337</v>
      </c>
    </row>
    <row r="533" spans="1:9">
      <c r="A533" s="95" t="s">
        <v>2409</v>
      </c>
      <c r="B533" s="96" t="s">
        <v>2333</v>
      </c>
      <c r="C533" s="96" t="s">
        <v>410</v>
      </c>
      <c r="D533" s="96" t="s">
        <v>2784</v>
      </c>
      <c r="E533" s="96" t="s">
        <v>2785</v>
      </c>
      <c r="F533" s="96" t="s">
        <v>1671</v>
      </c>
      <c r="G533" s="88">
        <v>-654000000</v>
      </c>
      <c r="H533" s="91">
        <v>-0.65400000000000003</v>
      </c>
      <c r="I533" s="100" t="s">
        <v>2337</v>
      </c>
    </row>
    <row r="534" spans="1:9">
      <c r="A534" s="95" t="s">
        <v>2409</v>
      </c>
      <c r="B534" s="96" t="s">
        <v>2333</v>
      </c>
      <c r="C534" s="96" t="s">
        <v>410</v>
      </c>
      <c r="D534" s="96" t="s">
        <v>2786</v>
      </c>
      <c r="E534" s="96" t="s">
        <v>2787</v>
      </c>
      <c r="F534" s="96" t="s">
        <v>1672</v>
      </c>
      <c r="G534" s="88">
        <v>12101850000000</v>
      </c>
      <c r="H534" s="91">
        <v>12101.85</v>
      </c>
      <c r="I534" s="100" t="s">
        <v>2337</v>
      </c>
    </row>
    <row r="535" spans="1:9">
      <c r="A535" s="95" t="s">
        <v>2409</v>
      </c>
      <c r="B535" s="96" t="s">
        <v>2333</v>
      </c>
      <c r="C535" s="96" t="s">
        <v>410</v>
      </c>
      <c r="D535" s="96" t="s">
        <v>2788</v>
      </c>
      <c r="E535" s="96" t="s">
        <v>2789</v>
      </c>
      <c r="F535" s="96" t="s">
        <v>1949</v>
      </c>
      <c r="G535" s="88">
        <v>0</v>
      </c>
      <c r="H535" s="91">
        <v>0</v>
      </c>
      <c r="I535" s="100" t="s">
        <v>2337</v>
      </c>
    </row>
    <row r="536" spans="1:9">
      <c r="A536" s="95" t="s">
        <v>2409</v>
      </c>
      <c r="B536" s="96" t="s">
        <v>2333</v>
      </c>
      <c r="C536" s="96" t="s">
        <v>410</v>
      </c>
      <c r="D536" s="96" t="s">
        <v>1952</v>
      </c>
      <c r="E536" s="96" t="s">
        <v>2790</v>
      </c>
      <c r="F536" s="96" t="s">
        <v>1951</v>
      </c>
      <c r="G536" s="88">
        <v>0</v>
      </c>
      <c r="H536" s="91">
        <v>0</v>
      </c>
      <c r="I536" s="100" t="s">
        <v>2337</v>
      </c>
    </row>
    <row r="537" spans="1:9">
      <c r="A537" s="95" t="s">
        <v>2409</v>
      </c>
      <c r="B537" s="96" t="s">
        <v>2333</v>
      </c>
      <c r="C537" s="96" t="s">
        <v>410</v>
      </c>
      <c r="D537" s="96" t="s">
        <v>2791</v>
      </c>
      <c r="E537" s="96" t="s">
        <v>2792</v>
      </c>
      <c r="F537" s="96" t="s">
        <v>2793</v>
      </c>
      <c r="G537" s="88">
        <v>-3824067000000</v>
      </c>
      <c r="H537" s="91">
        <v>-3824.067</v>
      </c>
      <c r="I537" s="100" t="s">
        <v>2337</v>
      </c>
    </row>
    <row r="538" spans="1:9">
      <c r="A538" s="95" t="s">
        <v>2409</v>
      </c>
      <c r="B538" s="96" t="s">
        <v>2404</v>
      </c>
      <c r="C538" s="96" t="s">
        <v>410</v>
      </c>
      <c r="D538" s="96" t="s">
        <v>2697</v>
      </c>
      <c r="E538" s="96" t="s">
        <v>2698</v>
      </c>
      <c r="F538" s="96" t="s">
        <v>2699</v>
      </c>
      <c r="G538" s="88">
        <v>1222369000000</v>
      </c>
      <c r="H538" s="91">
        <v>1222.3689999999999</v>
      </c>
      <c r="I538" s="100" t="s">
        <v>2405</v>
      </c>
    </row>
    <row r="539" spans="1:9">
      <c r="A539" s="95" t="s">
        <v>2409</v>
      </c>
      <c r="B539" s="96" t="s">
        <v>2404</v>
      </c>
      <c r="C539" s="96" t="s">
        <v>410</v>
      </c>
      <c r="D539" s="96" t="s">
        <v>2700</v>
      </c>
      <c r="E539" s="96" t="s">
        <v>2701</v>
      </c>
      <c r="F539" s="96" t="s">
        <v>1659</v>
      </c>
      <c r="G539" s="88">
        <v>879908000000</v>
      </c>
      <c r="H539" s="91">
        <v>879.90800000000002</v>
      </c>
      <c r="I539" s="100" t="s">
        <v>2405</v>
      </c>
    </row>
    <row r="540" spans="1:9">
      <c r="A540" s="95" t="s">
        <v>2409</v>
      </c>
      <c r="B540" s="96" t="s">
        <v>2404</v>
      </c>
      <c r="C540" s="96" t="s">
        <v>410</v>
      </c>
      <c r="D540" s="96" t="s">
        <v>2090</v>
      </c>
      <c r="E540" s="96" t="s">
        <v>2089</v>
      </c>
      <c r="F540" s="96" t="s">
        <v>2702</v>
      </c>
      <c r="G540" s="88">
        <v>115575000000</v>
      </c>
      <c r="H540" s="91">
        <v>115.575</v>
      </c>
      <c r="I540" s="100" t="s">
        <v>2405</v>
      </c>
    </row>
    <row r="541" spans="1:9">
      <c r="A541" s="95" t="s">
        <v>2409</v>
      </c>
      <c r="B541" s="96" t="s">
        <v>2404</v>
      </c>
      <c r="C541" s="96" t="s">
        <v>410</v>
      </c>
      <c r="D541" s="96" t="s">
        <v>2703</v>
      </c>
      <c r="E541" s="96" t="s">
        <v>2704</v>
      </c>
      <c r="F541" s="96" t="s">
        <v>2705</v>
      </c>
      <c r="G541" s="88">
        <v>6365000000</v>
      </c>
      <c r="H541" s="91">
        <v>6.3650000000000002</v>
      </c>
      <c r="I541" s="100" t="s">
        <v>2405</v>
      </c>
    </row>
    <row r="542" spans="1:9">
      <c r="A542" s="95" t="s">
        <v>2409</v>
      </c>
      <c r="B542" s="96" t="s">
        <v>2404</v>
      </c>
      <c r="C542" s="96" t="s">
        <v>410</v>
      </c>
      <c r="D542" s="96" t="s">
        <v>2706</v>
      </c>
      <c r="E542" s="96" t="s">
        <v>2707</v>
      </c>
      <c r="F542" s="96" t="s">
        <v>2708</v>
      </c>
      <c r="G542" s="88">
        <v>0</v>
      </c>
      <c r="H542" s="91">
        <v>0</v>
      </c>
      <c r="I542" s="100" t="s">
        <v>2405</v>
      </c>
    </row>
    <row r="543" spans="1:9">
      <c r="A543" s="95" t="s">
        <v>2409</v>
      </c>
      <c r="B543" s="96" t="s">
        <v>2404</v>
      </c>
      <c r="C543" s="96" t="s">
        <v>410</v>
      </c>
      <c r="D543" s="96" t="s">
        <v>2709</v>
      </c>
      <c r="E543" s="96" t="s">
        <v>2710</v>
      </c>
      <c r="F543" s="96" t="s">
        <v>2711</v>
      </c>
      <c r="G543" s="88">
        <v>-1399366000000</v>
      </c>
      <c r="H543" s="91">
        <v>-1399.366</v>
      </c>
      <c r="I543" s="100" t="s">
        <v>2405</v>
      </c>
    </row>
    <row r="544" spans="1:9">
      <c r="A544" s="95" t="s">
        <v>2409</v>
      </c>
      <c r="B544" s="96" t="s">
        <v>2404</v>
      </c>
      <c r="C544" s="96" t="s">
        <v>410</v>
      </c>
      <c r="D544" s="96" t="s">
        <v>2021</v>
      </c>
      <c r="E544" s="96" t="s">
        <v>2712</v>
      </c>
      <c r="F544" s="96" t="s">
        <v>2355</v>
      </c>
      <c r="G544" s="88">
        <v>1531673000000</v>
      </c>
      <c r="H544" s="91">
        <v>1531.673</v>
      </c>
      <c r="I544" s="100" t="s">
        <v>2405</v>
      </c>
    </row>
    <row r="545" spans="1:9">
      <c r="A545" s="95" t="s">
        <v>2409</v>
      </c>
      <c r="B545" s="96" t="s">
        <v>2404</v>
      </c>
      <c r="C545" s="96" t="s">
        <v>410</v>
      </c>
      <c r="D545" s="96" t="s">
        <v>2713</v>
      </c>
      <c r="E545" s="96" t="s">
        <v>2714</v>
      </c>
      <c r="F545" s="96" t="s">
        <v>2715</v>
      </c>
      <c r="G545" s="88">
        <v>0</v>
      </c>
      <c r="H545" s="91">
        <v>0</v>
      </c>
      <c r="I545" s="100" t="s">
        <v>2405</v>
      </c>
    </row>
    <row r="546" spans="1:9">
      <c r="A546" s="95" t="s">
        <v>2409</v>
      </c>
      <c r="B546" s="96" t="s">
        <v>2404</v>
      </c>
      <c r="C546" s="96" t="s">
        <v>410</v>
      </c>
      <c r="D546" s="96" t="s">
        <v>2716</v>
      </c>
      <c r="E546" s="96" t="s">
        <v>2717</v>
      </c>
      <c r="F546" s="96" t="s">
        <v>2718</v>
      </c>
      <c r="G546" s="88">
        <v>2356524000000</v>
      </c>
      <c r="H546" s="91">
        <v>2356.5239999999999</v>
      </c>
      <c r="I546" s="100" t="s">
        <v>2405</v>
      </c>
    </row>
    <row r="547" spans="1:9">
      <c r="A547" s="95" t="s">
        <v>2409</v>
      </c>
      <c r="B547" s="96" t="s">
        <v>2404</v>
      </c>
      <c r="C547" s="96" t="s">
        <v>410</v>
      </c>
      <c r="D547" s="96" t="s">
        <v>1956</v>
      </c>
      <c r="E547" s="96" t="s">
        <v>2719</v>
      </c>
      <c r="F547" s="96" t="s">
        <v>2720</v>
      </c>
      <c r="G547" s="88">
        <v>-45232000000</v>
      </c>
      <c r="H547" s="91">
        <v>-45.231999999999999</v>
      </c>
      <c r="I547" s="100" t="s">
        <v>2405</v>
      </c>
    </row>
    <row r="548" spans="1:9">
      <c r="A548" s="95" t="s">
        <v>2409</v>
      </c>
      <c r="B548" s="96" t="s">
        <v>2404</v>
      </c>
      <c r="C548" s="96" t="s">
        <v>410</v>
      </c>
      <c r="D548" s="96" t="s">
        <v>1958</v>
      </c>
      <c r="E548" s="96" t="s">
        <v>2721</v>
      </c>
      <c r="F548" s="96" t="s">
        <v>2722</v>
      </c>
      <c r="G548" s="88">
        <v>1033754000000</v>
      </c>
      <c r="H548" s="91">
        <v>1033.7539999999999</v>
      </c>
      <c r="I548" s="100" t="s">
        <v>2405</v>
      </c>
    </row>
    <row r="549" spans="1:9">
      <c r="A549" s="95" t="s">
        <v>2409</v>
      </c>
      <c r="B549" s="96" t="s">
        <v>2404</v>
      </c>
      <c r="C549" s="96" t="s">
        <v>410</v>
      </c>
      <c r="D549" s="96" t="s">
        <v>2723</v>
      </c>
      <c r="E549" s="96" t="s">
        <v>2724</v>
      </c>
      <c r="F549" s="96" t="s">
        <v>2725</v>
      </c>
      <c r="G549" s="88">
        <v>-1654468000000</v>
      </c>
      <c r="H549" s="91">
        <v>-1654.4680000000001</v>
      </c>
      <c r="I549" s="100" t="s">
        <v>2405</v>
      </c>
    </row>
    <row r="550" spans="1:9">
      <c r="A550" s="95" t="s">
        <v>2409</v>
      </c>
      <c r="B550" s="96" t="s">
        <v>2404</v>
      </c>
      <c r="C550" s="96" t="s">
        <v>410</v>
      </c>
      <c r="D550" s="96" t="s">
        <v>2726</v>
      </c>
      <c r="E550" s="96" t="s">
        <v>2727</v>
      </c>
      <c r="F550" s="96" t="s">
        <v>2728</v>
      </c>
      <c r="G550" s="88">
        <v>126287000000</v>
      </c>
      <c r="H550" s="91">
        <v>126.28700000000001</v>
      </c>
      <c r="I550" s="100" t="s">
        <v>2405</v>
      </c>
    </row>
    <row r="551" spans="1:9">
      <c r="A551" s="95" t="s">
        <v>2409</v>
      </c>
      <c r="B551" s="96" t="s">
        <v>2404</v>
      </c>
      <c r="C551" s="96" t="s">
        <v>410</v>
      </c>
      <c r="D551" s="96" t="s">
        <v>2107</v>
      </c>
      <c r="E551" s="96" t="s">
        <v>2106</v>
      </c>
      <c r="F551" s="96" t="s">
        <v>2729</v>
      </c>
      <c r="G551" s="88">
        <v>-1164248000000</v>
      </c>
      <c r="H551" s="91">
        <v>-1164.248</v>
      </c>
      <c r="I551" s="100" t="s">
        <v>2405</v>
      </c>
    </row>
    <row r="552" spans="1:9">
      <c r="A552" s="95" t="s">
        <v>2409</v>
      </c>
      <c r="B552" s="96" t="s">
        <v>2404</v>
      </c>
      <c r="C552" s="96" t="s">
        <v>410</v>
      </c>
      <c r="D552" s="96" t="s">
        <v>109</v>
      </c>
      <c r="E552" s="96" t="s">
        <v>2730</v>
      </c>
      <c r="F552" s="96" t="s">
        <v>1661</v>
      </c>
      <c r="G552" s="88">
        <v>-728182000000</v>
      </c>
      <c r="H552" s="91">
        <v>-728.18200000000002</v>
      </c>
      <c r="I552" s="100" t="s">
        <v>2405</v>
      </c>
    </row>
    <row r="553" spans="1:9">
      <c r="A553" s="95" t="s">
        <v>2409</v>
      </c>
      <c r="B553" s="96" t="s">
        <v>2404</v>
      </c>
      <c r="C553" s="96" t="s">
        <v>410</v>
      </c>
      <c r="D553" s="96" t="s">
        <v>1966</v>
      </c>
      <c r="E553" s="96" t="s">
        <v>2731</v>
      </c>
      <c r="F553" s="96" t="s">
        <v>1965</v>
      </c>
      <c r="G553" s="88">
        <v>0</v>
      </c>
      <c r="H553" s="91">
        <v>0</v>
      </c>
      <c r="I553" s="100" t="s">
        <v>2405</v>
      </c>
    </row>
    <row r="554" spans="1:9">
      <c r="A554" s="95" t="s">
        <v>2409</v>
      </c>
      <c r="B554" s="96" t="s">
        <v>2404</v>
      </c>
      <c r="C554" s="96" t="s">
        <v>410</v>
      </c>
      <c r="D554" s="96" t="s">
        <v>2732</v>
      </c>
      <c r="E554" s="96" t="s">
        <v>2733</v>
      </c>
      <c r="F554" s="96" t="s">
        <v>1967</v>
      </c>
      <c r="G554" s="88">
        <v>-342000000</v>
      </c>
      <c r="H554" s="91">
        <v>-0.34200000000000003</v>
      </c>
      <c r="I554" s="100" t="s">
        <v>2405</v>
      </c>
    </row>
    <row r="555" spans="1:9">
      <c r="A555" s="95" t="s">
        <v>2409</v>
      </c>
      <c r="B555" s="96" t="s">
        <v>2404</v>
      </c>
      <c r="C555" s="96" t="s">
        <v>410</v>
      </c>
      <c r="D555" s="96" t="s">
        <v>2734</v>
      </c>
      <c r="E555" s="96" t="s">
        <v>2735</v>
      </c>
      <c r="F555" s="96" t="s">
        <v>2736</v>
      </c>
      <c r="G555" s="88">
        <v>-75907000000</v>
      </c>
      <c r="H555" s="91">
        <v>-75.906999999999996</v>
      </c>
      <c r="I555" s="100" t="s">
        <v>2405</v>
      </c>
    </row>
    <row r="556" spans="1:9">
      <c r="A556" s="95" t="s">
        <v>2409</v>
      </c>
      <c r="B556" s="96" t="s">
        <v>2404</v>
      </c>
      <c r="C556" s="96" t="s">
        <v>410</v>
      </c>
      <c r="D556" s="96" t="s">
        <v>2737</v>
      </c>
      <c r="E556" s="96" t="s">
        <v>2738</v>
      </c>
      <c r="F556" s="96" t="s">
        <v>2739</v>
      </c>
      <c r="G556" s="88">
        <v>-348114000000</v>
      </c>
      <c r="H556" s="91">
        <v>-348.11399999999998</v>
      </c>
      <c r="I556" s="100" t="s">
        <v>2405</v>
      </c>
    </row>
    <row r="557" spans="1:9">
      <c r="A557" s="95" t="s">
        <v>2409</v>
      </c>
      <c r="B557" s="96" t="s">
        <v>2404</v>
      </c>
      <c r="C557" s="96" t="s">
        <v>410</v>
      </c>
      <c r="D557" s="96" t="s">
        <v>2740</v>
      </c>
      <c r="E557" s="96" t="s">
        <v>2741</v>
      </c>
      <c r="F557" s="96" t="s">
        <v>2742</v>
      </c>
      <c r="G557" s="88">
        <v>8386000000</v>
      </c>
      <c r="H557" s="91">
        <v>8.3859999999999992</v>
      </c>
      <c r="I557" s="100" t="s">
        <v>2405</v>
      </c>
    </row>
    <row r="558" spans="1:9">
      <c r="A558" s="95" t="s">
        <v>2409</v>
      </c>
      <c r="B558" s="96" t="s">
        <v>2404</v>
      </c>
      <c r="C558" s="96" t="s">
        <v>410</v>
      </c>
      <c r="D558" s="96" t="s">
        <v>2743</v>
      </c>
      <c r="E558" s="96" t="s">
        <v>2744</v>
      </c>
      <c r="F558" s="96" t="s">
        <v>2745</v>
      </c>
      <c r="G558" s="88">
        <v>-4673174000000</v>
      </c>
      <c r="H558" s="91">
        <v>-4673.174</v>
      </c>
      <c r="I558" s="100" t="s">
        <v>2405</v>
      </c>
    </row>
    <row r="559" spans="1:9">
      <c r="A559" s="95" t="s">
        <v>2409</v>
      </c>
      <c r="B559" s="96" t="s">
        <v>2404</v>
      </c>
      <c r="C559" s="96" t="s">
        <v>410</v>
      </c>
      <c r="D559" s="96" t="s">
        <v>2746</v>
      </c>
      <c r="E559" s="96" t="s">
        <v>2747</v>
      </c>
      <c r="F559" s="96" t="s">
        <v>2748</v>
      </c>
      <c r="G559" s="88">
        <v>2257701000000</v>
      </c>
      <c r="H559" s="91">
        <v>2257.701</v>
      </c>
      <c r="I559" s="100" t="s">
        <v>2405</v>
      </c>
    </row>
    <row r="560" spans="1:9">
      <c r="A560" s="95" t="s">
        <v>2409</v>
      </c>
      <c r="B560" s="96" t="s">
        <v>2404</v>
      </c>
      <c r="C560" s="96" t="s">
        <v>410</v>
      </c>
      <c r="D560" s="96" t="s">
        <v>1816</v>
      </c>
      <c r="E560" s="96" t="s">
        <v>2749</v>
      </c>
      <c r="F560" s="96" t="s">
        <v>2750</v>
      </c>
      <c r="G560" s="88">
        <v>-1057693000000</v>
      </c>
      <c r="H560" s="91">
        <v>-1057.693</v>
      </c>
      <c r="I560" s="100" t="s">
        <v>2405</v>
      </c>
    </row>
    <row r="561" spans="1:9">
      <c r="A561" s="95" t="s">
        <v>2409</v>
      </c>
      <c r="B561" s="96" t="s">
        <v>2404</v>
      </c>
      <c r="C561" s="96" t="s">
        <v>410</v>
      </c>
      <c r="D561" s="96" t="s">
        <v>2751</v>
      </c>
      <c r="E561" s="96" t="s">
        <v>2752</v>
      </c>
      <c r="F561" s="96" t="s">
        <v>2753</v>
      </c>
      <c r="G561" s="88">
        <v>593044000000</v>
      </c>
      <c r="H561" s="91">
        <v>593.04399999999998</v>
      </c>
      <c r="I561" s="100" t="s">
        <v>2405</v>
      </c>
    </row>
    <row r="562" spans="1:9">
      <c r="A562" s="95" t="s">
        <v>2409</v>
      </c>
      <c r="B562" s="96" t="s">
        <v>2404</v>
      </c>
      <c r="C562" s="96" t="s">
        <v>410</v>
      </c>
      <c r="D562" s="96" t="s">
        <v>2754</v>
      </c>
      <c r="E562" s="96" t="s">
        <v>2755</v>
      </c>
      <c r="F562" s="96" t="s">
        <v>2756</v>
      </c>
      <c r="G562" s="88">
        <v>111990000000</v>
      </c>
      <c r="H562" s="91">
        <v>111.99</v>
      </c>
      <c r="I562" s="100" t="s">
        <v>2405</v>
      </c>
    </row>
    <row r="563" spans="1:9">
      <c r="A563" s="95" t="s">
        <v>2409</v>
      </c>
      <c r="B563" s="96" t="s">
        <v>2404</v>
      </c>
      <c r="C563" s="96" t="s">
        <v>410</v>
      </c>
      <c r="D563" s="96" t="s">
        <v>2757</v>
      </c>
      <c r="E563" s="96" t="s">
        <v>2758</v>
      </c>
      <c r="F563" s="96" t="s">
        <v>1664</v>
      </c>
      <c r="G563" s="88">
        <v>-3107860000000</v>
      </c>
      <c r="H563" s="91">
        <v>-3107.86</v>
      </c>
      <c r="I563" s="100" t="s">
        <v>2405</v>
      </c>
    </row>
    <row r="564" spans="1:9">
      <c r="A564" s="95" t="s">
        <v>2409</v>
      </c>
      <c r="B564" s="96" t="s">
        <v>2404</v>
      </c>
      <c r="C564" s="96" t="s">
        <v>410</v>
      </c>
      <c r="D564" s="96" t="s">
        <v>2759</v>
      </c>
      <c r="E564" s="96" t="s">
        <v>2760</v>
      </c>
      <c r="F564" s="96" t="s">
        <v>2761</v>
      </c>
      <c r="G564" s="88">
        <v>2575063000000</v>
      </c>
      <c r="H564" s="91">
        <v>2575.0630000000001</v>
      </c>
      <c r="I564" s="100" t="s">
        <v>2405</v>
      </c>
    </row>
    <row r="565" spans="1:9">
      <c r="A565" s="95" t="s">
        <v>2409</v>
      </c>
      <c r="B565" s="96" t="s">
        <v>2404</v>
      </c>
      <c r="C565" s="96" t="s">
        <v>410</v>
      </c>
      <c r="D565" s="96" t="s">
        <v>2762</v>
      </c>
      <c r="E565" s="96" t="s">
        <v>2763</v>
      </c>
      <c r="F565" s="96" t="s">
        <v>2764</v>
      </c>
      <c r="G565" s="88">
        <v>0</v>
      </c>
      <c r="H565" s="91">
        <v>0</v>
      </c>
      <c r="I565" s="100" t="s">
        <v>2405</v>
      </c>
    </row>
    <row r="566" spans="1:9">
      <c r="A566" s="95" t="s">
        <v>2409</v>
      </c>
      <c r="B566" s="96" t="s">
        <v>2404</v>
      </c>
      <c r="C566" s="96" t="s">
        <v>410</v>
      </c>
      <c r="D566" s="96" t="s">
        <v>2765</v>
      </c>
      <c r="E566" s="96" t="s">
        <v>2766</v>
      </c>
      <c r="F566" s="96" t="s">
        <v>2767</v>
      </c>
      <c r="G566" s="88">
        <v>13465001000000</v>
      </c>
      <c r="H566" s="91">
        <v>13465.001</v>
      </c>
      <c r="I566" s="100" t="s">
        <v>2405</v>
      </c>
    </row>
    <row r="567" spans="1:9">
      <c r="A567" s="95" t="s">
        <v>2409</v>
      </c>
      <c r="B567" s="96" t="s">
        <v>2404</v>
      </c>
      <c r="C567" s="96" t="s">
        <v>410</v>
      </c>
      <c r="D567" s="96" t="s">
        <v>2768</v>
      </c>
      <c r="E567" s="96" t="s">
        <v>2769</v>
      </c>
      <c r="F567" s="96" t="s">
        <v>2770</v>
      </c>
      <c r="G567" s="88">
        <v>-18699504000000</v>
      </c>
      <c r="H567" s="91">
        <v>-18699.504000000001</v>
      </c>
      <c r="I567" s="100" t="s">
        <v>2405</v>
      </c>
    </row>
    <row r="568" spans="1:9">
      <c r="A568" s="95" t="s">
        <v>2409</v>
      </c>
      <c r="B568" s="96" t="s">
        <v>2404</v>
      </c>
      <c r="C568" s="96" t="s">
        <v>410</v>
      </c>
      <c r="D568" s="96" t="s">
        <v>2771</v>
      </c>
      <c r="E568" s="96" t="s">
        <v>2772</v>
      </c>
      <c r="F568" s="96" t="s">
        <v>2773</v>
      </c>
      <c r="G568" s="88">
        <v>-2966000000</v>
      </c>
      <c r="H568" s="91">
        <v>-2.9660000000000002</v>
      </c>
      <c r="I568" s="100" t="s">
        <v>2405</v>
      </c>
    </row>
    <row r="569" spans="1:9">
      <c r="A569" s="95" t="s">
        <v>2409</v>
      </c>
      <c r="B569" s="96" t="s">
        <v>2404</v>
      </c>
      <c r="C569" s="96" t="s">
        <v>410</v>
      </c>
      <c r="D569" s="96" t="s">
        <v>2132</v>
      </c>
      <c r="E569" s="96" t="s">
        <v>2131</v>
      </c>
      <c r="F569" s="96" t="s">
        <v>2774</v>
      </c>
      <c r="G569" s="88">
        <v>-4135000000</v>
      </c>
      <c r="H569" s="91">
        <v>-4.1349999999999998</v>
      </c>
      <c r="I569" s="100" t="s">
        <v>2405</v>
      </c>
    </row>
    <row r="570" spans="1:9">
      <c r="A570" s="95" t="s">
        <v>2409</v>
      </c>
      <c r="B570" s="96" t="s">
        <v>2404</v>
      </c>
      <c r="C570" s="96" t="s">
        <v>410</v>
      </c>
      <c r="D570" s="96" t="s">
        <v>2775</v>
      </c>
      <c r="E570" s="96" t="s">
        <v>2776</v>
      </c>
      <c r="F570" s="96" t="s">
        <v>2777</v>
      </c>
      <c r="G570" s="88">
        <v>0</v>
      </c>
      <c r="H570" s="91">
        <v>0</v>
      </c>
      <c r="I570" s="100" t="s">
        <v>2405</v>
      </c>
    </row>
    <row r="571" spans="1:9">
      <c r="A571" s="95" t="s">
        <v>2409</v>
      </c>
      <c r="B571" s="96" t="s">
        <v>2404</v>
      </c>
      <c r="C571" s="96" t="s">
        <v>410</v>
      </c>
      <c r="D571" s="96" t="s">
        <v>2778</v>
      </c>
      <c r="E571" s="96" t="s">
        <v>2779</v>
      </c>
      <c r="F571" s="96" t="s">
        <v>1668</v>
      </c>
      <c r="G571" s="88">
        <v>-2666541000000</v>
      </c>
      <c r="H571" s="91">
        <v>-2666.5410000000002</v>
      </c>
      <c r="I571" s="100" t="s">
        <v>2405</v>
      </c>
    </row>
    <row r="572" spans="1:9">
      <c r="A572" s="95" t="s">
        <v>2409</v>
      </c>
      <c r="B572" s="96" t="s">
        <v>2404</v>
      </c>
      <c r="C572" s="96" t="s">
        <v>410</v>
      </c>
      <c r="D572" s="96" t="s">
        <v>2780</v>
      </c>
      <c r="E572" s="96" t="s">
        <v>2781</v>
      </c>
      <c r="F572" s="96" t="s">
        <v>1669</v>
      </c>
      <c r="G572" s="88">
        <v>-5850308000000</v>
      </c>
      <c r="H572" s="91">
        <v>-5850.308</v>
      </c>
      <c r="I572" s="100" t="s">
        <v>2405</v>
      </c>
    </row>
    <row r="573" spans="1:9">
      <c r="A573" s="95" t="s">
        <v>2409</v>
      </c>
      <c r="B573" s="96" t="s">
        <v>2404</v>
      </c>
      <c r="C573" s="96" t="s">
        <v>410</v>
      </c>
      <c r="D573" s="96" t="s">
        <v>2782</v>
      </c>
      <c r="E573" s="96" t="s">
        <v>2783</v>
      </c>
      <c r="F573" s="96" t="s">
        <v>1670</v>
      </c>
      <c r="G573" s="88">
        <v>18617866000000</v>
      </c>
      <c r="H573" s="91">
        <v>18617.866000000002</v>
      </c>
      <c r="I573" s="100" t="s">
        <v>2405</v>
      </c>
    </row>
    <row r="574" spans="1:9">
      <c r="A574" s="95" t="s">
        <v>2409</v>
      </c>
      <c r="B574" s="96" t="s">
        <v>2404</v>
      </c>
      <c r="C574" s="96" t="s">
        <v>410</v>
      </c>
      <c r="D574" s="96" t="s">
        <v>2784</v>
      </c>
      <c r="E574" s="96" t="s">
        <v>2785</v>
      </c>
      <c r="F574" s="96" t="s">
        <v>1671</v>
      </c>
      <c r="G574" s="88">
        <v>1547000000</v>
      </c>
      <c r="H574" s="91">
        <v>1.5469999999999999</v>
      </c>
      <c r="I574" s="100" t="s">
        <v>2405</v>
      </c>
    </row>
    <row r="575" spans="1:9">
      <c r="A575" s="95" t="s">
        <v>2409</v>
      </c>
      <c r="B575" s="96" t="s">
        <v>2404</v>
      </c>
      <c r="C575" s="96" t="s">
        <v>410</v>
      </c>
      <c r="D575" s="96" t="s">
        <v>2786</v>
      </c>
      <c r="E575" s="96" t="s">
        <v>2787</v>
      </c>
      <c r="F575" s="96" t="s">
        <v>1672</v>
      </c>
      <c r="G575" s="88">
        <v>12769105000000</v>
      </c>
      <c r="H575" s="91">
        <v>12769.105</v>
      </c>
      <c r="I575" s="100" t="s">
        <v>2405</v>
      </c>
    </row>
    <row r="576" spans="1:9">
      <c r="A576" s="95" t="s">
        <v>2409</v>
      </c>
      <c r="B576" s="96" t="s">
        <v>2404</v>
      </c>
      <c r="C576" s="96" t="s">
        <v>410</v>
      </c>
      <c r="D576" s="96" t="s">
        <v>2788</v>
      </c>
      <c r="E576" s="96" t="s">
        <v>2789</v>
      </c>
      <c r="F576" s="96" t="s">
        <v>1949</v>
      </c>
      <c r="G576" s="88">
        <v>0</v>
      </c>
      <c r="H576" s="91">
        <v>0</v>
      </c>
      <c r="I576" s="100" t="s">
        <v>2405</v>
      </c>
    </row>
    <row r="577" spans="1:9">
      <c r="A577" s="95" t="s">
        <v>2409</v>
      </c>
      <c r="B577" s="96" t="s">
        <v>2404</v>
      </c>
      <c r="C577" s="96" t="s">
        <v>410</v>
      </c>
      <c r="D577" s="96" t="s">
        <v>1952</v>
      </c>
      <c r="E577" s="96" t="s">
        <v>2790</v>
      </c>
      <c r="F577" s="96" t="s">
        <v>1951</v>
      </c>
      <c r="G577" s="88">
        <v>0</v>
      </c>
      <c r="H577" s="91">
        <v>0</v>
      </c>
      <c r="I577" s="100" t="s">
        <v>2405</v>
      </c>
    </row>
    <row r="578" spans="1:9">
      <c r="A578" s="95" t="s">
        <v>2409</v>
      </c>
      <c r="B578" s="96" t="s">
        <v>2404</v>
      </c>
      <c r="C578" s="96" t="s">
        <v>410</v>
      </c>
      <c r="D578" s="96" t="s">
        <v>2791</v>
      </c>
      <c r="E578" s="96" t="s">
        <v>2792</v>
      </c>
      <c r="F578" s="96" t="s">
        <v>2793</v>
      </c>
      <c r="G578" s="88">
        <v>0</v>
      </c>
      <c r="H578" s="91">
        <v>0</v>
      </c>
      <c r="I578" s="100" t="s">
        <v>2405</v>
      </c>
    </row>
    <row r="579" spans="1:9">
      <c r="A579" s="95" t="s">
        <v>2409</v>
      </c>
      <c r="B579" s="96" t="s">
        <v>1034</v>
      </c>
      <c r="C579" s="96" t="s">
        <v>410</v>
      </c>
      <c r="D579" s="96" t="s">
        <v>2697</v>
      </c>
      <c r="E579" s="96" t="s">
        <v>2698</v>
      </c>
      <c r="F579" s="96" t="s">
        <v>2699</v>
      </c>
      <c r="G579" s="88">
        <v>2320177000000</v>
      </c>
      <c r="H579" s="91">
        <v>2320.1770000000001</v>
      </c>
      <c r="I579" s="100" t="s">
        <v>2405</v>
      </c>
    </row>
    <row r="580" spans="1:9">
      <c r="A580" s="95" t="s">
        <v>2409</v>
      </c>
      <c r="B580" s="96" t="s">
        <v>1034</v>
      </c>
      <c r="C580" s="96" t="s">
        <v>410</v>
      </c>
      <c r="D580" s="96" t="s">
        <v>2700</v>
      </c>
      <c r="E580" s="96" t="s">
        <v>2701</v>
      </c>
      <c r="F580" s="96" t="s">
        <v>1659</v>
      </c>
      <c r="G580" s="88">
        <v>929330000000</v>
      </c>
      <c r="H580" s="91">
        <v>929.33</v>
      </c>
      <c r="I580" s="100" t="s">
        <v>2405</v>
      </c>
    </row>
    <row r="581" spans="1:9">
      <c r="A581" s="95" t="s">
        <v>2409</v>
      </c>
      <c r="B581" s="96" t="s">
        <v>1034</v>
      </c>
      <c r="C581" s="96" t="s">
        <v>410</v>
      </c>
      <c r="D581" s="96" t="s">
        <v>2090</v>
      </c>
      <c r="E581" s="96" t="s">
        <v>2089</v>
      </c>
      <c r="F581" s="96" t="s">
        <v>2702</v>
      </c>
      <c r="G581" s="88">
        <v>538273000000</v>
      </c>
      <c r="H581" s="91">
        <v>538.27300000000002</v>
      </c>
      <c r="I581" s="100" t="s">
        <v>2405</v>
      </c>
    </row>
    <row r="582" spans="1:9">
      <c r="A582" s="95" t="s">
        <v>2409</v>
      </c>
      <c r="B582" s="96" t="s">
        <v>1034</v>
      </c>
      <c r="C582" s="96" t="s">
        <v>410</v>
      </c>
      <c r="D582" s="96" t="s">
        <v>2703</v>
      </c>
      <c r="E582" s="96" t="s">
        <v>2704</v>
      </c>
      <c r="F582" s="96" t="s">
        <v>2705</v>
      </c>
      <c r="G582" s="88">
        <v>-14925000000</v>
      </c>
      <c r="H582" s="91">
        <v>-14.925000000000001</v>
      </c>
      <c r="I582" s="100" t="s">
        <v>2405</v>
      </c>
    </row>
    <row r="583" spans="1:9">
      <c r="A583" s="95" t="s">
        <v>2409</v>
      </c>
      <c r="B583" s="96" t="s">
        <v>1034</v>
      </c>
      <c r="C583" s="96" t="s">
        <v>410</v>
      </c>
      <c r="D583" s="96" t="s">
        <v>2706</v>
      </c>
      <c r="E583" s="96" t="s">
        <v>2707</v>
      </c>
      <c r="F583" s="96" t="s">
        <v>2708</v>
      </c>
      <c r="G583" s="88">
        <v>0</v>
      </c>
      <c r="H583" s="91">
        <v>0</v>
      </c>
      <c r="I583" s="100" t="s">
        <v>2405</v>
      </c>
    </row>
    <row r="584" spans="1:9">
      <c r="A584" s="95" t="s">
        <v>2409</v>
      </c>
      <c r="B584" s="96" t="s">
        <v>1034</v>
      </c>
      <c r="C584" s="96" t="s">
        <v>410</v>
      </c>
      <c r="D584" s="96" t="s">
        <v>2709</v>
      </c>
      <c r="E584" s="96" t="s">
        <v>2710</v>
      </c>
      <c r="F584" s="96" t="s">
        <v>2711</v>
      </c>
      <c r="G584" s="88">
        <v>-1747641000000</v>
      </c>
      <c r="H584" s="91">
        <v>-1747.6410000000001</v>
      </c>
      <c r="I584" s="100" t="s">
        <v>2405</v>
      </c>
    </row>
    <row r="585" spans="1:9">
      <c r="A585" s="95" t="s">
        <v>2409</v>
      </c>
      <c r="B585" s="96" t="s">
        <v>1034</v>
      </c>
      <c r="C585" s="96" t="s">
        <v>410</v>
      </c>
      <c r="D585" s="96" t="s">
        <v>2021</v>
      </c>
      <c r="E585" s="96" t="s">
        <v>2712</v>
      </c>
      <c r="F585" s="96" t="s">
        <v>2355</v>
      </c>
      <c r="G585" s="88">
        <v>1384525000000</v>
      </c>
      <c r="H585" s="91">
        <v>1384.5250000000001</v>
      </c>
      <c r="I585" s="100" t="s">
        <v>2405</v>
      </c>
    </row>
    <row r="586" spans="1:9">
      <c r="A586" s="95" t="s">
        <v>2409</v>
      </c>
      <c r="B586" s="96" t="s">
        <v>1034</v>
      </c>
      <c r="C586" s="96" t="s">
        <v>410</v>
      </c>
      <c r="D586" s="96" t="s">
        <v>2713</v>
      </c>
      <c r="E586" s="96" t="s">
        <v>2714</v>
      </c>
      <c r="F586" s="96" t="s">
        <v>2715</v>
      </c>
      <c r="G586" s="88">
        <v>0</v>
      </c>
      <c r="H586" s="91">
        <v>0</v>
      </c>
      <c r="I586" s="100" t="s">
        <v>2405</v>
      </c>
    </row>
    <row r="587" spans="1:9">
      <c r="A587" s="95" t="s">
        <v>2409</v>
      </c>
      <c r="B587" s="96" t="s">
        <v>1034</v>
      </c>
      <c r="C587" s="96" t="s">
        <v>410</v>
      </c>
      <c r="D587" s="96" t="s">
        <v>2716</v>
      </c>
      <c r="E587" s="96" t="s">
        <v>2717</v>
      </c>
      <c r="F587" s="96" t="s">
        <v>2718</v>
      </c>
      <c r="G587" s="88">
        <v>3409739000000</v>
      </c>
      <c r="H587" s="91">
        <v>3409.739</v>
      </c>
      <c r="I587" s="100" t="s">
        <v>2405</v>
      </c>
    </row>
    <row r="588" spans="1:9">
      <c r="A588" s="95" t="s">
        <v>2409</v>
      </c>
      <c r="B588" s="96" t="s">
        <v>1034</v>
      </c>
      <c r="C588" s="96" t="s">
        <v>410</v>
      </c>
      <c r="D588" s="96" t="s">
        <v>1956</v>
      </c>
      <c r="E588" s="96" t="s">
        <v>2719</v>
      </c>
      <c r="F588" s="96" t="s">
        <v>2720</v>
      </c>
      <c r="G588" s="88">
        <v>-613529000000</v>
      </c>
      <c r="H588" s="91">
        <v>-613.529</v>
      </c>
      <c r="I588" s="100" t="s">
        <v>2405</v>
      </c>
    </row>
    <row r="589" spans="1:9">
      <c r="A589" s="95" t="s">
        <v>2409</v>
      </c>
      <c r="B589" s="96" t="s">
        <v>1034</v>
      </c>
      <c r="C589" s="96" t="s">
        <v>410</v>
      </c>
      <c r="D589" s="96" t="s">
        <v>1958</v>
      </c>
      <c r="E589" s="96" t="s">
        <v>2721</v>
      </c>
      <c r="F589" s="96" t="s">
        <v>2722</v>
      </c>
      <c r="G589" s="88">
        <v>-687936000000</v>
      </c>
      <c r="H589" s="91">
        <v>-687.93600000000004</v>
      </c>
      <c r="I589" s="100" t="s">
        <v>2405</v>
      </c>
    </row>
    <row r="590" spans="1:9">
      <c r="A590" s="95" t="s">
        <v>2409</v>
      </c>
      <c r="B590" s="96" t="s">
        <v>1034</v>
      </c>
      <c r="C590" s="96" t="s">
        <v>410</v>
      </c>
      <c r="D590" s="96" t="s">
        <v>2723</v>
      </c>
      <c r="E590" s="96" t="s">
        <v>2724</v>
      </c>
      <c r="F590" s="96" t="s">
        <v>2725</v>
      </c>
      <c r="G590" s="88">
        <v>1619239000000</v>
      </c>
      <c r="H590" s="91">
        <v>1619.239</v>
      </c>
      <c r="I590" s="100" t="s">
        <v>2405</v>
      </c>
    </row>
    <row r="591" spans="1:9">
      <c r="A591" s="95" t="s">
        <v>2409</v>
      </c>
      <c r="B591" s="96" t="s">
        <v>1034</v>
      </c>
      <c r="C591" s="96" t="s">
        <v>410</v>
      </c>
      <c r="D591" s="96" t="s">
        <v>2726</v>
      </c>
      <c r="E591" s="96" t="s">
        <v>2727</v>
      </c>
      <c r="F591" s="96" t="s">
        <v>2728</v>
      </c>
      <c r="G591" s="88">
        <v>-55035000000</v>
      </c>
      <c r="H591" s="91">
        <v>-55.034999999999997</v>
      </c>
      <c r="I591" s="100" t="s">
        <v>2405</v>
      </c>
    </row>
    <row r="592" spans="1:9">
      <c r="A592" s="95" t="s">
        <v>2409</v>
      </c>
      <c r="B592" s="96" t="s">
        <v>1034</v>
      </c>
      <c r="C592" s="96" t="s">
        <v>410</v>
      </c>
      <c r="D592" s="96" t="s">
        <v>2107</v>
      </c>
      <c r="E592" s="96" t="s">
        <v>2106</v>
      </c>
      <c r="F592" s="96" t="s">
        <v>2729</v>
      </c>
      <c r="G592" s="88">
        <v>-1336613000000</v>
      </c>
      <c r="H592" s="91">
        <v>-1336.6130000000001</v>
      </c>
      <c r="I592" s="100" t="s">
        <v>2405</v>
      </c>
    </row>
    <row r="593" spans="1:9">
      <c r="A593" s="95" t="s">
        <v>2409</v>
      </c>
      <c r="B593" s="96" t="s">
        <v>1034</v>
      </c>
      <c r="C593" s="96" t="s">
        <v>410</v>
      </c>
      <c r="D593" s="96" t="s">
        <v>109</v>
      </c>
      <c r="E593" s="96" t="s">
        <v>2730</v>
      </c>
      <c r="F593" s="96" t="s">
        <v>1661</v>
      </c>
      <c r="G593" s="88">
        <v>-483177000000</v>
      </c>
      <c r="H593" s="91">
        <v>-483.17700000000002</v>
      </c>
      <c r="I593" s="100" t="s">
        <v>2405</v>
      </c>
    </row>
    <row r="594" spans="1:9">
      <c r="A594" s="95" t="s">
        <v>2409</v>
      </c>
      <c r="B594" s="96" t="s">
        <v>1034</v>
      </c>
      <c r="C594" s="96" t="s">
        <v>410</v>
      </c>
      <c r="D594" s="96" t="s">
        <v>1966</v>
      </c>
      <c r="E594" s="96" t="s">
        <v>2731</v>
      </c>
      <c r="F594" s="96" t="s">
        <v>1965</v>
      </c>
      <c r="G594" s="88">
        <v>0</v>
      </c>
      <c r="H594" s="91">
        <v>0</v>
      </c>
      <c r="I594" s="100" t="s">
        <v>2405</v>
      </c>
    </row>
    <row r="595" spans="1:9">
      <c r="A595" s="95" t="s">
        <v>2409</v>
      </c>
      <c r="B595" s="96" t="s">
        <v>1034</v>
      </c>
      <c r="C595" s="96" t="s">
        <v>410</v>
      </c>
      <c r="D595" s="96" t="s">
        <v>2732</v>
      </c>
      <c r="E595" s="96" t="s">
        <v>2733</v>
      </c>
      <c r="F595" s="96" t="s">
        <v>1967</v>
      </c>
      <c r="G595" s="88">
        <v>0</v>
      </c>
      <c r="H595" s="91">
        <v>0</v>
      </c>
      <c r="I595" s="100" t="s">
        <v>2405</v>
      </c>
    </row>
    <row r="596" spans="1:9">
      <c r="A596" s="95" t="s">
        <v>2409</v>
      </c>
      <c r="B596" s="96" t="s">
        <v>1034</v>
      </c>
      <c r="C596" s="96" t="s">
        <v>410</v>
      </c>
      <c r="D596" s="96" t="s">
        <v>2734</v>
      </c>
      <c r="E596" s="96" t="s">
        <v>2735</v>
      </c>
      <c r="F596" s="96" t="s">
        <v>2736</v>
      </c>
      <c r="G596" s="88">
        <v>3473727000000</v>
      </c>
      <c r="H596" s="91">
        <v>3473.7269999999999</v>
      </c>
      <c r="I596" s="100" t="s">
        <v>2405</v>
      </c>
    </row>
    <row r="597" spans="1:9">
      <c r="A597" s="95" t="s">
        <v>2409</v>
      </c>
      <c r="B597" s="96" t="s">
        <v>1034</v>
      </c>
      <c r="C597" s="96" t="s">
        <v>410</v>
      </c>
      <c r="D597" s="96" t="s">
        <v>2737</v>
      </c>
      <c r="E597" s="96" t="s">
        <v>2738</v>
      </c>
      <c r="F597" s="96" t="s">
        <v>2739</v>
      </c>
      <c r="G597" s="88">
        <v>-447222000000</v>
      </c>
      <c r="H597" s="91">
        <v>-447.22199999999998</v>
      </c>
      <c r="I597" s="100" t="s">
        <v>2405</v>
      </c>
    </row>
    <row r="598" spans="1:9">
      <c r="A598" s="95" t="s">
        <v>2409</v>
      </c>
      <c r="B598" s="96" t="s">
        <v>1034</v>
      </c>
      <c r="C598" s="96" t="s">
        <v>410</v>
      </c>
      <c r="D598" s="96" t="s">
        <v>2740</v>
      </c>
      <c r="E598" s="96" t="s">
        <v>2741</v>
      </c>
      <c r="F598" s="96" t="s">
        <v>2742</v>
      </c>
      <c r="G598" s="88">
        <v>5174000000</v>
      </c>
      <c r="H598" s="91">
        <v>5.1740000000000004</v>
      </c>
      <c r="I598" s="100" t="s">
        <v>2405</v>
      </c>
    </row>
    <row r="599" spans="1:9">
      <c r="A599" s="95" t="s">
        <v>2409</v>
      </c>
      <c r="B599" s="96" t="s">
        <v>1034</v>
      </c>
      <c r="C599" s="96" t="s">
        <v>410</v>
      </c>
      <c r="D599" s="96" t="s">
        <v>2743</v>
      </c>
      <c r="E599" s="96" t="s">
        <v>2744</v>
      </c>
      <c r="F599" s="96" t="s">
        <v>2745</v>
      </c>
      <c r="G599" s="88">
        <v>-9363637000000</v>
      </c>
      <c r="H599" s="91">
        <v>-9363.6370000000006</v>
      </c>
      <c r="I599" s="100" t="s">
        <v>2405</v>
      </c>
    </row>
    <row r="600" spans="1:9">
      <c r="A600" s="95" t="s">
        <v>2409</v>
      </c>
      <c r="B600" s="96" t="s">
        <v>1034</v>
      </c>
      <c r="C600" s="96" t="s">
        <v>410</v>
      </c>
      <c r="D600" s="96" t="s">
        <v>2746</v>
      </c>
      <c r="E600" s="96" t="s">
        <v>2747</v>
      </c>
      <c r="F600" s="96" t="s">
        <v>2748</v>
      </c>
      <c r="G600" s="88">
        <v>1962377000000</v>
      </c>
      <c r="H600" s="91">
        <v>1962.377</v>
      </c>
      <c r="I600" s="100" t="s">
        <v>2405</v>
      </c>
    </row>
    <row r="601" spans="1:9">
      <c r="A601" s="95" t="s">
        <v>2409</v>
      </c>
      <c r="B601" s="96" t="s">
        <v>1034</v>
      </c>
      <c r="C601" s="96" t="s">
        <v>410</v>
      </c>
      <c r="D601" s="96" t="s">
        <v>1816</v>
      </c>
      <c r="E601" s="96" t="s">
        <v>2749</v>
      </c>
      <c r="F601" s="96" t="s">
        <v>2750</v>
      </c>
      <c r="G601" s="88">
        <v>0</v>
      </c>
      <c r="H601" s="91">
        <v>0</v>
      </c>
      <c r="I601" s="100" t="s">
        <v>2405</v>
      </c>
    </row>
    <row r="602" spans="1:9">
      <c r="A602" s="95" t="s">
        <v>2409</v>
      </c>
      <c r="B602" s="96" t="s">
        <v>1034</v>
      </c>
      <c r="C602" s="96" t="s">
        <v>410</v>
      </c>
      <c r="D602" s="96" t="s">
        <v>2751</v>
      </c>
      <c r="E602" s="96" t="s">
        <v>2752</v>
      </c>
      <c r="F602" s="96" t="s">
        <v>2753</v>
      </c>
      <c r="G602" s="88">
        <v>0</v>
      </c>
      <c r="H602" s="91">
        <v>0</v>
      </c>
      <c r="I602" s="100" t="s">
        <v>2405</v>
      </c>
    </row>
    <row r="603" spans="1:9">
      <c r="A603" s="95" t="s">
        <v>2409</v>
      </c>
      <c r="B603" s="96" t="s">
        <v>1034</v>
      </c>
      <c r="C603" s="96" t="s">
        <v>410</v>
      </c>
      <c r="D603" s="96" t="s">
        <v>2754</v>
      </c>
      <c r="E603" s="96" t="s">
        <v>2755</v>
      </c>
      <c r="F603" s="96" t="s">
        <v>2756</v>
      </c>
      <c r="G603" s="88">
        <v>323052000000</v>
      </c>
      <c r="H603" s="91">
        <v>323.05200000000002</v>
      </c>
      <c r="I603" s="100" t="s">
        <v>2405</v>
      </c>
    </row>
    <row r="604" spans="1:9">
      <c r="A604" s="95" t="s">
        <v>2409</v>
      </c>
      <c r="B604" s="96" t="s">
        <v>1034</v>
      </c>
      <c r="C604" s="96" t="s">
        <v>410</v>
      </c>
      <c r="D604" s="96" t="s">
        <v>2757</v>
      </c>
      <c r="E604" s="96" t="s">
        <v>2758</v>
      </c>
      <c r="F604" s="96" t="s">
        <v>1664</v>
      </c>
      <c r="G604" s="88">
        <v>-7520256000000</v>
      </c>
      <c r="H604" s="91">
        <v>-7520.2560000000003</v>
      </c>
      <c r="I604" s="100" t="s">
        <v>2405</v>
      </c>
    </row>
    <row r="605" spans="1:9">
      <c r="A605" s="95" t="s">
        <v>2409</v>
      </c>
      <c r="B605" s="96" t="s">
        <v>1034</v>
      </c>
      <c r="C605" s="96" t="s">
        <v>410</v>
      </c>
      <c r="D605" s="96" t="s">
        <v>2759</v>
      </c>
      <c r="E605" s="96" t="s">
        <v>2760</v>
      </c>
      <c r="F605" s="96" t="s">
        <v>2761</v>
      </c>
      <c r="G605" s="88">
        <v>0</v>
      </c>
      <c r="H605" s="91">
        <v>0</v>
      </c>
      <c r="I605" s="100" t="s">
        <v>2405</v>
      </c>
    </row>
    <row r="606" spans="1:9">
      <c r="A606" s="95" t="s">
        <v>2409</v>
      </c>
      <c r="B606" s="96" t="s">
        <v>1034</v>
      </c>
      <c r="C606" s="96" t="s">
        <v>410</v>
      </c>
      <c r="D606" s="96" t="s">
        <v>2762</v>
      </c>
      <c r="E606" s="96" t="s">
        <v>2763</v>
      </c>
      <c r="F606" s="96" t="s">
        <v>2764</v>
      </c>
      <c r="G606" s="88">
        <v>0</v>
      </c>
      <c r="H606" s="91">
        <v>0</v>
      </c>
      <c r="I606" s="100" t="s">
        <v>2405</v>
      </c>
    </row>
    <row r="607" spans="1:9">
      <c r="A607" s="95" t="s">
        <v>2409</v>
      </c>
      <c r="B607" s="96" t="s">
        <v>1034</v>
      </c>
      <c r="C607" s="96" t="s">
        <v>410</v>
      </c>
      <c r="D607" s="96" t="s">
        <v>2765</v>
      </c>
      <c r="E607" s="96" t="s">
        <v>2766</v>
      </c>
      <c r="F607" s="96" t="s">
        <v>2767</v>
      </c>
      <c r="G607" s="88">
        <v>14122440000000</v>
      </c>
      <c r="H607" s="91">
        <v>14122.44</v>
      </c>
      <c r="I607" s="100" t="s">
        <v>2405</v>
      </c>
    </row>
    <row r="608" spans="1:9">
      <c r="A608" s="95" t="s">
        <v>2409</v>
      </c>
      <c r="B608" s="96" t="s">
        <v>1034</v>
      </c>
      <c r="C608" s="96" t="s">
        <v>410</v>
      </c>
      <c r="D608" s="96" t="s">
        <v>2768</v>
      </c>
      <c r="E608" s="96" t="s">
        <v>2769</v>
      </c>
      <c r="F608" s="96" t="s">
        <v>2770</v>
      </c>
      <c r="G608" s="88">
        <v>-14332744000000</v>
      </c>
      <c r="H608" s="91">
        <v>-14332.744000000001</v>
      </c>
      <c r="I608" s="100" t="s">
        <v>2405</v>
      </c>
    </row>
    <row r="609" spans="1:9">
      <c r="A609" s="95" t="s">
        <v>2409</v>
      </c>
      <c r="B609" s="96" t="s">
        <v>1034</v>
      </c>
      <c r="C609" s="96" t="s">
        <v>410</v>
      </c>
      <c r="D609" s="96" t="s">
        <v>2771</v>
      </c>
      <c r="E609" s="96" t="s">
        <v>2772</v>
      </c>
      <c r="F609" s="96" t="s">
        <v>2773</v>
      </c>
      <c r="G609" s="88">
        <v>-3237000000</v>
      </c>
      <c r="H609" s="91">
        <v>-3.2370000000000001</v>
      </c>
      <c r="I609" s="100" t="s">
        <v>2405</v>
      </c>
    </row>
    <row r="610" spans="1:9">
      <c r="A610" s="95" t="s">
        <v>2409</v>
      </c>
      <c r="B610" s="96" t="s">
        <v>1034</v>
      </c>
      <c r="C610" s="96" t="s">
        <v>410</v>
      </c>
      <c r="D610" s="96" t="s">
        <v>2132</v>
      </c>
      <c r="E610" s="96" t="s">
        <v>2131</v>
      </c>
      <c r="F610" s="96" t="s">
        <v>2774</v>
      </c>
      <c r="G610" s="88">
        <v>-789881000000</v>
      </c>
      <c r="H610" s="91">
        <v>-789.88099999999997</v>
      </c>
      <c r="I610" s="100" t="s">
        <v>2405</v>
      </c>
    </row>
    <row r="611" spans="1:9">
      <c r="A611" s="95" t="s">
        <v>2409</v>
      </c>
      <c r="B611" s="96" t="s">
        <v>1034</v>
      </c>
      <c r="C611" s="96" t="s">
        <v>410</v>
      </c>
      <c r="D611" s="96" t="s">
        <v>2775</v>
      </c>
      <c r="E611" s="96" t="s">
        <v>2776</v>
      </c>
      <c r="F611" s="96" t="s">
        <v>2777</v>
      </c>
      <c r="G611" s="88">
        <v>0</v>
      </c>
      <c r="H611" s="91">
        <v>0</v>
      </c>
      <c r="I611" s="100" t="s">
        <v>2405</v>
      </c>
    </row>
    <row r="612" spans="1:9">
      <c r="A612" s="95" t="s">
        <v>2409</v>
      </c>
      <c r="B612" s="96" t="s">
        <v>1034</v>
      </c>
      <c r="C612" s="96" t="s">
        <v>410</v>
      </c>
      <c r="D612" s="96" t="s">
        <v>2778</v>
      </c>
      <c r="E612" s="96" t="s">
        <v>2779</v>
      </c>
      <c r="F612" s="96" t="s">
        <v>1668</v>
      </c>
      <c r="G612" s="88">
        <v>-1003422000000</v>
      </c>
      <c r="H612" s="91">
        <v>-1003.422</v>
      </c>
      <c r="I612" s="100" t="s">
        <v>2405</v>
      </c>
    </row>
    <row r="613" spans="1:9">
      <c r="A613" s="95" t="s">
        <v>2409</v>
      </c>
      <c r="B613" s="96" t="s">
        <v>1034</v>
      </c>
      <c r="C613" s="96" t="s">
        <v>410</v>
      </c>
      <c r="D613" s="96" t="s">
        <v>2780</v>
      </c>
      <c r="E613" s="96" t="s">
        <v>2781</v>
      </c>
      <c r="F613" s="96" t="s">
        <v>1669</v>
      </c>
      <c r="G613" s="88">
        <v>-5049951000000</v>
      </c>
      <c r="H613" s="91">
        <v>-5049.951</v>
      </c>
      <c r="I613" s="100" t="s">
        <v>2405</v>
      </c>
    </row>
    <row r="614" spans="1:9">
      <c r="A614" s="95" t="s">
        <v>2409</v>
      </c>
      <c r="B614" s="96" t="s">
        <v>1034</v>
      </c>
      <c r="C614" s="96" t="s">
        <v>410</v>
      </c>
      <c r="D614" s="96" t="s">
        <v>2782</v>
      </c>
      <c r="E614" s="96" t="s">
        <v>2783</v>
      </c>
      <c r="F614" s="96" t="s">
        <v>1670</v>
      </c>
      <c r="G614" s="88">
        <v>12128845000000</v>
      </c>
      <c r="H614" s="91">
        <v>12128.844999999999</v>
      </c>
      <c r="I614" s="100" t="s">
        <v>2405</v>
      </c>
    </row>
    <row r="615" spans="1:9">
      <c r="A615" s="95" t="s">
        <v>2409</v>
      </c>
      <c r="B615" s="96" t="s">
        <v>1034</v>
      </c>
      <c r="C615" s="96" t="s">
        <v>410</v>
      </c>
      <c r="D615" s="96" t="s">
        <v>2784</v>
      </c>
      <c r="E615" s="96" t="s">
        <v>2785</v>
      </c>
      <c r="F615" s="96" t="s">
        <v>1671</v>
      </c>
      <c r="G615" s="88">
        <v>2171000000</v>
      </c>
      <c r="H615" s="91">
        <v>2.1709999999999998</v>
      </c>
      <c r="I615" s="100" t="s">
        <v>2405</v>
      </c>
    </row>
    <row r="616" spans="1:9">
      <c r="A616" s="95" t="s">
        <v>2409</v>
      </c>
      <c r="B616" s="96" t="s">
        <v>1034</v>
      </c>
      <c r="C616" s="96" t="s">
        <v>410</v>
      </c>
      <c r="D616" s="96" t="s">
        <v>2786</v>
      </c>
      <c r="E616" s="96" t="s">
        <v>2787</v>
      </c>
      <c r="F616" s="96" t="s">
        <v>1672</v>
      </c>
      <c r="G616" s="88">
        <v>7081065000000</v>
      </c>
      <c r="H616" s="91">
        <v>7081.0649999999996</v>
      </c>
      <c r="I616" s="100" t="s">
        <v>2405</v>
      </c>
    </row>
    <row r="617" spans="1:9">
      <c r="A617" s="95" t="s">
        <v>2409</v>
      </c>
      <c r="B617" s="96" t="s">
        <v>1034</v>
      </c>
      <c r="C617" s="96" t="s">
        <v>410</v>
      </c>
      <c r="D617" s="96" t="s">
        <v>2788</v>
      </c>
      <c r="E617" s="96" t="s">
        <v>2789</v>
      </c>
      <c r="F617" s="96" t="s">
        <v>1949</v>
      </c>
      <c r="G617" s="88">
        <v>0</v>
      </c>
      <c r="H617" s="91">
        <v>0</v>
      </c>
      <c r="I617" s="100" t="s">
        <v>2405</v>
      </c>
    </row>
    <row r="618" spans="1:9">
      <c r="A618" s="95" t="s">
        <v>2409</v>
      </c>
      <c r="B618" s="96" t="s">
        <v>1034</v>
      </c>
      <c r="C618" s="96" t="s">
        <v>410</v>
      </c>
      <c r="D618" s="96" t="s">
        <v>1952</v>
      </c>
      <c r="E618" s="96" t="s">
        <v>2790</v>
      </c>
      <c r="F618" s="96" t="s">
        <v>1951</v>
      </c>
      <c r="G618" s="88">
        <v>0</v>
      </c>
      <c r="H618" s="91">
        <v>0</v>
      </c>
      <c r="I618" s="100" t="s">
        <v>2405</v>
      </c>
    </row>
    <row r="619" spans="1:9">
      <c r="A619" s="97" t="s">
        <v>2409</v>
      </c>
      <c r="B619" s="98" t="s">
        <v>1034</v>
      </c>
      <c r="C619" s="98" t="s">
        <v>410</v>
      </c>
      <c r="D619" s="98" t="s">
        <v>2791</v>
      </c>
      <c r="E619" s="98" t="s">
        <v>2792</v>
      </c>
      <c r="F619" s="98" t="s">
        <v>2793</v>
      </c>
      <c r="G619" s="89">
        <v>1621039000000</v>
      </c>
      <c r="H619" s="92">
        <v>1621.039</v>
      </c>
      <c r="I619" s="101" t="s">
        <v>2405</v>
      </c>
    </row>
  </sheetData>
  <mergeCells count="2">
    <mergeCell ref="A1:I1"/>
    <mergeCell ref="A2:I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9"/>
  <sheetViews>
    <sheetView showGridLines="0" workbookViewId="0">
      <selection sqref="A1:AF1"/>
    </sheetView>
  </sheetViews>
  <sheetFormatPr defaultRowHeight="13.8"/>
  <cols>
    <col min="1" max="1" width="10" customWidth="1"/>
    <col min="2" max="2" width="26" customWidth="1"/>
    <col min="3" max="3" width="14" customWidth="1"/>
    <col min="4" max="4" width="26" customWidth="1"/>
    <col min="5" max="5" width="20" customWidth="1"/>
    <col min="6" max="6" width="14" customWidth="1"/>
    <col min="7" max="7" width="16" customWidth="1"/>
    <col min="8" max="8" width="15" customWidth="1"/>
    <col min="9" max="11" width="18" customWidth="1"/>
    <col min="12" max="14" width="16" customWidth="1"/>
    <col min="15" max="27" width="18" customWidth="1"/>
    <col min="28" max="28" width="34" customWidth="1"/>
    <col min="29" max="29" width="28" customWidth="1"/>
    <col min="30" max="30" width="12" customWidth="1"/>
    <col min="31" max="31" width="18" customWidth="1"/>
    <col min="32" max="32" width="16" customWidth="1"/>
  </cols>
  <sheetData>
    <row r="1" spans="1:32" ht="27.9" customHeight="1">
      <c r="A1" s="473" t="s">
        <v>2794</v>
      </c>
      <c r="B1" s="452"/>
      <c r="C1" s="452"/>
      <c r="D1" s="452"/>
      <c r="E1" s="452"/>
      <c r="F1" s="452"/>
      <c r="G1" s="452"/>
      <c r="H1" s="452"/>
      <c r="I1" s="452"/>
      <c r="J1" s="452"/>
      <c r="K1" s="452"/>
      <c r="L1" s="452"/>
      <c r="M1" s="452"/>
      <c r="N1" s="452"/>
      <c r="O1" s="452"/>
      <c r="P1" s="452"/>
      <c r="Q1" s="452"/>
      <c r="R1" s="452"/>
      <c r="S1" s="452"/>
      <c r="T1" s="452"/>
      <c r="U1" s="452"/>
      <c r="V1" s="452"/>
      <c r="W1" s="452"/>
      <c r="X1" s="452"/>
      <c r="Y1" s="452"/>
      <c r="Z1" s="452"/>
      <c r="AA1" s="452"/>
      <c r="AB1" s="452"/>
      <c r="AC1" s="452"/>
      <c r="AD1" s="452"/>
      <c r="AE1" s="452"/>
      <c r="AF1" s="452"/>
    </row>
    <row r="2" spans="1:32">
      <c r="A2" s="476" t="s">
        <v>2795</v>
      </c>
      <c r="B2" s="452"/>
      <c r="C2" s="452"/>
      <c r="D2" s="452"/>
      <c r="E2" s="452"/>
      <c r="F2" s="452"/>
      <c r="G2" s="452"/>
      <c r="H2" s="452"/>
      <c r="I2" s="452"/>
      <c r="J2" s="452"/>
      <c r="K2" s="452"/>
      <c r="L2" s="452"/>
      <c r="M2" s="452"/>
      <c r="N2" s="452"/>
      <c r="O2" s="452"/>
      <c r="P2" s="452"/>
      <c r="Q2" s="452"/>
      <c r="R2" s="452"/>
      <c r="S2" s="452"/>
      <c r="T2" s="452"/>
      <c r="U2" s="452"/>
      <c r="V2" s="452"/>
      <c r="W2" s="452"/>
      <c r="X2" s="452"/>
      <c r="Y2" s="452"/>
      <c r="Z2" s="452"/>
      <c r="AA2" s="452"/>
      <c r="AB2" s="452"/>
      <c r="AC2" s="452"/>
      <c r="AD2" s="452"/>
      <c r="AE2" s="452"/>
      <c r="AF2" s="452"/>
    </row>
    <row r="3" spans="1:32">
      <c r="C3" s="61" t="s">
        <v>2796</v>
      </c>
    </row>
    <row r="4" spans="1:32" ht="30" customHeight="1">
      <c r="A4" s="360" t="s">
        <v>551</v>
      </c>
      <c r="B4" s="360" t="s">
        <v>552</v>
      </c>
      <c r="C4" s="360" t="s">
        <v>2797</v>
      </c>
      <c r="D4" s="360" t="s">
        <v>553</v>
      </c>
      <c r="E4" s="360" t="s">
        <v>2798</v>
      </c>
      <c r="F4" s="360" t="s">
        <v>554</v>
      </c>
      <c r="G4" s="360" t="s">
        <v>555</v>
      </c>
      <c r="H4" s="360" t="s">
        <v>556</v>
      </c>
      <c r="I4" s="360" t="s">
        <v>2799</v>
      </c>
      <c r="J4" s="360" t="s">
        <v>2800</v>
      </c>
      <c r="K4" s="360" t="s">
        <v>2801</v>
      </c>
      <c r="L4" s="360" t="s">
        <v>2802</v>
      </c>
      <c r="M4" s="360" t="s">
        <v>2803</v>
      </c>
      <c r="N4" s="360" t="s">
        <v>561</v>
      </c>
      <c r="O4" s="360" t="s">
        <v>2804</v>
      </c>
      <c r="P4" s="360" t="s">
        <v>2805</v>
      </c>
      <c r="Q4" s="360" t="s">
        <v>2806</v>
      </c>
      <c r="R4" s="360" t="s">
        <v>2807</v>
      </c>
      <c r="S4" s="360" t="s">
        <v>2808</v>
      </c>
      <c r="T4" s="360" t="s">
        <v>2809</v>
      </c>
      <c r="U4" s="360" t="s">
        <v>2810</v>
      </c>
      <c r="V4" s="360" t="s">
        <v>2811</v>
      </c>
      <c r="W4" s="360" t="s">
        <v>2812</v>
      </c>
      <c r="X4" s="360" t="s">
        <v>2813</v>
      </c>
      <c r="Y4" s="360" t="s">
        <v>2814</v>
      </c>
      <c r="Z4" s="360" t="s">
        <v>2815</v>
      </c>
      <c r="AA4" s="360" t="s">
        <v>2816</v>
      </c>
      <c r="AB4" s="360" t="s">
        <v>2817</v>
      </c>
      <c r="AC4" s="360" t="s">
        <v>2818</v>
      </c>
      <c r="AD4" s="360" t="s">
        <v>2819</v>
      </c>
      <c r="AE4" s="360" t="s">
        <v>2820</v>
      </c>
      <c r="AF4" s="360" t="s">
        <v>2821</v>
      </c>
    </row>
    <row r="5" spans="1:32">
      <c r="A5" s="114" t="str">
        <f>'101_Raw_Peer_Market'!A5</f>
        <v>MWG</v>
      </c>
      <c r="B5" s="115" t="str">
        <f>'101_Raw_Peer_Market'!B5</f>
        <v>Target company</v>
      </c>
      <c r="C5" s="115" t="str">
        <f>'101_Raw_Peer_Market'!C5</f>
        <v>Target</v>
      </c>
      <c r="D5" s="115" t="str">
        <f>'101_Raw_Peer_Market'!D5</f>
        <v>Thế giới di động</v>
      </c>
      <c r="E5" s="115" t="str">
        <f>'101_Raw_Peer_Market'!E5</f>
        <v>Retail</v>
      </c>
      <c r="F5" s="142" t="str">
        <f>'101_Raw_Peer_Market'!F5</f>
        <v>2026-06-26</v>
      </c>
      <c r="G5" s="123">
        <f>'101_Raw_Peer_Market'!G5</f>
        <v>78500</v>
      </c>
      <c r="H5" s="126">
        <f>'101_Raw_Peer_Market'!H5</f>
        <v>1468423529</v>
      </c>
      <c r="I5" s="123">
        <f>'101_Raw_Peer_Market'!I5</f>
        <v>113362.2964388</v>
      </c>
      <c r="J5" s="105">
        <f>IFERROR(G5*H5/1000000000,"")</f>
        <v>115271.2470265</v>
      </c>
      <c r="K5" s="123">
        <f>'04_Q1_Historical_FS'!$E$29+'04_Q1_Historical_FS'!$E$30</f>
        <v>46384.806297955998</v>
      </c>
      <c r="L5" s="123">
        <f>'04_Q1_Historical_FS'!$E$50</f>
        <v>28100.653169211</v>
      </c>
      <c r="M5" s="105">
        <f>IFERROR(L5-K5,"")</f>
        <v>-18284.153128744998</v>
      </c>
      <c r="N5" s="105">
        <f>IFERROR(J5+M5,"")</f>
        <v>96987.093897754996</v>
      </c>
      <c r="O5" s="123">
        <f>IFERROR(SUMIFS('97_Raw_Peer_IS'!$H$5:$H$2000,'97_Raw_Peer_IS'!$A$5:$A$2000,$A5,'97_Raw_Peer_IS'!$B$5:$B$2000,"FY2025",'97_Raw_Peer_IS'!$D$5:$D$2000,"net_sales"),"")</f>
        <v>155928.14561936699</v>
      </c>
      <c r="P5" s="123">
        <f>IFERROR(SUMIFS('97_Raw_Peer_IS'!$H$5:$H$2000,'97_Raw_Peer_IS'!$A$5:$A$2000,$A5,'97_Raw_Peer_IS'!$B$5:$B$2000,"FY2025",'97_Raw_Peer_IS'!$D$5:$D$2000,"gross_profit")+SUMIFS('97_Raw_Peer_IS'!$H$5:$H$2000,'97_Raw_Peer_IS'!$A$5:$A$2000,$A5,'97_Raw_Peer_IS'!$B$5:$B$2000,"FY2025",'97_Raw_Peer_IS'!$D$5:$D$2000,"selling_expenses")+SUMIFS('97_Raw_Peer_IS'!$H$5:$H$2000,'97_Raw_Peer_IS'!$A$5:$A$2000,$A5,'97_Raw_Peer_IS'!$B$5:$B$2000,"FY2025",'97_Raw_Peer_IS'!$D$5:$D$2000,"general_and_admin_expenses")+SUMIFS('99_Raw_Peer_CF'!$H$5:$H$2000,'99_Raw_Peer_CF'!$A$5:$A$2000,$A5,'99_Raw_Peer_CF'!$B$5:$B$2000,"FY2025",'99_Raw_Peer_CF'!$D$5:$D$2000,"depreciation_and_amortization"),"")</f>
        <v>8965.7814584230018</v>
      </c>
      <c r="Q5" s="123">
        <f>IFERROR(SUMIFS('97_Raw_Peer_IS'!$H$5:$H$2000,'97_Raw_Peer_IS'!$A$5:$A$2000,$A5,'97_Raw_Peer_IS'!$B$5:$B$2000,"FY2025",'97_Raw_Peer_IS'!$D$5:$D$2000,"attributable_to_parent_company"),"")</f>
        <v>7033.7307701689997</v>
      </c>
      <c r="R5" s="123">
        <f>IFERROR(SUMIFS('97_Raw_Peer_IS'!$H$5:$H$2000,'97_Raw_Peer_IS'!$A$5:$A$2000,$A5,'97_Raw_Peer_IS'!$B$5:$B$2000,"Q1/2025",'97_Raw_Peer_IS'!$D$5:$D$2000,"net_sales"),"")</f>
        <v>36134.958418208997</v>
      </c>
      <c r="S5" s="123">
        <f>IFERROR(SUMIFS('97_Raw_Peer_IS'!$H$5:$H$2000,'97_Raw_Peer_IS'!$A$5:$A$2000,$A5,'97_Raw_Peer_IS'!$B$5:$B$2000,"Q1/2025",'97_Raw_Peer_IS'!$D$5:$D$2000,"gross_profit")+SUMIFS('97_Raw_Peer_IS'!$H$5:$H$2000,'97_Raw_Peer_IS'!$A$5:$A$2000,$A5,'97_Raw_Peer_IS'!$B$5:$B$2000,"Q1/2025",'97_Raw_Peer_IS'!$D$5:$D$2000,"selling_expenses")+SUMIFS('97_Raw_Peer_IS'!$H$5:$H$2000,'97_Raw_Peer_IS'!$A$5:$A$2000,$A5,'97_Raw_Peer_IS'!$B$5:$B$2000,"Q1/2025",'97_Raw_Peer_IS'!$D$5:$D$2000,"general_and_admin_expenses")+SUMIFS('99_Raw_Peer_CF'!$H$5:$H$2000,'99_Raw_Peer_CF'!$A$5:$A$2000,$A5,'99_Raw_Peer_CF'!$B$5:$B$2000,"Q1/2025",'99_Raw_Peer_CF'!$D$5:$D$2000,"depreciation_and_amortization"),"")</f>
        <v>2091.7239515889996</v>
      </c>
      <c r="T5" s="123">
        <f>IFERROR(SUMIFS('97_Raw_Peer_IS'!$H$5:$H$2000,'97_Raw_Peer_IS'!$A$5:$A$2000,$A5,'97_Raw_Peer_IS'!$B$5:$B$2000,"Q1/2025",'97_Raw_Peer_IS'!$D$5:$D$2000,"attributable_to_parent_company"),"")</f>
        <v>1545.937090941</v>
      </c>
      <c r="U5" s="123">
        <f>IFERROR(SUMIFS('97_Raw_Peer_IS'!$H$5:$H$2000,'97_Raw_Peer_IS'!$A$5:$A$2000,$A5,'97_Raw_Peer_IS'!$B$5:$B$2000,"Q1/2026",'97_Raw_Peer_IS'!$D$5:$D$2000,"net_sales"),"")</f>
        <v>46461.952026772997</v>
      </c>
      <c r="V5" s="123">
        <f>IFERROR(SUMIFS('97_Raw_Peer_IS'!$H$5:$H$2000,'97_Raw_Peer_IS'!$A$5:$A$2000,$A5,'97_Raw_Peer_IS'!$B$5:$B$2000,"Q1/2026",'97_Raw_Peer_IS'!$D$5:$D$2000,"gross_profit")+SUMIFS('97_Raw_Peer_IS'!$H$5:$H$2000,'97_Raw_Peer_IS'!$A$5:$A$2000,$A5,'97_Raw_Peer_IS'!$B$5:$B$2000,"Q1/2026",'97_Raw_Peer_IS'!$D$5:$D$2000,"selling_expenses")+SUMIFS('97_Raw_Peer_IS'!$H$5:$H$2000,'97_Raw_Peer_IS'!$A$5:$A$2000,$A5,'97_Raw_Peer_IS'!$B$5:$B$2000,"Q1/2026",'97_Raw_Peer_IS'!$D$5:$D$2000,"general_and_admin_expenses")+SUMIFS('99_Raw_Peer_CF'!$H$5:$H$2000,'99_Raw_Peer_CF'!$A$5:$A$2000,$A5,'99_Raw_Peer_CF'!$B$5:$B$2000,"Q1/2026",'99_Raw_Peer_CF'!$D$5:$D$2000,"depreciation_and_amortization"),"")</f>
        <v>3295.942421963</v>
      </c>
      <c r="W5" s="123">
        <f>IFERROR(SUMIFS('97_Raw_Peer_IS'!$H$5:$H$2000,'97_Raw_Peer_IS'!$A$5:$A$2000,$A5,'97_Raw_Peer_IS'!$B$5:$B$2000,"Q1/2026",'97_Raw_Peer_IS'!$D$5:$D$2000,"attributable_to_parent_company"),"")</f>
        <v>2714.4308521060002</v>
      </c>
      <c r="X5" s="105">
        <f t="shared" ref="X5:Z9" si="0">IFERROR(O5+U5-R5,"")</f>
        <v>166255.13922793098</v>
      </c>
      <c r="Y5" s="105">
        <f t="shared" si="0"/>
        <v>10169.999928797002</v>
      </c>
      <c r="Z5" s="105">
        <f t="shared" si="0"/>
        <v>8202.224531333999</v>
      </c>
      <c r="AA5" s="123">
        <f>IFERROR(SUMIFS('98_Raw_Peer_BS'!$H$5:$H$2000,'98_Raw_Peer_BS'!$A$5:$A$2000,$A5,'98_Raw_Peer_BS'!$B$5:$B$2000,"Q1/2026",'98_Raw_Peer_BS'!$D$5:$D$2000,"owners_equity"),"")</f>
        <v>35933.342055104004</v>
      </c>
      <c r="AB5" s="115" t="str">
        <f>'101_Raw_Peer_Market'!J5</f>
        <v>vnstock Quote.history source=VCI</v>
      </c>
      <c r="AC5" s="94" t="str">
        <f>"MWG cash/debt links to 04A_Q1_Historical_FS; other metrics use vnstock Finance source=VCI"</f>
        <v>MWG cash/debt links to 04A_Q1_Historical_FS; other metrics use vnstock Finance source=VCI</v>
      </c>
      <c r="AD5" s="115" t="str">
        <f>'101_Raw_Peer_Market'!L5</f>
        <v>OK</v>
      </c>
      <c r="AE5" s="108">
        <f>IFERROR(ABS(J5-I5)/J5,"")</f>
        <v>1.6560509554140169E-2</v>
      </c>
      <c r="AF5" s="102" t="str">
        <f>IF(AND(ROUND(X5,6)=ROUND(O5+U5-R5,6),ROUND(Y5,6)=ROUND(P5+V5-S5,6),ROUND(Z5,6)=ROUND(Q5+W5-T5,6)),"OK","CHECK")</f>
        <v>OK</v>
      </c>
    </row>
    <row r="6" spans="1:32">
      <c r="A6" s="117" t="str">
        <f>'101_Raw_Peer_Market'!A6</f>
        <v>FRT</v>
      </c>
      <c r="B6" s="118" t="str">
        <f>'101_Raw_Peer_Market'!B6</f>
        <v>Core Vietnam retail peer</v>
      </c>
      <c r="C6" s="118" t="str">
        <f>'101_Raw_Peer_Market'!C6</f>
        <v>High</v>
      </c>
      <c r="D6" s="118" t="str">
        <f>'101_Raw_Peer_Market'!D6</f>
        <v>Bán lẻ FPT</v>
      </c>
      <c r="E6" s="118" t="str">
        <f>'101_Raw_Peer_Market'!E6</f>
        <v>Retail</v>
      </c>
      <c r="F6" s="143" t="str">
        <f>'101_Raw_Peer_Market'!F6</f>
        <v>2026-06-26</v>
      </c>
      <c r="G6" s="124">
        <f>'101_Raw_Peer_Market'!G6</f>
        <v>124000</v>
      </c>
      <c r="H6" s="127">
        <f>'101_Raw_Peer_Market'!H6</f>
        <v>170301785</v>
      </c>
      <c r="I6" s="124">
        <f>'101_Raw_Peer_Market'!I6</f>
        <v>21764.568123000001</v>
      </c>
      <c r="J6" s="106">
        <f>IFERROR(G6*H6/1000000000,"")</f>
        <v>21117.421340000001</v>
      </c>
      <c r="K6" s="124">
        <f>IFERROR(SUMIFS('98_Raw_Peer_BS'!$H$5:$H$2000,'98_Raw_Peer_BS'!$A$5:$A$2000,$A6,'98_Raw_Peer_BS'!$B$5:$B$2000,"Q1/2026",'98_Raw_Peer_BS'!$D$5:$D$2000,"cash_and_cash_equivalents")+SUMIFS('98_Raw_Peer_BS'!$H$5:$H$2000,'98_Raw_Peer_BS'!$A$5:$A$2000,$A6,'98_Raw_Peer_BS'!$B$5:$B$2000,"Q1/2026",'98_Raw_Peer_BS'!$D$5:$D$2000,"short_term_investments"),"")</f>
        <v>8649.1619377679999</v>
      </c>
      <c r="L6" s="124">
        <f>IFERROR(SUMIFS('98_Raw_Peer_BS'!$H$5:$H$2000,'98_Raw_Peer_BS'!$A$5:$A$2000,$A6,'98_Raw_Peer_BS'!$B$5:$B$2000,"Q1/2026",'98_Raw_Peer_BS'!$D$5:$D$2000,"short_term_borrowings")+SUMIFS('98_Raw_Peer_BS'!$H$5:$H$2000,'98_Raw_Peer_BS'!$A$5:$A$2000,$A6,'98_Raw_Peer_BS'!$B$5:$B$2000,"Q1/2026",'98_Raw_Peer_BS'!$D$5:$D$2000,"long_term_borrowings"),"")</f>
        <v>12381.417771551</v>
      </c>
      <c r="M6" s="106">
        <f>IFERROR(L6-K6,"")</f>
        <v>3732.2558337829996</v>
      </c>
      <c r="N6" s="106">
        <f>IFERROR(J6+M6,"")</f>
        <v>24849.677173782999</v>
      </c>
      <c r="O6" s="124">
        <f>IFERROR(SUMIFS('97_Raw_Peer_IS'!$H$5:$H$2000,'97_Raw_Peer_IS'!$A$5:$A$2000,$A6,'97_Raw_Peer_IS'!$B$5:$B$2000,"FY2025",'97_Raw_Peer_IS'!$D$5:$D$2000,"net_sales"),"")</f>
        <v>51082.868444767999</v>
      </c>
      <c r="P6" s="124">
        <f>IFERROR(SUMIFS('97_Raw_Peer_IS'!$H$5:$H$2000,'97_Raw_Peer_IS'!$A$5:$A$2000,$A6,'97_Raw_Peer_IS'!$B$5:$B$2000,"FY2025",'97_Raw_Peer_IS'!$D$5:$D$2000,"gross_profit")+SUMIFS('97_Raw_Peer_IS'!$H$5:$H$2000,'97_Raw_Peer_IS'!$A$5:$A$2000,$A6,'97_Raw_Peer_IS'!$B$5:$B$2000,"FY2025",'97_Raw_Peer_IS'!$D$5:$D$2000,"selling_expenses")+SUMIFS('97_Raw_Peer_IS'!$H$5:$H$2000,'97_Raw_Peer_IS'!$A$5:$A$2000,$A6,'97_Raw_Peer_IS'!$B$5:$B$2000,"FY2025",'97_Raw_Peer_IS'!$D$5:$D$2000,"general_and_admin_expenses")+SUMIFS('99_Raw_Peer_CF'!$H$5:$H$2000,'99_Raw_Peer_CF'!$A$5:$A$2000,$A6,'99_Raw_Peer_CF'!$B$5:$B$2000,"FY2025",'99_Raw_Peer_CF'!$D$5:$D$2000,"depreciation_and_amortization"),"")</f>
        <v>1716.3106105109991</v>
      </c>
      <c r="Q6" s="124">
        <f>IFERROR(SUMIFS('97_Raw_Peer_IS'!$H$5:$H$2000,'97_Raw_Peer_IS'!$A$5:$A$2000,$A6,'97_Raw_Peer_IS'!$B$5:$B$2000,"FY2025",'97_Raw_Peer_IS'!$D$5:$D$2000,"attributable_to_parent_company"),"")</f>
        <v>794.86494355100001</v>
      </c>
      <c r="R6" s="124">
        <f>IFERROR(SUMIFS('97_Raw_Peer_IS'!$H$5:$H$2000,'97_Raw_Peer_IS'!$A$5:$A$2000,$A6,'97_Raw_Peer_IS'!$B$5:$B$2000,"Q1/2025",'97_Raw_Peer_IS'!$D$5:$D$2000,"net_sales"),"")</f>
        <v>11669.845454347</v>
      </c>
      <c r="S6" s="124">
        <f>IFERROR(SUMIFS('97_Raw_Peer_IS'!$H$5:$H$2000,'97_Raw_Peer_IS'!$A$5:$A$2000,$A6,'97_Raw_Peer_IS'!$B$5:$B$2000,"Q1/2025",'97_Raw_Peer_IS'!$D$5:$D$2000,"gross_profit")+SUMIFS('97_Raw_Peer_IS'!$H$5:$H$2000,'97_Raw_Peer_IS'!$A$5:$A$2000,$A6,'97_Raw_Peer_IS'!$B$5:$B$2000,"Q1/2025",'97_Raw_Peer_IS'!$D$5:$D$2000,"selling_expenses")+SUMIFS('97_Raw_Peer_IS'!$H$5:$H$2000,'97_Raw_Peer_IS'!$A$5:$A$2000,$A6,'97_Raw_Peer_IS'!$B$5:$B$2000,"Q1/2025",'97_Raw_Peer_IS'!$D$5:$D$2000,"general_and_admin_expenses")+SUMIFS('99_Raw_Peer_CF'!$H$5:$H$2000,'99_Raw_Peer_CF'!$A$5:$A$2000,$A6,'99_Raw_Peer_CF'!$B$5:$B$2000,"Q1/2025",'99_Raw_Peer_CF'!$D$5:$D$2000,"depreciation_and_amortization"),"")</f>
        <v>408.24632273399999</v>
      </c>
      <c r="T6" s="124">
        <f>IFERROR(SUMIFS('97_Raw_Peer_IS'!$H$5:$H$2000,'97_Raw_Peer_IS'!$A$5:$A$2000,$A6,'97_Raw_Peer_IS'!$B$5:$B$2000,"Q1/2025",'97_Raw_Peer_IS'!$D$5:$D$2000,"attributable_to_parent_company"),"")</f>
        <v>167.96276928200001</v>
      </c>
      <c r="U6" s="124">
        <f>IFERROR(SUMIFS('97_Raw_Peer_IS'!$H$5:$H$2000,'97_Raw_Peer_IS'!$A$5:$A$2000,$A6,'97_Raw_Peer_IS'!$B$5:$B$2000,"Q1/2026",'97_Raw_Peer_IS'!$D$5:$D$2000,"net_sales"),"")</f>
        <v>15116.90909073</v>
      </c>
      <c r="V6" s="124">
        <f>IFERROR(SUMIFS('97_Raw_Peer_IS'!$H$5:$H$2000,'97_Raw_Peer_IS'!$A$5:$A$2000,$A6,'97_Raw_Peer_IS'!$B$5:$B$2000,"Q1/2026",'97_Raw_Peer_IS'!$D$5:$D$2000,"gross_profit")+SUMIFS('97_Raw_Peer_IS'!$H$5:$H$2000,'97_Raw_Peer_IS'!$A$5:$A$2000,$A6,'97_Raw_Peer_IS'!$B$5:$B$2000,"Q1/2026",'97_Raw_Peer_IS'!$D$5:$D$2000,"selling_expenses")+SUMIFS('97_Raw_Peer_IS'!$H$5:$H$2000,'97_Raw_Peer_IS'!$A$5:$A$2000,$A6,'97_Raw_Peer_IS'!$B$5:$B$2000,"Q1/2026",'97_Raw_Peer_IS'!$D$5:$D$2000,"general_and_admin_expenses")+SUMIFS('99_Raw_Peer_CF'!$H$5:$H$2000,'99_Raw_Peer_CF'!$A$5:$A$2000,$A6,'99_Raw_Peer_CF'!$B$5:$B$2000,"Q1/2026",'99_Raw_Peer_CF'!$D$5:$D$2000,"depreciation_and_amortization"),"")</f>
        <v>588.71061718299984</v>
      </c>
      <c r="W6" s="124">
        <f>IFERROR(SUMIFS('97_Raw_Peer_IS'!$H$5:$H$2000,'97_Raw_Peer_IS'!$A$5:$A$2000,$A6,'97_Raw_Peer_IS'!$B$5:$B$2000,"Q1/2026",'97_Raw_Peer_IS'!$D$5:$D$2000,"attributable_to_parent_company"),"")</f>
        <v>287.35189234500001</v>
      </c>
      <c r="X6" s="106">
        <f t="shared" si="0"/>
        <v>54529.932081150997</v>
      </c>
      <c r="Y6" s="106">
        <f t="shared" si="0"/>
        <v>1896.7749049599993</v>
      </c>
      <c r="Z6" s="106">
        <f t="shared" si="0"/>
        <v>914.25406661400007</v>
      </c>
      <c r="AA6" s="124">
        <f>IFERROR(SUMIFS('98_Raw_Peer_BS'!$H$5:$H$2000,'98_Raw_Peer_BS'!$A$5:$A$2000,$A6,'98_Raw_Peer_BS'!$B$5:$B$2000,"Q1/2026",'98_Raw_Peer_BS'!$D$5:$D$2000,"owners_equity"),"")</f>
        <v>5513.8731866899998</v>
      </c>
      <c r="AB6" s="118" t="str">
        <f>'101_Raw_Peer_Market'!J6</f>
        <v>vnstock Quote.history source=VCI</v>
      </c>
      <c r="AC6" s="118" t="str">
        <f>"vnstock Finance source=VCI; formula pulls from Raw_Peer_IS/BS/CF"</f>
        <v>vnstock Finance source=VCI; formula pulls from Raw_Peer_IS/BS/CF</v>
      </c>
      <c r="AD6" s="118" t="str">
        <f>'101_Raw_Peer_Market'!L6</f>
        <v>OK</v>
      </c>
      <c r="AE6" s="109">
        <f>IFERROR(ABS(J6-I6)/J6,"")</f>
        <v>3.0645161290322586E-2</v>
      </c>
      <c r="AF6" s="103" t="str">
        <f>IF(AND(ROUND(X6,6)=ROUND(O6+U6-R6,6),ROUND(Y6,6)=ROUND(P6+V6-S6,6),ROUND(Z6,6)=ROUND(Q6+W6-T6,6)),"OK","CHECK")</f>
        <v>OK</v>
      </c>
    </row>
    <row r="7" spans="1:32">
      <c r="A7" s="117" t="str">
        <f>'101_Raw_Peer_Market'!A7</f>
        <v>DGW</v>
      </c>
      <c r="B7" s="118" t="str">
        <f>'101_Raw_Peer_Market'!B7</f>
        <v>ICT distribution proxy</v>
      </c>
      <c r="C7" s="118" t="str">
        <f>'101_Raw_Peer_Market'!C7</f>
        <v>Medium</v>
      </c>
      <c r="D7" s="118" t="str">
        <f>'101_Raw_Peer_Market'!D7</f>
        <v>Thế Giới Số</v>
      </c>
      <c r="E7" s="118" t="str">
        <f>'101_Raw_Peer_Market'!E7</f>
        <v>Retail</v>
      </c>
      <c r="F7" s="143" t="str">
        <f>'101_Raw_Peer_Market'!F7</f>
        <v>2026-06-26</v>
      </c>
      <c r="G7" s="124">
        <f>'101_Raw_Peer_Market'!G7</f>
        <v>39100</v>
      </c>
      <c r="H7" s="127">
        <f>'101_Raw_Peer_Market'!H7</f>
        <v>221168700</v>
      </c>
      <c r="I7" s="124">
        <f>'101_Raw_Peer_Market'!I7</f>
        <v>8791.4558249999991</v>
      </c>
      <c r="J7" s="106">
        <f>IFERROR(G7*H7/1000000000,"")</f>
        <v>8647.6961699999993</v>
      </c>
      <c r="K7" s="124">
        <f>IFERROR(SUMIFS('98_Raw_Peer_BS'!$H$5:$H$2000,'98_Raw_Peer_BS'!$A$5:$A$2000,$A7,'98_Raw_Peer_BS'!$B$5:$B$2000,"Q1/2026",'98_Raw_Peer_BS'!$D$5:$D$2000,"cash_and_cash_equivalents")+SUMIFS('98_Raw_Peer_BS'!$H$5:$H$2000,'98_Raw_Peer_BS'!$A$5:$A$2000,$A7,'98_Raw_Peer_BS'!$B$5:$B$2000,"Q1/2026",'98_Raw_Peer_BS'!$D$5:$D$2000,"short_term_investments"),"")</f>
        <v>2604.248487113</v>
      </c>
      <c r="L7" s="124">
        <f>IFERROR(SUMIFS('98_Raw_Peer_BS'!$H$5:$H$2000,'98_Raw_Peer_BS'!$A$5:$A$2000,$A7,'98_Raw_Peer_BS'!$B$5:$B$2000,"Q1/2026",'98_Raw_Peer_BS'!$D$5:$D$2000,"short_term_borrowings")+SUMIFS('98_Raw_Peer_BS'!$H$5:$H$2000,'98_Raw_Peer_BS'!$A$5:$A$2000,$A7,'98_Raw_Peer_BS'!$B$5:$B$2000,"Q1/2026",'98_Raw_Peer_BS'!$D$5:$D$2000,"long_term_borrowings"),"")</f>
        <v>2789.9615306599999</v>
      </c>
      <c r="M7" s="106">
        <f>IFERROR(L7-K7,"")</f>
        <v>185.71304354699987</v>
      </c>
      <c r="N7" s="106">
        <f>IFERROR(J7+M7,"")</f>
        <v>8833.4092135469982</v>
      </c>
      <c r="O7" s="124">
        <f>IFERROR(SUMIFS('97_Raw_Peer_IS'!$H$5:$H$2000,'97_Raw_Peer_IS'!$A$5:$A$2000,$A7,'97_Raw_Peer_IS'!$B$5:$B$2000,"FY2025",'97_Raw_Peer_IS'!$D$5:$D$2000,"net_sales"),"")</f>
        <v>26631.545770247001</v>
      </c>
      <c r="P7" s="124">
        <f>IFERROR(SUMIFS('97_Raw_Peer_IS'!$H$5:$H$2000,'97_Raw_Peer_IS'!$A$5:$A$2000,$A7,'97_Raw_Peer_IS'!$B$5:$B$2000,"FY2025",'97_Raw_Peer_IS'!$D$5:$D$2000,"gross_profit")+SUMIFS('97_Raw_Peer_IS'!$H$5:$H$2000,'97_Raw_Peer_IS'!$A$5:$A$2000,$A7,'97_Raw_Peer_IS'!$B$5:$B$2000,"FY2025",'97_Raw_Peer_IS'!$D$5:$D$2000,"selling_expenses")+SUMIFS('97_Raw_Peer_IS'!$H$5:$H$2000,'97_Raw_Peer_IS'!$A$5:$A$2000,$A7,'97_Raw_Peer_IS'!$B$5:$B$2000,"FY2025",'97_Raw_Peer_IS'!$D$5:$D$2000,"general_and_admin_expenses")+SUMIFS('99_Raw_Peer_CF'!$H$5:$H$2000,'99_Raw_Peer_CF'!$A$5:$A$2000,$A7,'99_Raw_Peer_CF'!$B$5:$B$2000,"FY2025",'99_Raw_Peer_CF'!$D$5:$D$2000,"depreciation_and_amortization"),"")</f>
        <v>768.96003292400007</v>
      </c>
      <c r="Q7" s="124">
        <f>IFERROR(SUMIFS('97_Raw_Peer_IS'!$H$5:$H$2000,'97_Raw_Peer_IS'!$A$5:$A$2000,$A7,'97_Raw_Peer_IS'!$B$5:$B$2000,"FY2025",'97_Raw_Peer_IS'!$D$5:$D$2000,"attributable_to_parent_company"),"")</f>
        <v>547.33123654200006</v>
      </c>
      <c r="R7" s="124">
        <f>IFERROR(SUMIFS('97_Raw_Peer_IS'!$H$5:$H$2000,'97_Raw_Peer_IS'!$A$5:$A$2000,$A7,'97_Raw_Peer_IS'!$B$5:$B$2000,"Q1/2025",'97_Raw_Peer_IS'!$D$5:$D$2000,"net_sales"),"")</f>
        <v>5519.316701363</v>
      </c>
      <c r="S7" s="124">
        <f>IFERROR(SUMIFS('97_Raw_Peer_IS'!$H$5:$H$2000,'97_Raw_Peer_IS'!$A$5:$A$2000,$A7,'97_Raw_Peer_IS'!$B$5:$B$2000,"Q1/2025",'97_Raw_Peer_IS'!$D$5:$D$2000,"gross_profit")+SUMIFS('97_Raw_Peer_IS'!$H$5:$H$2000,'97_Raw_Peer_IS'!$A$5:$A$2000,$A7,'97_Raw_Peer_IS'!$B$5:$B$2000,"Q1/2025",'97_Raw_Peer_IS'!$D$5:$D$2000,"selling_expenses")+SUMIFS('97_Raw_Peer_IS'!$H$5:$H$2000,'97_Raw_Peer_IS'!$A$5:$A$2000,$A7,'97_Raw_Peer_IS'!$B$5:$B$2000,"Q1/2025",'97_Raw_Peer_IS'!$D$5:$D$2000,"general_and_admin_expenses")+SUMIFS('99_Raw_Peer_CF'!$H$5:$H$2000,'99_Raw_Peer_CF'!$A$5:$A$2000,$A7,'99_Raw_Peer_CF'!$B$5:$B$2000,"Q1/2025",'99_Raw_Peer_CF'!$D$5:$D$2000,"depreciation_and_amortization"),"")</f>
        <v>197.23946390899999</v>
      </c>
      <c r="T7" s="124">
        <f>IFERROR(SUMIFS('97_Raw_Peer_IS'!$H$5:$H$2000,'97_Raw_Peer_IS'!$A$5:$A$2000,$A7,'97_Raw_Peer_IS'!$B$5:$B$2000,"Q1/2025",'97_Raw_Peer_IS'!$D$5:$D$2000,"attributable_to_parent_company"),"")</f>
        <v>105.923271254</v>
      </c>
      <c r="U7" s="124">
        <f>IFERROR(SUMIFS('97_Raw_Peer_IS'!$H$5:$H$2000,'97_Raw_Peer_IS'!$A$5:$A$2000,$A7,'97_Raw_Peer_IS'!$B$5:$B$2000,"Q1/2026",'97_Raw_Peer_IS'!$D$5:$D$2000,"net_sales"),"")</f>
        <v>8500.1824748449999</v>
      </c>
      <c r="V7" s="124">
        <f>IFERROR(SUMIFS('97_Raw_Peer_IS'!$H$5:$H$2000,'97_Raw_Peer_IS'!$A$5:$A$2000,$A7,'97_Raw_Peer_IS'!$B$5:$B$2000,"Q1/2026",'97_Raw_Peer_IS'!$D$5:$D$2000,"gross_profit")+SUMIFS('97_Raw_Peer_IS'!$H$5:$H$2000,'97_Raw_Peer_IS'!$A$5:$A$2000,$A7,'97_Raw_Peer_IS'!$B$5:$B$2000,"Q1/2026",'97_Raw_Peer_IS'!$D$5:$D$2000,"selling_expenses")+SUMIFS('97_Raw_Peer_IS'!$H$5:$H$2000,'97_Raw_Peer_IS'!$A$5:$A$2000,$A7,'97_Raw_Peer_IS'!$B$5:$B$2000,"Q1/2026",'97_Raw_Peer_IS'!$D$5:$D$2000,"general_and_admin_expenses")+SUMIFS('99_Raw_Peer_CF'!$H$5:$H$2000,'99_Raw_Peer_CF'!$A$5:$A$2000,$A7,'99_Raw_Peer_CF'!$B$5:$B$2000,"Q1/2026",'99_Raw_Peer_CF'!$D$5:$D$2000,"depreciation_and_amortization"),"")</f>
        <v>267.58191034799995</v>
      </c>
      <c r="W7" s="124">
        <f>IFERROR(SUMIFS('97_Raw_Peer_IS'!$H$5:$H$2000,'97_Raw_Peer_IS'!$A$5:$A$2000,$A7,'97_Raw_Peer_IS'!$B$5:$B$2000,"Q1/2026",'97_Raw_Peer_IS'!$D$5:$D$2000,"attributable_to_parent_company"),"")</f>
        <v>200.217309339</v>
      </c>
      <c r="X7" s="106">
        <f t="shared" si="0"/>
        <v>29612.411543729002</v>
      </c>
      <c r="Y7" s="106">
        <f t="shared" si="0"/>
        <v>839.30247936299997</v>
      </c>
      <c r="Z7" s="106">
        <f t="shared" si="0"/>
        <v>641.62527462700007</v>
      </c>
      <c r="AA7" s="124">
        <f>IFERROR(SUMIFS('98_Raw_Peer_BS'!$H$5:$H$2000,'98_Raw_Peer_BS'!$A$5:$A$2000,$A7,'98_Raw_Peer_BS'!$B$5:$B$2000,"Q1/2026",'98_Raw_Peer_BS'!$D$5:$D$2000,"owners_equity"),"")</f>
        <v>3674.3532509820002</v>
      </c>
      <c r="AB7" s="118" t="str">
        <f>'101_Raw_Peer_Market'!J7</f>
        <v>vnstock Quote.history source=VCI</v>
      </c>
      <c r="AC7" s="118" t="str">
        <f>"vnstock Finance source=VCI; formula pulls from Raw_Peer_IS/BS/CF"</f>
        <v>vnstock Finance source=VCI; formula pulls from Raw_Peer_IS/BS/CF</v>
      </c>
      <c r="AD7" s="118" t="str">
        <f>'101_Raw_Peer_Market'!L7</f>
        <v>OK</v>
      </c>
      <c r="AE7" s="109">
        <f>IFERROR(ABS(J7-I7)/J7,"")</f>
        <v>1.6624040920716097E-2</v>
      </c>
      <c r="AF7" s="103" t="str">
        <f>IF(AND(ROUND(X7,6)=ROUND(O7+U7-R7,6),ROUND(Y7,6)=ROUND(P7+V7-S7,6),ROUND(Z7,6)=ROUND(Q7+W7-T7,6)),"OK","CHECK")</f>
        <v>OK</v>
      </c>
    </row>
    <row r="8" spans="1:32">
      <c r="A8" s="117" t="str">
        <f>'101_Raw_Peer_Market'!A8</f>
        <v>PET</v>
      </c>
      <c r="B8" s="118" t="str">
        <f>'101_Raw_Peer_Market'!B8</f>
        <v>ICT distribution proxy</v>
      </c>
      <c r="C8" s="118" t="str">
        <f>'101_Raw_Peer_Market'!C8</f>
        <v>Medium</v>
      </c>
      <c r="D8" s="118" t="str">
        <f>'101_Raw_Peer_Market'!D8</f>
        <v>Dịch vụ Tổng hợp Dầu khí</v>
      </c>
      <c r="E8" s="118" t="str">
        <f>'101_Raw_Peer_Market'!E8</f>
        <v>Retail</v>
      </c>
      <c r="F8" s="143" t="str">
        <f>'101_Raw_Peer_Market'!F8</f>
        <v>2026-06-26</v>
      </c>
      <c r="G8" s="124">
        <f>'101_Raw_Peer_Market'!G8</f>
        <v>52900</v>
      </c>
      <c r="H8" s="127">
        <f>'101_Raw_Peer_Market'!H8</f>
        <v>106722131</v>
      </c>
      <c r="I8" s="124">
        <f>'101_Raw_Peer_Market'!I8</f>
        <v>5432.1564679000003</v>
      </c>
      <c r="J8" s="106">
        <f>IFERROR(G8*H8/1000000000,"")</f>
        <v>5645.6007299000003</v>
      </c>
      <c r="K8" s="124">
        <f>IFERROR(SUMIFS('98_Raw_Peer_BS'!$H$5:$H$2000,'98_Raw_Peer_BS'!$A$5:$A$2000,$A8,'98_Raw_Peer_BS'!$B$5:$B$2000,"Q1/2026",'98_Raw_Peer_BS'!$D$5:$D$2000,"cash_and_cash_equivalents")+SUMIFS('98_Raw_Peer_BS'!$H$5:$H$2000,'98_Raw_Peer_BS'!$A$5:$A$2000,$A8,'98_Raw_Peer_BS'!$B$5:$B$2000,"Q1/2026",'98_Raw_Peer_BS'!$D$5:$D$2000,"short_term_investments"),"")</f>
        <v>5521.381625166</v>
      </c>
      <c r="L8" s="124">
        <f>IFERROR(SUMIFS('98_Raw_Peer_BS'!$H$5:$H$2000,'98_Raw_Peer_BS'!$A$5:$A$2000,$A8,'98_Raw_Peer_BS'!$B$5:$B$2000,"Q1/2026",'98_Raw_Peer_BS'!$D$5:$D$2000,"short_term_borrowings")+SUMIFS('98_Raw_Peer_BS'!$H$5:$H$2000,'98_Raw_Peer_BS'!$A$5:$A$2000,$A8,'98_Raw_Peer_BS'!$B$5:$B$2000,"Q1/2026",'98_Raw_Peer_BS'!$D$5:$D$2000,"long_term_borrowings"),"")</f>
        <v>7222.3143383240003</v>
      </c>
      <c r="M8" s="106">
        <f>IFERROR(L8-K8,"")</f>
        <v>1700.9327131580003</v>
      </c>
      <c r="N8" s="106">
        <f>IFERROR(J8+M8,"")</f>
        <v>7346.5334430580006</v>
      </c>
      <c r="O8" s="124">
        <f>IFERROR(SUMIFS('97_Raw_Peer_IS'!$H$5:$H$2000,'97_Raw_Peer_IS'!$A$5:$A$2000,$A8,'97_Raw_Peer_IS'!$B$5:$B$2000,"FY2025",'97_Raw_Peer_IS'!$D$5:$D$2000,"net_sales"),"")</f>
        <v>21815.238024741</v>
      </c>
      <c r="P8" s="124">
        <f>IFERROR(SUMIFS('97_Raw_Peer_IS'!$H$5:$H$2000,'97_Raw_Peer_IS'!$A$5:$A$2000,$A8,'97_Raw_Peer_IS'!$B$5:$B$2000,"FY2025",'97_Raw_Peer_IS'!$D$5:$D$2000,"gross_profit")+SUMIFS('97_Raw_Peer_IS'!$H$5:$H$2000,'97_Raw_Peer_IS'!$A$5:$A$2000,$A8,'97_Raw_Peer_IS'!$B$5:$B$2000,"FY2025",'97_Raw_Peer_IS'!$D$5:$D$2000,"selling_expenses")+SUMIFS('97_Raw_Peer_IS'!$H$5:$H$2000,'97_Raw_Peer_IS'!$A$5:$A$2000,$A8,'97_Raw_Peer_IS'!$B$5:$B$2000,"FY2025",'97_Raw_Peer_IS'!$D$5:$D$2000,"general_and_admin_expenses")+SUMIFS('99_Raw_Peer_CF'!$H$5:$H$2000,'99_Raw_Peer_CF'!$A$5:$A$2000,$A8,'99_Raw_Peer_CF'!$B$5:$B$2000,"FY2025",'99_Raw_Peer_CF'!$D$5:$D$2000,"depreciation_and_amortization"),"")</f>
        <v>385.73690319600001</v>
      </c>
      <c r="Q8" s="124">
        <f>IFERROR(SUMIFS('97_Raw_Peer_IS'!$H$5:$H$2000,'97_Raw_Peer_IS'!$A$5:$A$2000,$A8,'97_Raw_Peer_IS'!$B$5:$B$2000,"FY2025",'97_Raw_Peer_IS'!$D$5:$D$2000,"attributable_to_parent_company"),"")</f>
        <v>258.13390851499997</v>
      </c>
      <c r="R8" s="124">
        <f>IFERROR(SUMIFS('97_Raw_Peer_IS'!$H$5:$H$2000,'97_Raw_Peer_IS'!$A$5:$A$2000,$A8,'97_Raw_Peer_IS'!$B$5:$B$2000,"Q1/2025",'97_Raw_Peer_IS'!$D$5:$D$2000,"net_sales"),"")</f>
        <v>4016.732267463</v>
      </c>
      <c r="S8" s="124">
        <f>IFERROR(SUMIFS('97_Raw_Peer_IS'!$H$5:$H$2000,'97_Raw_Peer_IS'!$A$5:$A$2000,$A8,'97_Raw_Peer_IS'!$B$5:$B$2000,"Q1/2025",'97_Raw_Peer_IS'!$D$5:$D$2000,"gross_profit")+SUMIFS('97_Raw_Peer_IS'!$H$5:$H$2000,'97_Raw_Peer_IS'!$A$5:$A$2000,$A8,'97_Raw_Peer_IS'!$B$5:$B$2000,"Q1/2025",'97_Raw_Peer_IS'!$D$5:$D$2000,"selling_expenses")+SUMIFS('97_Raw_Peer_IS'!$H$5:$H$2000,'97_Raw_Peer_IS'!$A$5:$A$2000,$A8,'97_Raw_Peer_IS'!$B$5:$B$2000,"Q1/2025",'97_Raw_Peer_IS'!$D$5:$D$2000,"general_and_admin_expenses")+SUMIFS('99_Raw_Peer_CF'!$H$5:$H$2000,'99_Raw_Peer_CF'!$A$5:$A$2000,$A8,'99_Raw_Peer_CF'!$B$5:$B$2000,"Q1/2025",'99_Raw_Peer_CF'!$D$5:$D$2000,"depreciation_and_amortization"),"")</f>
        <v>61.356618412999993</v>
      </c>
      <c r="T8" s="124">
        <f>IFERROR(SUMIFS('97_Raw_Peer_IS'!$H$5:$H$2000,'97_Raw_Peer_IS'!$A$5:$A$2000,$A8,'97_Raw_Peer_IS'!$B$5:$B$2000,"Q1/2025",'97_Raw_Peer_IS'!$D$5:$D$2000,"attributable_to_parent_company"),"")</f>
        <v>36.041587892999999</v>
      </c>
      <c r="U8" s="124">
        <f>IFERROR(SUMIFS('97_Raw_Peer_IS'!$H$5:$H$2000,'97_Raw_Peer_IS'!$A$5:$A$2000,$A8,'97_Raw_Peer_IS'!$B$5:$B$2000,"Q1/2026",'97_Raw_Peer_IS'!$D$5:$D$2000,"net_sales"),"")</f>
        <v>6129.097875208</v>
      </c>
      <c r="V8" s="124">
        <f>IFERROR(SUMIFS('97_Raw_Peer_IS'!$H$5:$H$2000,'97_Raw_Peer_IS'!$A$5:$A$2000,$A8,'97_Raw_Peer_IS'!$B$5:$B$2000,"Q1/2026",'97_Raw_Peer_IS'!$D$5:$D$2000,"gross_profit")+SUMIFS('97_Raw_Peer_IS'!$H$5:$H$2000,'97_Raw_Peer_IS'!$A$5:$A$2000,$A8,'97_Raw_Peer_IS'!$B$5:$B$2000,"Q1/2026",'97_Raw_Peer_IS'!$D$5:$D$2000,"selling_expenses")+SUMIFS('97_Raw_Peer_IS'!$H$5:$H$2000,'97_Raw_Peer_IS'!$A$5:$A$2000,$A8,'97_Raw_Peer_IS'!$B$5:$B$2000,"Q1/2026",'97_Raw_Peer_IS'!$D$5:$D$2000,"general_and_admin_expenses")+SUMIFS('99_Raw_Peer_CF'!$H$5:$H$2000,'99_Raw_Peer_CF'!$A$5:$A$2000,$A8,'99_Raw_Peer_CF'!$B$5:$B$2000,"Q1/2026",'99_Raw_Peer_CF'!$D$5:$D$2000,"depreciation_and_amortization"),"")</f>
        <v>179.160958698</v>
      </c>
      <c r="W8" s="124">
        <f>IFERROR(SUMIFS('97_Raw_Peer_IS'!$H$5:$H$2000,'97_Raw_Peer_IS'!$A$5:$A$2000,$A8,'97_Raw_Peer_IS'!$B$5:$B$2000,"Q1/2026",'97_Raw_Peer_IS'!$D$5:$D$2000,"attributable_to_parent_company"),"")</f>
        <v>72.205208231</v>
      </c>
      <c r="X8" s="106">
        <f t="shared" si="0"/>
        <v>23927.603632486</v>
      </c>
      <c r="Y8" s="106">
        <f t="shared" si="0"/>
        <v>503.54124348100004</v>
      </c>
      <c r="Z8" s="106">
        <f t="shared" si="0"/>
        <v>294.29752885299996</v>
      </c>
      <c r="AA8" s="124">
        <f>IFERROR(SUMIFS('98_Raw_Peer_BS'!$H$5:$H$2000,'98_Raw_Peer_BS'!$A$5:$A$2000,$A8,'98_Raw_Peer_BS'!$B$5:$B$2000,"Q1/2026",'98_Raw_Peer_BS'!$D$5:$D$2000,"owners_equity"),"")</f>
        <v>2707.6212224840001</v>
      </c>
      <c r="AB8" s="118" t="str">
        <f>'101_Raw_Peer_Market'!J8</f>
        <v>vnstock Quote.history source=VCI</v>
      </c>
      <c r="AC8" s="118" t="str">
        <f>"vnstock Finance source=VCI; formula pulls from Raw_Peer_IS/BS/CF"</f>
        <v>vnstock Finance source=VCI; formula pulls from Raw_Peer_IS/BS/CF</v>
      </c>
      <c r="AD8" s="118" t="str">
        <f>'101_Raw_Peer_Market'!L8</f>
        <v>OK</v>
      </c>
      <c r="AE8" s="109">
        <f>IFERROR(ABS(J8-I8)/J8,"")</f>
        <v>3.7807183364839313E-2</v>
      </c>
      <c r="AF8" s="103" t="str">
        <f>IF(AND(ROUND(X8,6)=ROUND(O8+U8-R8,6),ROUND(Y8,6)=ROUND(P8+V8-S8,6),ROUND(Z8,6)=ROUND(Q8+W8-T8,6)),"OK","CHECK")</f>
        <v>OK</v>
      </c>
    </row>
    <row r="9" spans="1:32">
      <c r="A9" s="120" t="str">
        <f>'101_Raw_Peer_Market'!A9</f>
        <v>MSN</v>
      </c>
      <c r="B9" s="121" t="str">
        <f>'101_Raw_Peer_Market'!B9</f>
        <v>Modern grocery / consumer proxy</v>
      </c>
      <c r="C9" s="121" t="str">
        <f>'101_Raw_Peer_Market'!C9</f>
        <v>Low / partial</v>
      </c>
      <c r="D9" s="121" t="str">
        <f>'101_Raw_Peer_Market'!D9</f>
        <v>Tập đoàn Masan</v>
      </c>
      <c r="E9" s="121" t="str">
        <f>'101_Raw_Peer_Market'!E9</f>
        <v>Food &amp; Beverage</v>
      </c>
      <c r="F9" s="144" t="str">
        <f>'101_Raw_Peer_Market'!F9</f>
        <v>2026-06-26</v>
      </c>
      <c r="G9" s="125">
        <f>'101_Raw_Peer_Market'!G9</f>
        <v>71400</v>
      </c>
      <c r="H9" s="128">
        <f>'101_Raw_Peer_Market'!H9</f>
        <v>1460374611</v>
      </c>
      <c r="I9" s="125">
        <f>'101_Raw_Peer_Market'!I9</f>
        <v>104416.7846865</v>
      </c>
      <c r="J9" s="107">
        <f>IFERROR(G9*H9/1000000000,"")</f>
        <v>104270.7472254</v>
      </c>
      <c r="K9" s="125">
        <f>IFERROR(SUMIFS('98_Raw_Peer_BS'!$H$5:$H$2000,'98_Raw_Peer_BS'!$A$5:$A$2000,$A9,'98_Raw_Peer_BS'!$B$5:$B$2000,"Q1/2026",'98_Raw_Peer_BS'!$D$5:$D$2000,"cash_and_cash_equivalents")+SUMIFS('98_Raw_Peer_BS'!$H$5:$H$2000,'98_Raw_Peer_BS'!$A$5:$A$2000,$A9,'98_Raw_Peer_BS'!$B$5:$B$2000,"Q1/2026",'98_Raw_Peer_BS'!$D$5:$D$2000,"short_term_investments"),"")</f>
        <v>16208.23</v>
      </c>
      <c r="L9" s="125">
        <f>IFERROR(SUMIFS('98_Raw_Peer_BS'!$H$5:$H$2000,'98_Raw_Peer_BS'!$A$5:$A$2000,$A9,'98_Raw_Peer_BS'!$B$5:$B$2000,"Q1/2026",'98_Raw_Peer_BS'!$D$5:$D$2000,"short_term_borrowings")+SUMIFS('98_Raw_Peer_BS'!$H$5:$H$2000,'98_Raw_Peer_BS'!$A$5:$A$2000,$A9,'98_Raw_Peer_BS'!$B$5:$B$2000,"Q1/2026",'98_Raw_Peer_BS'!$D$5:$D$2000,"long_term_borrowings"),"")</f>
        <v>65037.165999999997</v>
      </c>
      <c r="M9" s="107">
        <f>IFERROR(L9-K9,"")</f>
        <v>48828.936000000002</v>
      </c>
      <c r="N9" s="107">
        <f>IFERROR(J9+M9,"")</f>
        <v>153099.68322539999</v>
      </c>
      <c r="O9" s="125">
        <f>IFERROR(SUMIFS('97_Raw_Peer_IS'!$H$5:$H$2000,'97_Raw_Peer_IS'!$A$5:$A$2000,$A9,'97_Raw_Peer_IS'!$B$5:$B$2000,"FY2025",'97_Raw_Peer_IS'!$D$5:$D$2000,"net_sales"),"")</f>
        <v>81621.328999999998</v>
      </c>
      <c r="P9" s="125">
        <f>IFERROR(SUMIFS('97_Raw_Peer_IS'!$H$5:$H$2000,'97_Raw_Peer_IS'!$A$5:$A$2000,$A9,'97_Raw_Peer_IS'!$B$5:$B$2000,"FY2025",'97_Raw_Peer_IS'!$D$5:$D$2000,"gross_profit")+SUMIFS('97_Raw_Peer_IS'!$H$5:$H$2000,'97_Raw_Peer_IS'!$A$5:$A$2000,$A9,'97_Raw_Peer_IS'!$B$5:$B$2000,"FY2025",'97_Raw_Peer_IS'!$D$5:$D$2000,"selling_expenses")+SUMIFS('97_Raw_Peer_IS'!$H$5:$H$2000,'97_Raw_Peer_IS'!$A$5:$A$2000,$A9,'97_Raw_Peer_IS'!$B$5:$B$2000,"FY2025",'97_Raw_Peer_IS'!$D$5:$D$2000,"general_and_admin_expenses")+SUMIFS('99_Raw_Peer_CF'!$H$5:$H$2000,'99_Raw_Peer_CF'!$A$5:$A$2000,$A9,'99_Raw_Peer_CF'!$B$5:$B$2000,"FY2025",'99_Raw_Peer_CF'!$D$5:$D$2000,"depreciation_and_amortization"),"")</f>
        <v>11092.993</v>
      </c>
      <c r="Q9" s="125">
        <f>IFERROR(SUMIFS('97_Raw_Peer_IS'!$H$5:$H$2000,'97_Raw_Peer_IS'!$A$5:$A$2000,$A9,'97_Raw_Peer_IS'!$B$5:$B$2000,"FY2025",'97_Raw_Peer_IS'!$D$5:$D$2000,"attributable_to_parent_company"),"")</f>
        <v>4108.3059999999996</v>
      </c>
      <c r="R9" s="125">
        <f>IFERROR(SUMIFS('97_Raw_Peer_IS'!$H$5:$H$2000,'97_Raw_Peer_IS'!$A$5:$A$2000,$A9,'97_Raw_Peer_IS'!$B$5:$B$2000,"Q1/2025",'97_Raw_Peer_IS'!$D$5:$D$2000,"net_sales"),"")</f>
        <v>18896.538</v>
      </c>
      <c r="S9" s="125">
        <f>IFERROR(SUMIFS('97_Raw_Peer_IS'!$H$5:$H$2000,'97_Raw_Peer_IS'!$A$5:$A$2000,$A9,'97_Raw_Peer_IS'!$B$5:$B$2000,"Q1/2025",'97_Raw_Peer_IS'!$D$5:$D$2000,"gross_profit")+SUMIFS('97_Raw_Peer_IS'!$H$5:$H$2000,'97_Raw_Peer_IS'!$A$5:$A$2000,$A9,'97_Raw_Peer_IS'!$B$5:$B$2000,"Q1/2025",'97_Raw_Peer_IS'!$D$5:$D$2000,"selling_expenses")+SUMIFS('97_Raw_Peer_IS'!$H$5:$H$2000,'97_Raw_Peer_IS'!$A$5:$A$2000,$A9,'97_Raw_Peer_IS'!$B$5:$B$2000,"Q1/2025",'97_Raw_Peer_IS'!$D$5:$D$2000,"general_and_admin_expenses")+SUMIFS('99_Raw_Peer_CF'!$H$5:$H$2000,'99_Raw_Peer_CF'!$A$5:$A$2000,$A9,'99_Raw_Peer_CF'!$B$5:$B$2000,"Q1/2025",'99_Raw_Peer_CF'!$D$5:$D$2000,"depreciation_and_amortization"),"")</f>
        <v>2514.9590000000003</v>
      </c>
      <c r="T9" s="125">
        <f>IFERROR(SUMIFS('97_Raw_Peer_IS'!$H$5:$H$2000,'97_Raw_Peer_IS'!$A$5:$A$2000,$A9,'97_Raw_Peer_IS'!$B$5:$B$2000,"Q1/2025",'97_Raw_Peer_IS'!$D$5:$D$2000,"attributable_to_parent_company"),"")</f>
        <v>393.5</v>
      </c>
      <c r="U9" s="125">
        <f>IFERROR(SUMIFS('97_Raw_Peer_IS'!$H$5:$H$2000,'97_Raw_Peer_IS'!$A$5:$A$2000,$A9,'97_Raw_Peer_IS'!$B$5:$B$2000,"Q1/2026",'97_Raw_Peer_IS'!$D$5:$D$2000,"net_sales"),"")</f>
        <v>24019.754000000001</v>
      </c>
      <c r="V9" s="125">
        <f>IFERROR(SUMIFS('97_Raw_Peer_IS'!$H$5:$H$2000,'97_Raw_Peer_IS'!$A$5:$A$2000,$A9,'97_Raw_Peer_IS'!$B$5:$B$2000,"Q1/2026",'97_Raw_Peer_IS'!$D$5:$D$2000,"gross_profit")+SUMIFS('97_Raw_Peer_IS'!$H$5:$H$2000,'97_Raw_Peer_IS'!$A$5:$A$2000,$A9,'97_Raw_Peer_IS'!$B$5:$B$2000,"Q1/2026",'97_Raw_Peer_IS'!$D$5:$D$2000,"selling_expenses")+SUMIFS('97_Raw_Peer_IS'!$H$5:$H$2000,'97_Raw_Peer_IS'!$A$5:$A$2000,$A9,'97_Raw_Peer_IS'!$B$5:$B$2000,"Q1/2026",'97_Raw_Peer_IS'!$D$5:$D$2000,"general_and_admin_expenses")+SUMIFS('99_Raw_Peer_CF'!$H$5:$H$2000,'99_Raw_Peer_CF'!$A$5:$A$2000,$A9,'99_Raw_Peer_CF'!$B$5:$B$2000,"Q1/2026",'99_Raw_Peer_CF'!$D$5:$D$2000,"depreciation_and_amortization"),"")</f>
        <v>3376.6219999999998</v>
      </c>
      <c r="W9" s="125">
        <f>IFERROR(SUMIFS('97_Raw_Peer_IS'!$H$5:$H$2000,'97_Raw_Peer_IS'!$A$5:$A$2000,$A9,'97_Raw_Peer_IS'!$B$5:$B$2000,"Q1/2026",'97_Raw_Peer_IS'!$D$5:$D$2000,"attributable_to_parent_company"),"")</f>
        <v>1245.7940000000001</v>
      </c>
      <c r="X9" s="107">
        <f t="shared" si="0"/>
        <v>86744.544999999998</v>
      </c>
      <c r="Y9" s="107">
        <f t="shared" si="0"/>
        <v>11954.655999999999</v>
      </c>
      <c r="Z9" s="107">
        <f t="shared" si="0"/>
        <v>4960.5999999999995</v>
      </c>
      <c r="AA9" s="125">
        <f>IFERROR(SUMIFS('98_Raw_Peer_BS'!$H$5:$H$2000,'98_Raw_Peer_BS'!$A$5:$A$2000,$A9,'98_Raw_Peer_BS'!$B$5:$B$2000,"Q1/2026",'98_Raw_Peer_BS'!$D$5:$D$2000,"owners_equity"),"")</f>
        <v>46262.607000000004</v>
      </c>
      <c r="AB9" s="121" t="str">
        <f>'101_Raw_Peer_Market'!J9</f>
        <v>vnstock Quote.history source=VCI</v>
      </c>
      <c r="AC9" s="121" t="str">
        <f>"vnstock Finance source=VCI; formula pulls from Raw_Peer_IS/BS/CF"</f>
        <v>vnstock Finance source=VCI; formula pulls from Raw_Peer_IS/BS/CF</v>
      </c>
      <c r="AD9" s="121" t="str">
        <f>'101_Raw_Peer_Market'!L9</f>
        <v>OK</v>
      </c>
      <c r="AE9" s="110">
        <f>IFERROR(ABS(J9-I9)/J9,"")</f>
        <v>1.4005602240896422E-3</v>
      </c>
      <c r="AF9" s="104" t="str">
        <f>IF(AND(ROUND(X9,6)=ROUND(O9+U9-R9,6),ROUND(Y9,6)=ROUND(P9+V9-S9,6),ROUND(Z9,6)=ROUND(Q9+W9-T9,6)),"OK","CHECK")</f>
        <v>OK</v>
      </c>
    </row>
  </sheetData>
  <mergeCells count="2">
    <mergeCell ref="A1:AF1"/>
    <mergeCell ref="A2:AF2"/>
  </mergeCells>
  <hyperlinks>
    <hyperlink ref="C3" location="'04A_Q1_Historical_FS'!A1" display="04_Q1_Historical_FS'!A1"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9"/>
  <sheetViews>
    <sheetView showGridLines="0" workbookViewId="0">
      <selection sqref="A1:L1"/>
    </sheetView>
  </sheetViews>
  <sheetFormatPr defaultRowHeight="13.8"/>
  <cols>
    <col min="1" max="1" width="10" customWidth="1"/>
    <col min="2" max="2" width="28" customWidth="1"/>
    <col min="3" max="3" width="14" customWidth="1"/>
    <col min="4" max="4" width="26" customWidth="1"/>
    <col min="5" max="5" width="18" customWidth="1"/>
    <col min="6" max="6" width="14" customWidth="1"/>
    <col min="7" max="7" width="18" customWidth="1"/>
    <col min="8" max="8" width="16" customWidth="1"/>
    <col min="9" max="9" width="22" customWidth="1"/>
    <col min="10" max="11" width="34" customWidth="1"/>
    <col min="12" max="12" width="12" customWidth="1"/>
  </cols>
  <sheetData>
    <row r="1" spans="1:12" ht="27.9" customHeight="1">
      <c r="A1" s="473" t="s">
        <v>2822</v>
      </c>
      <c r="B1" s="452"/>
      <c r="C1" s="452"/>
      <c r="D1" s="452"/>
      <c r="E1" s="452"/>
      <c r="F1" s="452"/>
      <c r="G1" s="452"/>
      <c r="H1" s="452"/>
      <c r="I1" s="452"/>
      <c r="J1" s="452"/>
      <c r="K1" s="452"/>
      <c r="L1" s="452"/>
    </row>
    <row r="2" spans="1:12">
      <c r="A2" s="476" t="s">
        <v>2823</v>
      </c>
      <c r="B2" s="452"/>
      <c r="C2" s="452"/>
      <c r="D2" s="452"/>
      <c r="E2" s="452"/>
      <c r="F2" s="452"/>
      <c r="G2" s="452"/>
      <c r="H2" s="452"/>
      <c r="I2" s="452"/>
      <c r="J2" s="452"/>
      <c r="K2" s="452"/>
      <c r="L2" s="452"/>
    </row>
    <row r="4" spans="1:12" ht="30" customHeight="1">
      <c r="A4" s="360" t="s">
        <v>551</v>
      </c>
      <c r="B4" s="360" t="s">
        <v>552</v>
      </c>
      <c r="C4" s="360" t="s">
        <v>2797</v>
      </c>
      <c r="D4" s="360" t="s">
        <v>553</v>
      </c>
      <c r="E4" s="360" t="s">
        <v>2798</v>
      </c>
      <c r="F4" s="360" t="s">
        <v>554</v>
      </c>
      <c r="G4" s="360" t="s">
        <v>555</v>
      </c>
      <c r="H4" s="360" t="s">
        <v>556</v>
      </c>
      <c r="I4" s="360" t="s">
        <v>2799</v>
      </c>
      <c r="J4" s="360" t="s">
        <v>2817</v>
      </c>
      <c r="K4" s="360" t="s">
        <v>2824</v>
      </c>
      <c r="L4" s="360" t="s">
        <v>2819</v>
      </c>
    </row>
    <row r="5" spans="1:12">
      <c r="A5" s="78" t="s">
        <v>602</v>
      </c>
      <c r="B5" s="79" t="s">
        <v>2825</v>
      </c>
      <c r="C5" s="79" t="s">
        <v>2826</v>
      </c>
      <c r="D5" s="79" t="s">
        <v>2827</v>
      </c>
      <c r="E5" s="79" t="s">
        <v>2828</v>
      </c>
      <c r="F5" s="111" t="s">
        <v>545</v>
      </c>
      <c r="G5" s="90">
        <v>78500</v>
      </c>
      <c r="H5" s="87">
        <v>1468423529</v>
      </c>
      <c r="I5" s="90">
        <v>113362.2964388</v>
      </c>
      <c r="J5" s="79" t="s">
        <v>603</v>
      </c>
      <c r="K5" s="79" t="s">
        <v>2829</v>
      </c>
      <c r="L5" s="80" t="s">
        <v>817</v>
      </c>
    </row>
    <row r="6" spans="1:12">
      <c r="A6" s="81" t="s">
        <v>2406</v>
      </c>
      <c r="B6" s="82" t="s">
        <v>2830</v>
      </c>
      <c r="C6" s="82" t="s">
        <v>2831</v>
      </c>
      <c r="D6" s="82" t="s">
        <v>2832</v>
      </c>
      <c r="E6" s="82" t="s">
        <v>2828</v>
      </c>
      <c r="F6" s="112" t="s">
        <v>545</v>
      </c>
      <c r="G6" s="91">
        <v>124000</v>
      </c>
      <c r="H6" s="88">
        <v>170301785</v>
      </c>
      <c r="I6" s="91">
        <v>21764.568123000001</v>
      </c>
      <c r="J6" s="82" t="s">
        <v>603</v>
      </c>
      <c r="K6" s="82" t="s">
        <v>2829</v>
      </c>
      <c r="L6" s="83" t="s">
        <v>817</v>
      </c>
    </row>
    <row r="7" spans="1:12">
      <c r="A7" s="81" t="s">
        <v>2407</v>
      </c>
      <c r="B7" s="82" t="s">
        <v>2833</v>
      </c>
      <c r="C7" s="82" t="s">
        <v>2834</v>
      </c>
      <c r="D7" s="82" t="s">
        <v>2835</v>
      </c>
      <c r="E7" s="82" t="s">
        <v>2828</v>
      </c>
      <c r="F7" s="112" t="s">
        <v>545</v>
      </c>
      <c r="G7" s="91">
        <v>39100</v>
      </c>
      <c r="H7" s="88">
        <v>221168700</v>
      </c>
      <c r="I7" s="91">
        <v>8791.4558249999991</v>
      </c>
      <c r="J7" s="82" t="s">
        <v>603</v>
      </c>
      <c r="K7" s="82" t="s">
        <v>2829</v>
      </c>
      <c r="L7" s="83" t="s">
        <v>817</v>
      </c>
    </row>
    <row r="8" spans="1:12">
      <c r="A8" s="81" t="s">
        <v>2408</v>
      </c>
      <c r="B8" s="82" t="s">
        <v>2833</v>
      </c>
      <c r="C8" s="82" t="s">
        <v>2834</v>
      </c>
      <c r="D8" s="82" t="s">
        <v>2836</v>
      </c>
      <c r="E8" s="82" t="s">
        <v>2828</v>
      </c>
      <c r="F8" s="112" t="s">
        <v>545</v>
      </c>
      <c r="G8" s="91">
        <v>52900</v>
      </c>
      <c r="H8" s="88">
        <v>106722131</v>
      </c>
      <c r="I8" s="91">
        <v>5432.1564679000003</v>
      </c>
      <c r="J8" s="82" t="s">
        <v>603</v>
      </c>
      <c r="K8" s="82" t="s">
        <v>2829</v>
      </c>
      <c r="L8" s="83" t="s">
        <v>817</v>
      </c>
    </row>
    <row r="9" spans="1:12">
      <c r="A9" s="84" t="s">
        <v>2409</v>
      </c>
      <c r="B9" s="85" t="s">
        <v>2837</v>
      </c>
      <c r="C9" s="85" t="s">
        <v>2838</v>
      </c>
      <c r="D9" s="85" t="s">
        <v>2839</v>
      </c>
      <c r="E9" s="85" t="s">
        <v>2840</v>
      </c>
      <c r="F9" s="113" t="s">
        <v>545</v>
      </c>
      <c r="G9" s="92">
        <v>71400</v>
      </c>
      <c r="H9" s="89">
        <v>1460374611</v>
      </c>
      <c r="I9" s="92">
        <v>104416.7846865</v>
      </c>
      <c r="J9" s="85" t="s">
        <v>603</v>
      </c>
      <c r="K9" s="85" t="s">
        <v>2829</v>
      </c>
      <c r="L9" s="86" t="s">
        <v>817</v>
      </c>
    </row>
  </sheetData>
  <mergeCells count="2">
    <mergeCell ref="A2:L2"/>
    <mergeCell ref="A1:L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6"/>
  <sheetViews>
    <sheetView tabSelected="1" workbookViewId="0">
      <selection sqref="A1:G1"/>
    </sheetView>
  </sheetViews>
  <sheetFormatPr defaultRowHeight="13.8"/>
  <cols>
    <col min="1" max="7" width="16" customWidth="1"/>
  </cols>
  <sheetData>
    <row r="1" spans="1:7" ht="13.35" customHeight="1">
      <c r="A1" s="452"/>
      <c r="B1" s="452"/>
      <c r="C1" s="452"/>
      <c r="D1" s="452"/>
      <c r="E1" s="452"/>
      <c r="F1" s="452"/>
      <c r="G1" s="452"/>
    </row>
    <row r="3" spans="1:7" ht="12" customHeight="1">
      <c r="A3" s="449" t="s">
        <v>1115</v>
      </c>
      <c r="B3" s="449" t="s">
        <v>2841</v>
      </c>
      <c r="C3" s="449" t="s">
        <v>2842</v>
      </c>
      <c r="D3" s="449" t="s">
        <v>838</v>
      </c>
      <c r="E3" s="449" t="s">
        <v>846</v>
      </c>
      <c r="F3" s="449" t="s">
        <v>853</v>
      </c>
      <c r="G3" s="449" t="s">
        <v>2843</v>
      </c>
    </row>
    <row r="4" spans="1:7">
      <c r="A4" t="s">
        <v>5</v>
      </c>
      <c r="B4" s="9">
        <f>'06_Revenue_Drivers_Hist'!D13</f>
        <v>31600.205999999998</v>
      </c>
      <c r="C4" s="9">
        <f>'06_Revenue_Drivers_Hist'!D14</f>
        <v>62708.58</v>
      </c>
      <c r="D4" s="9">
        <f>'06_Revenue_Drivers_Hist'!D15</f>
        <v>28200</v>
      </c>
      <c r="E4" s="9">
        <f>'06_Revenue_Drivers_Hist'!D16</f>
        <v>0</v>
      </c>
      <c r="F4" s="9">
        <f>'06_Revenue_Drivers_Hist'!D17</f>
        <v>0</v>
      </c>
      <c r="G4" s="9">
        <f>'06_Revenue_Drivers_Hist'!D19</f>
        <v>449.21400000000722</v>
      </c>
    </row>
    <row r="5" spans="1:7">
      <c r="A5" t="s">
        <v>6</v>
      </c>
      <c r="B5" s="9">
        <f>'06_Revenue_Drivers_Hist'!E13</f>
        <v>35000</v>
      </c>
      <c r="C5" s="9">
        <f>'06_Revenue_Drivers_Hist'!E14</f>
        <v>69000</v>
      </c>
      <c r="D5" s="9">
        <f>'06_Revenue_Drivers_Hist'!E15</f>
        <v>27000</v>
      </c>
      <c r="E5" s="9">
        <f>'06_Revenue_Drivers_Hist'!E16</f>
        <v>1500</v>
      </c>
      <c r="F5" s="9">
        <f>'06_Revenue_Drivers_Hist'!E17</f>
        <v>600</v>
      </c>
      <c r="G5" s="9">
        <f>'06_Revenue_Drivers_Hist'!E19</f>
        <v>305</v>
      </c>
    </row>
    <row r="6" spans="1:7">
      <c r="A6" t="s">
        <v>7</v>
      </c>
      <c r="B6" s="9">
        <f>'06_Revenue_Drivers_Hist'!F13</f>
        <v>28000</v>
      </c>
      <c r="C6" s="9">
        <f>'06_Revenue_Drivers_Hist'!F14</f>
        <v>55000</v>
      </c>
      <c r="D6" s="9">
        <f>'06_Revenue_Drivers_Hist'!F15</f>
        <v>31600</v>
      </c>
      <c r="E6" s="9">
        <f>'06_Revenue_Drivers_Hist'!F16</f>
        <v>2200</v>
      </c>
      <c r="F6" s="9">
        <f>'06_Revenue_Drivers_Hist'!F17</f>
        <v>900</v>
      </c>
      <c r="G6" s="9">
        <f>'06_Revenue_Drivers_Hist'!F19</f>
        <v>580</v>
      </c>
    </row>
    <row r="7" spans="1:7">
      <c r="A7" t="s">
        <v>8</v>
      </c>
      <c r="B7" s="9">
        <f>'06_Revenue_Drivers_Hist'!G13</f>
        <v>30000</v>
      </c>
      <c r="C7" s="9">
        <f>'06_Revenue_Drivers_Hist'!G14</f>
        <v>59500</v>
      </c>
      <c r="D7" s="9">
        <f>'06_Revenue_Drivers_Hist'!G15</f>
        <v>41100</v>
      </c>
      <c r="E7" s="9">
        <f>'06_Revenue_Drivers_Hist'!G16</f>
        <v>2300</v>
      </c>
      <c r="F7" s="9">
        <f>'06_Revenue_Drivers_Hist'!G17</f>
        <v>1200</v>
      </c>
      <c r="G7" s="9">
        <f>'06_Revenue_Drivers_Hist'!G19</f>
        <v>241</v>
      </c>
    </row>
    <row r="8" spans="1:7">
      <c r="A8" t="s">
        <v>9</v>
      </c>
      <c r="B8" s="9">
        <f>'06_Revenue_Drivers_Hist'!H13</f>
        <v>37300</v>
      </c>
      <c r="C8" s="9">
        <f>'06_Revenue_Drivers_Hist'!H14</f>
        <v>68400</v>
      </c>
      <c r="D8" s="9">
        <f>'06_Revenue_Drivers_Hist'!H15</f>
        <v>46900</v>
      </c>
      <c r="E8" s="9">
        <f>'06_Revenue_Drivers_Hist'!H16</f>
        <v>2200</v>
      </c>
      <c r="F8" s="9">
        <f>'06_Revenue_Drivers_Hist'!H17</f>
        <v>1400</v>
      </c>
      <c r="G8" s="9">
        <f>'06_Revenue_Drivers_Hist'!H19</f>
        <v>-272</v>
      </c>
    </row>
    <row r="11" spans="1:7" ht="12" customHeight="1">
      <c r="A11" s="449" t="s">
        <v>1115</v>
      </c>
      <c r="B11" s="449" t="s">
        <v>2844</v>
      </c>
      <c r="C11" s="449" t="s">
        <v>262</v>
      </c>
      <c r="D11" s="449" t="s">
        <v>263</v>
      </c>
      <c r="E11" s="449" t="s">
        <v>264</v>
      </c>
      <c r="F11" s="449" t="s">
        <v>265</v>
      </c>
      <c r="G11" s="449" t="s">
        <v>266</v>
      </c>
    </row>
    <row r="12" spans="1:7">
      <c r="A12" t="s">
        <v>5</v>
      </c>
      <c r="B12" s="9">
        <f>'06_Revenue_Drivers_Hist'!D29</f>
        <v>970</v>
      </c>
      <c r="C12" s="9">
        <f>'06_Revenue_Drivers_Hist'!D30</f>
        <v>1992</v>
      </c>
      <c r="D12" s="9">
        <f>'06_Revenue_Drivers_Hist'!D31</f>
        <v>2106</v>
      </c>
      <c r="E12" s="9">
        <f>'06_Revenue_Drivers_Hist'!D32</f>
        <v>178</v>
      </c>
      <c r="F12" s="9">
        <f>'06_Revenue_Drivers_Hist'!D33</f>
        <v>0</v>
      </c>
      <c r="G12" s="9">
        <f>'06_Revenue_Drivers_Hist'!D34</f>
        <v>0</v>
      </c>
    </row>
    <row r="13" spans="1:7">
      <c r="A13" t="s">
        <v>6</v>
      </c>
      <c r="B13" s="9">
        <f>'06_Revenue_Drivers_Hist'!E29</f>
        <v>1190</v>
      </c>
      <c r="C13" s="9">
        <f>'06_Revenue_Drivers_Hist'!E30</f>
        <v>2284</v>
      </c>
      <c r="D13" s="9">
        <f>'06_Revenue_Drivers_Hist'!E31</f>
        <v>1728</v>
      </c>
      <c r="E13" s="9">
        <f>'06_Revenue_Drivers_Hist'!E32</f>
        <v>500</v>
      </c>
      <c r="F13" s="9">
        <f>'06_Revenue_Drivers_Hist'!E33</f>
        <v>64</v>
      </c>
      <c r="G13" s="9">
        <f>'06_Revenue_Drivers_Hist'!E34</f>
        <v>5</v>
      </c>
    </row>
    <row r="14" spans="1:7">
      <c r="A14" t="s">
        <v>7</v>
      </c>
      <c r="B14" s="9">
        <f>'06_Revenue_Drivers_Hist'!F29</f>
        <v>1078</v>
      </c>
      <c r="C14" s="9">
        <f>'06_Revenue_Drivers_Hist'!F30</f>
        <v>2190</v>
      </c>
      <c r="D14" s="9">
        <f>'06_Revenue_Drivers_Hist'!F31</f>
        <v>1698</v>
      </c>
      <c r="E14" s="9">
        <f>'06_Revenue_Drivers_Hist'!F32</f>
        <v>527</v>
      </c>
      <c r="F14" s="9">
        <f>'06_Revenue_Drivers_Hist'!F33</f>
        <v>64</v>
      </c>
      <c r="G14" s="9">
        <f>'06_Revenue_Drivers_Hist'!F34</f>
        <v>38</v>
      </c>
    </row>
    <row r="15" spans="1:7">
      <c r="A15" t="s">
        <v>8</v>
      </c>
      <c r="B15" s="9">
        <f>'06_Revenue_Drivers_Hist'!G29</f>
        <v>1021</v>
      </c>
      <c r="C15" s="9">
        <f>'06_Revenue_Drivers_Hist'!G30</f>
        <v>2026</v>
      </c>
      <c r="D15" s="9">
        <f>'06_Revenue_Drivers_Hist'!G31</f>
        <v>1770</v>
      </c>
      <c r="E15" s="9">
        <f>'06_Revenue_Drivers_Hist'!G32</f>
        <v>326</v>
      </c>
      <c r="F15" s="9">
        <f>'06_Revenue_Drivers_Hist'!G33</f>
        <v>62</v>
      </c>
      <c r="G15" s="9">
        <f>'06_Revenue_Drivers_Hist'!G34</f>
        <v>87</v>
      </c>
    </row>
    <row r="16" spans="1:7">
      <c r="A16" t="s">
        <v>9</v>
      </c>
      <c r="B16" s="9">
        <f>'06_Revenue_Drivers_Hist'!H29</f>
        <v>1012</v>
      </c>
      <c r="C16" s="9">
        <f>'06_Revenue_Drivers_Hist'!H30</f>
        <v>2008</v>
      </c>
      <c r="D16" s="9">
        <f>'06_Revenue_Drivers_Hist'!H31</f>
        <v>2559</v>
      </c>
      <c r="E16" s="9">
        <f>'06_Revenue_Drivers_Hist'!H32</f>
        <v>382</v>
      </c>
      <c r="F16" s="9">
        <f>'06_Revenue_Drivers_Hist'!H33</f>
        <v>83</v>
      </c>
      <c r="G16" s="9">
        <f>'06_Revenue_Drivers_Hist'!H34</f>
        <v>181</v>
      </c>
    </row>
  </sheetData>
  <mergeCells count="1">
    <mergeCell ref="A1:G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03_Historical_FS</vt:lpstr>
      <vt:lpstr>04_Q1_Historical_FS</vt:lpstr>
      <vt:lpstr>05_Ratio_Analysis</vt:lpstr>
      <vt:lpstr>06_Revenue_Drivers_Hist</vt:lpstr>
      <vt:lpstr>07_Revenue_Drivers</vt:lpstr>
      <vt:lpstr>08_P5_Assumptions</vt:lpstr>
      <vt:lpstr>09_Working_Capital</vt:lpstr>
      <vt:lpstr>10_Debt_Cash_Interest</vt:lpstr>
      <vt:lpstr>11_Capex_DA</vt:lpstr>
      <vt:lpstr>12_Income_Statement</vt:lpstr>
      <vt:lpstr>13_Balance_Sheet</vt:lpstr>
      <vt:lpstr>14_Cash_Flow</vt:lpstr>
      <vt:lpstr>16_Trading_Comps</vt:lpstr>
      <vt:lpstr>18_Beta_Calculation</vt:lpstr>
      <vt:lpstr>19_WACC</vt:lpstr>
      <vt:lpstr>20_DCF</vt:lpstr>
      <vt:lpstr>21_Target_Multiple_Bridge</vt:lpstr>
      <vt:lpstr>22_SOTP</vt:lpstr>
      <vt:lpstr>23_Sensitivity</vt:lpstr>
      <vt:lpstr>24_FPA_Module</vt:lpstr>
      <vt:lpstr>15_P5_Checks</vt:lpstr>
      <vt:lpstr>17_Peer_Data_Checks</vt:lpstr>
      <vt:lpstr>29_Guidance_Audit</vt:lpstr>
      <vt:lpstr>01_Source_Audit</vt:lpstr>
      <vt:lpstr>02_Mapping</vt:lpstr>
      <vt:lpstr>90_Raw_IS_vnstock</vt:lpstr>
      <vt:lpstr>91_Raw_BS_vnstock</vt:lpstr>
      <vt:lpstr>92_Raw_CF_vnstock</vt:lpstr>
      <vt:lpstr>93_Raw_IS_Q_BCTC</vt:lpstr>
      <vt:lpstr>94_Raw_BS_Q_BCTC</vt:lpstr>
      <vt:lpstr>95_Raw_CF_Q_BCTC</vt:lpstr>
      <vt:lpstr>96_Raw_Phase4_Drivers</vt:lpstr>
      <vt:lpstr>97_Raw_Peer_IS</vt:lpstr>
      <vt:lpstr>98_Raw_Peer_BS</vt:lpstr>
      <vt:lpstr>99_Raw_Peer_CF</vt:lpstr>
      <vt:lpstr>100_Raw_Peer_Metrics</vt:lpstr>
      <vt:lpstr>101_Raw_Peer_Market</vt:lpstr>
      <vt:lpstr>103_Raw_Segment_Inputs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NGHIA LE HOANG</cp:lastModifiedBy>
  <dcterms:modified xsi:type="dcterms:W3CDTF">2026-10-13T09:58:54Z</dcterms:modified>
</cp:coreProperties>
</file>