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inhdang/Dropbox/NCS Dang Cong Thinh/14-Trich xuat model LTSpice/"/>
    </mc:Choice>
  </mc:AlternateContent>
  <xr:revisionPtr revIDLastSave="0" documentId="13_ncr:1_{80927A52-CFEC-CD42-91FA-630AE5B28AC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  <sheet name="W L=0.12 0.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" i="1" l="1"/>
  <c r="N42" i="1"/>
  <c r="D140" i="1"/>
  <c r="D118" i="1"/>
  <c r="D137" i="1" s="1"/>
  <c r="D116" i="1"/>
  <c r="D152" i="1" s="1"/>
  <c r="D186" i="1" s="1"/>
  <c r="D114" i="1"/>
  <c r="D138" i="1" s="1"/>
  <c r="D181" i="1" s="1"/>
  <c r="K84" i="1"/>
  <c r="K83" i="1"/>
  <c r="K82" i="1"/>
  <c r="K81" i="1"/>
  <c r="K70" i="1"/>
  <c r="D107" i="1" s="1"/>
  <c r="D155" i="1" s="1"/>
  <c r="D204" i="1" s="1"/>
  <c r="K60" i="1"/>
  <c r="K54" i="1"/>
  <c r="K52" i="1"/>
  <c r="K43" i="1"/>
  <c r="K42" i="1"/>
  <c r="K44" i="1" s="1"/>
  <c r="D96" i="1" l="1"/>
  <c r="K53" i="1"/>
  <c r="D183" i="1"/>
  <c r="D115" i="1"/>
  <c r="D147" i="1" s="1"/>
  <c r="K50" i="1"/>
  <c r="K55" i="1"/>
  <c r="K56" i="1" s="1"/>
  <c r="K57" i="1" s="1"/>
  <c r="K58" i="1"/>
  <c r="K45" i="1"/>
  <c r="K46" i="1" s="1"/>
  <c r="K48" i="1" s="1"/>
  <c r="K74" i="1" l="1"/>
  <c r="D184" i="1"/>
  <c r="K75" i="1"/>
  <c r="K47" i="1"/>
  <c r="K49" i="1" s="1"/>
  <c r="D141" i="1"/>
  <c r="D121" i="1"/>
  <c r="D97" i="1"/>
  <c r="K51" i="1"/>
  <c r="D185" i="1" s="1"/>
  <c r="K59" i="1"/>
  <c r="D95" i="1" l="1"/>
  <c r="D188" i="1"/>
  <c r="D113" i="1"/>
  <c r="D103" i="1" s="1"/>
  <c r="D194" i="1"/>
  <c r="D195" i="1"/>
  <c r="D187" i="1"/>
  <c r="D94" i="1"/>
  <c r="D142" i="1" s="1"/>
  <c r="K72" i="1"/>
  <c r="D198" i="1"/>
  <c r="D104" i="1"/>
  <c r="D156" i="1" s="1"/>
  <c r="D201" i="1"/>
  <c r="K71" i="1"/>
  <c r="K76" i="1" l="1"/>
  <c r="D146" i="1"/>
  <c r="D109" i="1" l="1"/>
  <c r="D196" i="1" s="1"/>
  <c r="D190" i="1"/>
  <c r="D182" i="1"/>
  <c r="D148" i="1"/>
  <c r="D119" i="1"/>
  <c r="D139" i="1"/>
  <c r="D120" i="1"/>
  <c r="D145" i="1"/>
  <c r="D100" i="1"/>
  <c r="D102" i="1"/>
  <c r="D101" i="1"/>
  <c r="D105" i="1"/>
  <c r="D153" i="1"/>
  <c r="D202" i="1"/>
  <c r="D150" i="1"/>
  <c r="K73" i="1"/>
  <c r="D151" i="1"/>
  <c r="D199" i="1"/>
  <c r="D111" i="1"/>
  <c r="D203" i="1"/>
  <c r="D106" i="1"/>
  <c r="D154" i="1"/>
  <c r="K77" i="1"/>
  <c r="D98" i="1"/>
  <c r="D193" i="1"/>
  <c r="D149" i="1"/>
  <c r="K69" i="1"/>
  <c r="K80" i="1"/>
  <c r="D143" i="1"/>
  <c r="K65" i="1"/>
  <c r="K66" i="1"/>
  <c r="K67" i="1"/>
  <c r="K68" i="1"/>
  <c r="D108" i="1"/>
  <c r="K61" i="1"/>
  <c r="K62" i="1"/>
  <c r="K63" i="1"/>
  <c r="K64" i="1"/>
  <c r="D99" i="1"/>
  <c r="D144" i="1"/>
</calcChain>
</file>

<file path=xl/sharedStrings.xml><?xml version="1.0" encoding="utf-8"?>
<sst xmlns="http://schemas.openxmlformats.org/spreadsheetml/2006/main" count="494" uniqueCount="331">
  <si>
    <t>To use this spreadsheet change the values in the white boxes.  The rest of the sheet is protected and should not be changed unless</t>
  </si>
  <si>
    <t>you are sure of the consequences.  The calculated results are shown in the purple boxes.</t>
  </si>
  <si>
    <t>CONSTANTS</t>
  </si>
  <si>
    <t>T=</t>
  </si>
  <si>
    <t>K</t>
  </si>
  <si>
    <t>Boron D0</t>
  </si>
  <si>
    <t>cm2/s</t>
  </si>
  <si>
    <t xml:space="preserve">KT/q = </t>
  </si>
  <si>
    <t>volts</t>
  </si>
  <si>
    <t>Boron Ea</t>
  </si>
  <si>
    <t>eV</t>
  </si>
  <si>
    <t>ni =</t>
  </si>
  <si>
    <t>cm-3</t>
  </si>
  <si>
    <t>Phosphorous D0</t>
  </si>
  <si>
    <t>Eo =</t>
  </si>
  <si>
    <t>F/cm</t>
  </si>
  <si>
    <t>Phosphorous Ea</t>
  </si>
  <si>
    <t>Er si =</t>
  </si>
  <si>
    <t>Er SiO2 =</t>
  </si>
  <si>
    <t>Carrier Velocity Saturation occurs at ~ 5E6 to 2E7 cm/s, extracted values can be artificially 2 times higher</t>
  </si>
  <si>
    <t>E affinity =</t>
  </si>
  <si>
    <r>
      <t xml:space="preserve">Critical value of electric field </t>
    </r>
    <r>
      <rPr>
        <sz val="14"/>
        <rFont val="SymbolProp BT"/>
        <family val="1"/>
        <charset val="2"/>
      </rPr>
      <t>e</t>
    </r>
    <r>
      <rPr>
        <sz val="10"/>
        <rFont val="Times New Roman"/>
        <family val="1"/>
      </rPr>
      <t>c of ~8E3 to 3E4 V/cm for electrons, ~2E4 to 1E5 V/cm for holes</t>
    </r>
  </si>
  <si>
    <t>q =</t>
  </si>
  <si>
    <t>coul</t>
  </si>
  <si>
    <t xml:space="preserve">Eg = </t>
  </si>
  <si>
    <t>INTRODUCTION</t>
  </si>
  <si>
    <t>References:</t>
  </si>
  <si>
    <r>
      <t>MOSFET Modeling with SPICE</t>
    </r>
    <r>
      <rPr>
        <sz val="10"/>
        <rFont val="Times New Roman"/>
        <family val="1"/>
      </rPr>
      <t>, Daniel Foty, 1997, Prentice Hall, ISBN-0-13-227935-5</t>
    </r>
  </si>
  <si>
    <r>
      <t>Operation and Modeling of the MOS Transistor</t>
    </r>
    <r>
      <rPr>
        <sz val="10"/>
        <rFont val="Times New Roman"/>
        <family val="1"/>
      </rPr>
      <t>, 2nd Edition, Yannis Tsividis, 1999, McGraw-Hill, ISBN-0-07-065523-5</t>
    </r>
  </si>
  <si>
    <r>
      <t>UTMOST III Modeling Manual-Vol.1</t>
    </r>
    <r>
      <rPr>
        <sz val="10"/>
        <rFont val="Times New Roman"/>
        <family val="1"/>
      </rPr>
      <t>. Ch. 5. From Silvaco International.</t>
    </r>
  </si>
  <si>
    <t>LAYOUT PARAMETERS</t>
  </si>
  <si>
    <t>VALUES CALCULATED FROM PROCESS PARAMETERS</t>
  </si>
  <si>
    <t xml:space="preserve"> (assume source and drain are symmetrical)</t>
  </si>
  <si>
    <t xml:space="preserve">L </t>
  </si>
  <si>
    <t>um</t>
  </si>
  <si>
    <t>Diffusion Constant at Temp of Well Drive</t>
  </si>
  <si>
    <t>W</t>
  </si>
  <si>
    <t>Starting wafer doping = 1/(q umax Rho)</t>
  </si>
  <si>
    <t>Area of Drain/Source</t>
  </si>
  <si>
    <t>um2</t>
  </si>
  <si>
    <t>Well Surface Concentration= Ns = Dose / (pi D t)^0.5</t>
  </si>
  <si>
    <t>Perimeter of Drain/Source</t>
  </si>
  <si>
    <t>Well Depth = ((4DdTd/Dose) ln(Nsub(piDdTd)^0.5))^0.5</t>
  </si>
  <si>
    <t># squares between Contact and Channel</t>
  </si>
  <si>
    <t>Well average doping, Nave = Dose/xj</t>
  </si>
  <si>
    <t># squares between LDD/N+ and Channel</t>
  </si>
  <si>
    <t>Bulk Well Majority Carrier Mobility at N=Nave</t>
  </si>
  <si>
    <t>cm2/v-s</t>
  </si>
  <si>
    <t>Bulk Well Minority Carrier Mobility at N=Nave</t>
  </si>
  <si>
    <t>PROCESS PARAMETERS</t>
  </si>
  <si>
    <t>1=yes, 0=No</t>
  </si>
  <si>
    <t>Well Sheet Resistance = 1/(q(µ(Nave))Dose)</t>
  </si>
  <si>
    <t>ohms</t>
  </si>
  <si>
    <t>Aluminum gate</t>
  </si>
  <si>
    <t>Well surface mobility at Surface Doping Concentration</t>
  </si>
  <si>
    <t>cm2/V-s</t>
  </si>
  <si>
    <t>n+ Poly gate</t>
  </si>
  <si>
    <t xml:space="preserve">     select one</t>
  </si>
  <si>
    <r>
      <t xml:space="preserve">Wdmax = (4 eoesi </t>
    </r>
    <r>
      <rPr>
        <sz val="10"/>
        <rFont val="Symbol"/>
        <family val="1"/>
        <charset val="2"/>
      </rPr>
      <t xml:space="preserve"> f</t>
    </r>
    <r>
      <rPr>
        <sz val="10"/>
        <rFont val="Times New Roman"/>
        <family val="1"/>
      </rPr>
      <t>s / q / Nave )^0.5</t>
    </r>
  </si>
  <si>
    <t>p+ Poly gate</t>
  </si>
  <si>
    <r>
      <t xml:space="preserve">Metal Work Function, </t>
    </r>
    <r>
      <rPr>
        <sz val="10"/>
        <rFont val="Symbol"/>
        <family val="1"/>
        <charset val="2"/>
      </rPr>
      <t>f</t>
    </r>
    <r>
      <rPr>
        <sz val="10"/>
        <rFont val="Times New Roman"/>
        <family val="1"/>
      </rPr>
      <t>m</t>
    </r>
  </si>
  <si>
    <t>N well (pMOSFET)</t>
  </si>
  <si>
    <r>
      <t>Magnitude of Semiconductor Potential (Fermi - Intrinsic),</t>
    </r>
    <r>
      <rPr>
        <sz val="10"/>
        <rFont val="Symbol"/>
        <family val="1"/>
        <charset val="2"/>
      </rPr>
      <t xml:space="preserve"> f</t>
    </r>
    <r>
      <rPr>
        <sz val="10"/>
        <rFont val="Times New Roman"/>
        <family val="1"/>
      </rPr>
      <t>s</t>
    </r>
  </si>
  <si>
    <t>P well (nMOSFET)</t>
  </si>
  <si>
    <t>Oxide Capacitance/cm2 = Cox'</t>
  </si>
  <si>
    <t>F/cm2</t>
  </si>
  <si>
    <t>Vt adjust Dose (+ for Boron, - for Phos)</t>
  </si>
  <si>
    <t>cm-2</t>
  </si>
  <si>
    <r>
      <t xml:space="preserve">Metal Semi Work Function Diff, </t>
    </r>
    <r>
      <rPr>
        <sz val="10"/>
        <rFont val="Symbol"/>
        <family val="1"/>
        <charset val="2"/>
      </rPr>
      <t>f</t>
    </r>
    <r>
      <rPr>
        <sz val="10"/>
        <rFont val="Times New Roman"/>
        <family val="1"/>
      </rPr>
      <t>ms</t>
    </r>
  </si>
  <si>
    <t>Gate Oxide Thickness</t>
  </si>
  <si>
    <t>Å</t>
  </si>
  <si>
    <t>Flat Band Voltage, VFB =</t>
  </si>
  <si>
    <t>NSS</t>
  </si>
  <si>
    <t xml:space="preserve">Threshold Voltage, VTO </t>
  </si>
  <si>
    <t>Starting Wafer Resistivity</t>
  </si>
  <si>
    <t>ohm-cm</t>
  </si>
  <si>
    <r>
      <t xml:space="preserve">Threshold Adjust,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V=q Dose/2/Cox'</t>
    </r>
  </si>
  <si>
    <t>Well Dose</t>
  </si>
  <si>
    <t>Ion Implanted Adjusted Threshold Voltage, VT</t>
  </si>
  <si>
    <t>Well Drive Time</t>
  </si>
  <si>
    <t>min</t>
  </si>
  <si>
    <t>Diffusion Constant at Temp of D/S Anneal</t>
  </si>
  <si>
    <t>Well Drive Temperature</t>
  </si>
  <si>
    <t>C</t>
  </si>
  <si>
    <t>LDD D/S Junction Depth, XJ =</t>
  </si>
  <si>
    <t>LDD D/S Dose</t>
  </si>
  <si>
    <t>LDD D/S average doping, Nave = Dose/xj</t>
  </si>
  <si>
    <t>LDD D/S Drive Time</t>
  </si>
  <si>
    <t>Bulk Mobility in LDD D/S at N=Nave</t>
  </si>
  <si>
    <t>LDD D/S Drive Temperature</t>
  </si>
  <si>
    <t>LDD D/S Sheet Resistance = 1/(q(µ(Nave))Dose)</t>
  </si>
  <si>
    <t>Field Oxide Thickness</t>
  </si>
  <si>
    <t>D/S Junction Depth, XJ =</t>
  </si>
  <si>
    <t>Minority Carrier Lifetime in the well</t>
  </si>
  <si>
    <t>µs</t>
  </si>
  <si>
    <t>D/S average doping, Nave = Dose/xj</t>
  </si>
  <si>
    <t>D/S Dose (N+ or P+)</t>
  </si>
  <si>
    <t>Bulk Mobility in D/S at N=Nave</t>
  </si>
  <si>
    <t>D/S SILISIDE  (1=YES, 0=NO)</t>
  </si>
  <si>
    <t>D/S Sheet Resistance = 1/(q(µ(Nave))Dose)</t>
  </si>
  <si>
    <t xml:space="preserve">Lateral Diffusion = LD = 0.8*Xj </t>
  </si>
  <si>
    <t>µm</t>
  </si>
  <si>
    <t>Capacitance/cm2 for Field Oxide</t>
  </si>
  <si>
    <t>D/S Width of Space Charge Layer at Zero Bias, Xdso =</t>
  </si>
  <si>
    <t>D/S Width of Space Charge Layer at Vdd, Bias Xds =</t>
  </si>
  <si>
    <t xml:space="preserve">Leff = Lmask - 2*LD - 2*Xdso  </t>
  </si>
  <si>
    <t>MEASURED TRANSISTOR VALUES</t>
  </si>
  <si>
    <t>Built in Voltage for D/S pn junction</t>
  </si>
  <si>
    <t>Vdd</t>
  </si>
  <si>
    <t>Junction reverse bias current density, JS</t>
  </si>
  <si>
    <t>A/m2</t>
  </si>
  <si>
    <t>Magnitude of IDS at Vgs=Vds=Vdd</t>
  </si>
  <si>
    <t>mAmps</t>
  </si>
  <si>
    <t>=I'ds</t>
  </si>
  <si>
    <t>Junction Capacitance for D/S at zero bias</t>
  </si>
  <si>
    <t>Magnitude of IDS at Vgs=Vdd, Vds=Vdsat</t>
  </si>
  <si>
    <t>=Idsat</t>
  </si>
  <si>
    <t>Lambda, Calculated, ((Lmax/Lmin)-1)/Vdd</t>
  </si>
  <si>
    <t>1/volt</t>
  </si>
  <si>
    <t>VTO (+ for nmos and - for pmos))</t>
  </si>
  <si>
    <t>Isub-min</t>
  </si>
  <si>
    <t>nAmps</t>
  </si>
  <si>
    <t>CALCULATED SPICE PARAMETERS FROM MEASURED VALUES</t>
  </si>
  <si>
    <t>D/S Sheet Resistance</t>
  </si>
  <si>
    <t>Ueff mobility to match IDS at Vgs=Vds=Vdd</t>
  </si>
  <si>
    <t>Lambda</t>
  </si>
  <si>
    <t>1/volts</t>
  </si>
  <si>
    <t>LAMBDA measured</t>
  </si>
  <si>
    <t>VT0 measured</t>
  </si>
  <si>
    <t>JS = Isub-min/Area of Drain measured</t>
  </si>
  <si>
    <t>RSH measured</t>
  </si>
  <si>
    <t>SPICE PARAMETERS FOR LEVEL ONE MODEL</t>
  </si>
  <si>
    <t>The parameters in the yellow boxes are calculated from the other parmaters and thus should not be entered in the SPICE model</t>
  </si>
  <si>
    <t>If the SPICE parameters from measured values are different than the calculated SPICE parameters you might want to use them instead.</t>
  </si>
  <si>
    <t>We assume the model definition has L, W, AD, AS, PD, PS, NRS, NRD specified for calculation of some of the parameters in the yellow boxes</t>
  </si>
  <si>
    <t>Lambda is different for every different length transistor in the level one model, so a different model is needed for each different length mosfet</t>
  </si>
  <si>
    <t>SPICE</t>
  </si>
  <si>
    <t>Name</t>
  </si>
  <si>
    <t>SPICE Parameters</t>
  </si>
  <si>
    <t>Parameter</t>
  </si>
  <si>
    <t>Using Process Parameters</t>
  </si>
  <si>
    <t>note: most parameters use O not 0 at end of parameter name  ("oh" not "zero")</t>
  </si>
  <si>
    <t>Level</t>
  </si>
  <si>
    <t>Schichman and Hodges Model</t>
  </si>
  <si>
    <t>VTO</t>
  </si>
  <si>
    <t>Zero Bias Threshold Voltage, enter value if threshold adjust implant is used</t>
  </si>
  <si>
    <t>KP</t>
  </si>
  <si>
    <t>F/s-volt</t>
  </si>
  <si>
    <r>
      <t xml:space="preserve">Transconductance Parameter, KP = U0 </t>
    </r>
    <r>
      <rPr>
        <sz val="14"/>
        <rFont val="Symbol"/>
        <family val="1"/>
        <charset val="2"/>
      </rPr>
      <t>e</t>
    </r>
    <r>
      <rPr>
        <sz val="10"/>
        <rFont val="Times New Roman"/>
        <family val="1"/>
      </rPr>
      <t xml:space="preserve">si </t>
    </r>
    <r>
      <rPr>
        <sz val="14"/>
        <rFont val="Symbol"/>
        <family val="1"/>
        <charset val="2"/>
      </rPr>
      <t>e</t>
    </r>
    <r>
      <rPr>
        <sz val="10"/>
        <rFont val="Times New Roman"/>
        <family val="1"/>
      </rPr>
      <t>o /Tox</t>
    </r>
  </si>
  <si>
    <t>GAMMA</t>
  </si>
  <si>
    <r>
      <t>(volt)</t>
    </r>
    <r>
      <rPr>
        <vertAlign val="superscript"/>
        <sz val="10"/>
        <rFont val="Times New Roman"/>
        <family val="1"/>
      </rPr>
      <t>1/2</t>
    </r>
  </si>
  <si>
    <r>
      <t xml:space="preserve">Bulk Threshold Parameter,  GAMMA = [2q </t>
    </r>
    <r>
      <rPr>
        <sz val="14"/>
        <rFont val="Symbol"/>
        <family val="1"/>
        <charset val="2"/>
      </rPr>
      <t></t>
    </r>
    <r>
      <rPr>
        <sz val="10"/>
        <rFont val="Times New Roman"/>
        <family val="1"/>
      </rPr>
      <t xml:space="preserve">si </t>
    </r>
    <r>
      <rPr>
        <sz val="14"/>
        <rFont val="Symbol"/>
        <family val="1"/>
        <charset val="2"/>
      </rPr>
      <t>e</t>
    </r>
    <r>
      <rPr>
        <sz val="10"/>
        <rFont val="Times New Roman"/>
        <family val="1"/>
      </rPr>
      <t>o NSUB/Cox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]</t>
    </r>
    <r>
      <rPr>
        <vertAlign val="superscript"/>
        <sz val="10"/>
        <rFont val="Times New Roman"/>
        <family val="1"/>
      </rPr>
      <t>1/2</t>
    </r>
    <r>
      <rPr>
        <sz val="10"/>
        <rFont val="Times New Roman"/>
        <family val="1"/>
      </rPr>
      <t xml:space="preserve">           </t>
    </r>
  </si>
  <si>
    <t>PHI</t>
  </si>
  <si>
    <t xml:space="preserve">PHI is the semiconductor potential, Intrinsic Level to Fermi Level difference </t>
  </si>
  <si>
    <t>LAMBDA</t>
  </si>
  <si>
    <t>Channel length modulation parameter</t>
  </si>
  <si>
    <t>RD</t>
  </si>
  <si>
    <t>Series Drain Resistance</t>
  </si>
  <si>
    <t>RS</t>
  </si>
  <si>
    <t>Series Source Resistance</t>
  </si>
  <si>
    <t>CBD</t>
  </si>
  <si>
    <t>F</t>
  </si>
  <si>
    <t>CBD  zero bias bulk to drain junction capacitance, CBD = CJ AD + CJSW PD</t>
  </si>
  <si>
    <t>CBS</t>
  </si>
  <si>
    <t>CBD  zero bias bulk to source junction capacitance, CBD = CJ AD + CJSW PD</t>
  </si>
  <si>
    <t>IS</t>
  </si>
  <si>
    <t>A</t>
  </si>
  <si>
    <t>D/S junction leakage current</t>
  </si>
  <si>
    <t>PB</t>
  </si>
  <si>
    <t xml:space="preserve">PB is the junction built in voltage, PB = (KT/q)ln (NSUB/ni) + 0.56 </t>
  </si>
  <si>
    <t>CGSO</t>
  </si>
  <si>
    <t>F/m</t>
  </si>
  <si>
    <t>G-to-S overlap C (per m channel width)  CGSO=Cox’(mask overlap in L direction + LD)</t>
  </si>
  <si>
    <t>CGDO</t>
  </si>
  <si>
    <t>G-to-D overlap C (per m channel width)  CGDO=Cox’(mask overlap in L direction + LD)</t>
  </si>
  <si>
    <t>CGBO</t>
  </si>
  <si>
    <t>Fm</t>
  </si>
  <si>
    <t xml:space="preserve">G-to-well overlap C (per meter channel length)  CGSO=Cox’(mask overlap in W direction) </t>
  </si>
  <si>
    <t>RSH</t>
  </si>
  <si>
    <t>Sheet resistance of D/S</t>
  </si>
  <si>
    <t>CJ</t>
  </si>
  <si>
    <t>F/m2</t>
  </si>
  <si>
    <t xml:space="preserve">D/S Bottom junction capacitance/m2, </t>
  </si>
  <si>
    <t>MJ</t>
  </si>
  <si>
    <t>Junction Grading Coeficient for bottom of D/S Junction</t>
  </si>
  <si>
    <t>CJSW</t>
  </si>
  <si>
    <t>D/S side wall junction capacitance per meter of D/S permeter</t>
  </si>
  <si>
    <t>MJSW</t>
  </si>
  <si>
    <t>Junction Grading Coeficient for side of D/S Junction</t>
  </si>
  <si>
    <t>JS</t>
  </si>
  <si>
    <t>TOX</t>
  </si>
  <si>
    <t>m</t>
  </si>
  <si>
    <t>NSUB</t>
  </si>
  <si>
    <t>Well Doping, Nave</t>
  </si>
  <si>
    <t>Surface State Density as known from process knowledge</t>
  </si>
  <si>
    <t>NFS</t>
  </si>
  <si>
    <t>Fast Surface States, Always set to zero</t>
  </si>
  <si>
    <t>TPG</t>
  </si>
  <si>
    <t>+1 if gate doped opposite of channel, -1 if gate doped same as channel, 0 if gate is aluminum</t>
  </si>
  <si>
    <t>XJ</t>
  </si>
  <si>
    <t>D/S Junction Depth</t>
  </si>
  <si>
    <t>LD</t>
  </si>
  <si>
    <t>Lateral Diffusion of D/S into the channel arbitrarly set to 80% of XJ</t>
  </si>
  <si>
    <t>UO</t>
  </si>
  <si>
    <r>
      <t xml:space="preserve">Well surface minority carrier mobility at well surface concentration </t>
    </r>
    <r>
      <rPr>
        <sz val="10"/>
        <color indexed="10"/>
        <rFont val="Times New Roman"/>
        <family val="1"/>
      </rPr>
      <t>divided by two</t>
    </r>
  </si>
  <si>
    <t xml:space="preserve">.MODEL RITSUBN1 NMOS (LEVEL=1  </t>
  </si>
  <si>
    <t xml:space="preserve">.MODEL RITSUBP1 PMOS (LEVEL=1  </t>
  </si>
  <si>
    <t xml:space="preserve">+VTO=1.0 LAMBDA= 0.031 PB=0.95 CGSO=3.4E-10 CGDO=3.4E-10  </t>
  </si>
  <si>
    <t xml:space="preserve">+VTO=1.0 LAMBDA= 0.05 PB=0.94 CGSO=5.08E-10 CGDO=5.08E-10  </t>
  </si>
  <si>
    <t xml:space="preserve">+CGBO=5.75E-10 RSH=33.8 CJ=6.8e-4 MJ=0.5  CJSW=1.26e-10 </t>
  </si>
  <si>
    <t xml:space="preserve">+CGBO=5.75E-10 RSH=33.7 CJ=5.01e-4 MJ=0.5  CJSW=1.38e-10 </t>
  </si>
  <si>
    <t xml:space="preserve">+MJSW=0.5 JS=3.23e-8 TOX=150E-10  NSUB=1.45e17  NSS=3E11  </t>
  </si>
  <si>
    <t xml:space="preserve">+MJSW=0.5 JS=6.43e-8 TOX=150E-10  NSUB=7.23e16  NSS=1E11  </t>
  </si>
  <si>
    <t>+TPG=+1 XJ=0.18U LD=0.15U UO=363)</t>
  </si>
  <si>
    <t>+TPG=+1 XJ=0.28U LD=0.22U UO=363)</t>
  </si>
  <si>
    <t>SPICE PARAMETERS FOR LEVEL THREE MODEL</t>
  </si>
  <si>
    <t>WD is estimated to be 1/2 the field oxide thickness for a LOCOS process</t>
  </si>
  <si>
    <r>
      <t>THETA is calculated from Ueff = UO/(1+THETA(Vgs-Vt)) and Ids=Ueff (Cox'/2) (W/L)(Vgs-Vt)^2(1+</t>
    </r>
    <r>
      <rPr>
        <sz val="10"/>
        <rFont val="Symbol"/>
        <family val="1"/>
        <charset val="2"/>
      </rPr>
      <t>l</t>
    </r>
    <r>
      <rPr>
        <sz val="10"/>
        <rFont val="Times New Roman"/>
        <family val="1"/>
      </rPr>
      <t>Vds) using measured Ids and Vt values</t>
    </r>
  </si>
  <si>
    <r>
      <t>DELTA is calculated = q*Nave*(Xds)^2 / (</t>
    </r>
    <r>
      <rPr>
        <sz val="10"/>
        <rFont val="Symbol"/>
        <family val="1"/>
        <charset val="2"/>
      </rPr>
      <t>e</t>
    </r>
    <r>
      <rPr>
        <sz val="10"/>
        <rFont val="Times New Roman"/>
        <family val="1"/>
      </rPr>
      <t xml:space="preserve">o </t>
    </r>
    <r>
      <rPr>
        <sz val="10"/>
        <rFont val="Symbol"/>
        <family val="1"/>
        <charset val="2"/>
      </rPr>
      <t>e</t>
    </r>
    <r>
      <rPr>
        <sz val="10"/>
        <rFont val="Times New Roman"/>
        <family val="1"/>
      </rPr>
      <t xml:space="preserve">si (2 </t>
    </r>
    <r>
      <rPr>
        <sz val="10"/>
        <rFont val="Symbol"/>
        <family val="1"/>
        <charset val="2"/>
      </rPr>
      <t>f</t>
    </r>
    <r>
      <rPr>
        <sz val="10"/>
        <rFont val="Times New Roman"/>
        <family val="1"/>
      </rPr>
      <t>s))</t>
    </r>
  </si>
  <si>
    <r>
      <t>KAPPA is calculated = [(qNsub/(2</t>
    </r>
    <r>
      <rPr>
        <sz val="10"/>
        <rFont val="Symbol"/>
        <family val="1"/>
        <charset val="2"/>
      </rPr>
      <t>e</t>
    </r>
    <r>
      <rPr>
        <sz val="10"/>
        <rFont val="Times New Roman"/>
        <family val="1"/>
      </rPr>
      <t>o</t>
    </r>
    <r>
      <rPr>
        <sz val="10"/>
        <rFont val="Symbol"/>
        <family val="1"/>
        <charset val="2"/>
      </rPr>
      <t>e</t>
    </r>
    <r>
      <rPr>
        <sz val="10"/>
        <rFont val="Times New Roman"/>
        <family val="1"/>
      </rPr>
      <t>r))((1-I/I')(L-2LD-Xdso-Xds))^2)/(Vds-Vdsat)]^0.5</t>
    </r>
  </si>
  <si>
    <t>VMAX is calculated from effective mobility times electric field at Vgs=Vds=Vdsat, where E=Vdsat/Leff</t>
  </si>
  <si>
    <t>ETA is calculated from the ratio of charge in the channel at Vds=Vdd to charge in the channel at Vds=zero</t>
  </si>
  <si>
    <t>note: Parameters in Red come directly from SPICE Level One</t>
  </si>
  <si>
    <t>Value</t>
  </si>
  <si>
    <t>Units</t>
  </si>
  <si>
    <t>Type of Gate Material</t>
  </si>
  <si>
    <t>Channel Length Reduction from Drawn Value</t>
  </si>
  <si>
    <t>WD</t>
  </si>
  <si>
    <t>Channel Width Reduction From Drawn Value</t>
  </si>
  <si>
    <t>Zero Bias Low Field Mobility</t>
  </si>
  <si>
    <t>V</t>
  </si>
  <si>
    <t>Measured threshold voltage  for long wide devices with zero substrate bias</t>
  </si>
  <si>
    <t>THETA</t>
  </si>
  <si>
    <t>1/V</t>
  </si>
  <si>
    <t>Gate Field Induced Mobility Reduction Parameter</t>
  </si>
  <si>
    <t>ohm</t>
  </si>
  <si>
    <t>In level 3 only lumped resistance is available, each different width FET has a different model</t>
  </si>
  <si>
    <t>DELTA</t>
  </si>
  <si>
    <t>Narrow Channel Effect on the Threshold Voltage</t>
  </si>
  <si>
    <t>Effective Substrate Doping</t>
  </si>
  <si>
    <t>Drain/Source junction depth</t>
  </si>
  <si>
    <t>VMAX</t>
  </si>
  <si>
    <t>m/s</t>
  </si>
  <si>
    <t>Maximum Carrier Velocity (extraction can gvie 1.2 to 2 times expected saturation velocity)</t>
  </si>
  <si>
    <t>ETA</t>
  </si>
  <si>
    <t>DIBL Coefficient</t>
  </si>
  <si>
    <t>KAPPA</t>
  </si>
  <si>
    <t>Channel Length Modulation Effect on the Drain Current</t>
  </si>
  <si>
    <t>Surface State Density</t>
  </si>
  <si>
    <t>Zero Bias Gate-Source Capacitance</t>
  </si>
  <si>
    <t>Zero Bias Gate-Drain Capacitance</t>
  </si>
  <si>
    <t>Zero Bias Gate-Substrate Capacitance</t>
  </si>
  <si>
    <t>XQC</t>
  </si>
  <si>
    <t>Charge Partitioning Parameter (from Ward and Dutton)</t>
  </si>
  <si>
    <t>Adifferent model is needed for each transistor of different length or width. Example models shown below.</t>
  </si>
  <si>
    <t>*.MODEL RITSUBN3 NMOS (LEVEL=3 TPG=1 TOX=1.5E-8 LD=2.95E-7 WD=3.00E-7</t>
  </si>
  <si>
    <t>*+U0= 726 VTO=0.5 THETA=0.393 RS=27 RD=27 DELTA=2.27 NSUB=1.45E17</t>
  </si>
  <si>
    <t>*+XJ=1.84E-7 VMAX=1.10E7 ETA=0.837 KAPPA=0.509 NFS=3E11</t>
  </si>
  <si>
    <t>*+CGSO=3.4E-10 CGDO=3.48E-10 CGBO=5.75E-10 PB=0.95 XQC=0.4)</t>
  </si>
  <si>
    <t>*.MODEL RITSUBP3 PMOS (LEVEL=3 TPG=1 TOX=1.5E-8 LD=3.61E-7 WD=3E-7</t>
  </si>
  <si>
    <t>+UO=377 VT0=-0.93 THETA=0.32 RS=33.7 RD=33.7 DELTA=2.35 NSUB=7.12E16</t>
  </si>
  <si>
    <t xml:space="preserve">+XJ=2.26E-7 VMAX=3.84E6 ETA=0.897 KAPPA=4.481 NFS=3E11 </t>
  </si>
  <si>
    <t>+CGSO=4.15E-10 CGD0=4.15E-10 CGBO=5.75E-10 PB=0.94 XQC=0.40)</t>
  </si>
  <si>
    <t>SPICE PARAMETERS FOR BISIM3  VER  3.1, LEVEL 49</t>
  </si>
  <si>
    <t>BSIM3V3 is the industry standard, physics-based, deep submicron MOSFET SPICE model for digital and analog circuit design from the Device Group at the</t>
  </si>
  <si>
    <t>note: most parameters use 0 not O at end of parameter name ("zero" not "oh")</t>
  </si>
  <si>
    <t>note: Parameters in Red come directly from SPICE Level One and/or Three</t>
  </si>
  <si>
    <t>Control</t>
  </si>
  <si>
    <t xml:space="preserve">Level 8, 81, 49 or 53 </t>
  </si>
  <si>
    <t>VERSION</t>
  </si>
  <si>
    <t>3.0, 3.1 or 3.2 versions, default is the newest version</t>
  </si>
  <si>
    <t>MOBMOD</t>
  </si>
  <si>
    <t>Mobility model selector (1,2,3,4… selects slightly different equations for calculation of Ueff)</t>
  </si>
  <si>
    <t>CAPMOD</t>
  </si>
  <si>
    <t>Capacitance model selector (1,2,3,4… selects slightly different equations for gate Ceff)</t>
  </si>
  <si>
    <t>Process</t>
  </si>
  <si>
    <t xml:space="preserve">TOX </t>
  </si>
  <si>
    <t>Gate oxide thickness</t>
  </si>
  <si>
    <t>Junction Depth</t>
  </si>
  <si>
    <t>NCH</t>
  </si>
  <si>
    <t>Well surface doping concentration</t>
  </si>
  <si>
    <t>Well doping concentration below the surface</t>
  </si>
  <si>
    <t>XT</t>
  </si>
  <si>
    <t>Distance into well where surface concentration is valid, Default = 1.5E-7m</t>
  </si>
  <si>
    <t>Surface State Density, Level 3 NFS or Level 1 NSS treated as equal</t>
  </si>
  <si>
    <t>DC</t>
  </si>
  <si>
    <t>VTH0</t>
  </si>
  <si>
    <t>Threshold voltage, Long, Wide Device, Zero Substrate Bias = VTO in level 3</t>
  </si>
  <si>
    <t>U0</t>
  </si>
  <si>
    <t>Low Field Mobility</t>
  </si>
  <si>
    <t>WINT</t>
  </si>
  <si>
    <t>Isolation Reduction of Channel Width (from process knowledge)</t>
  </si>
  <si>
    <t>LINT</t>
  </si>
  <si>
    <t>Source/Drain Underdiffusion of Gate (set equal to XJ)</t>
  </si>
  <si>
    <t>PCLM</t>
  </si>
  <si>
    <t>Channel Length Modulation Parameter, default = 1.3 (select to fit Ids vs. Vds family)</t>
  </si>
  <si>
    <t>NGATE</t>
  </si>
  <si>
    <t>m-3</t>
  </si>
  <si>
    <t>Gate Doping (5E20 if Diffusion Doped, Dose/Poly Thickness if Ion  Implanted with D/S)</t>
  </si>
  <si>
    <t>Diode/Resistor</t>
  </si>
  <si>
    <t>ohm/sq</t>
  </si>
  <si>
    <t>Drain/Source sheet Resistance</t>
  </si>
  <si>
    <t>Bottom junction saturation current per unit area</t>
  </si>
  <si>
    <t>JSW</t>
  </si>
  <si>
    <t>A/m</t>
  </si>
  <si>
    <t>side wall junction saturation current per unit length</t>
  </si>
  <si>
    <t>Bottom Junction Capacitance per unit area at zero bias</t>
  </si>
  <si>
    <t>Bottom Junction Capacitance Grading Coeficient</t>
  </si>
  <si>
    <t>Side Wall Junction Capacitance per meter of length at zero bias</t>
  </si>
  <si>
    <t>Side Wall Junction Capacitance Grading Coeficient</t>
  </si>
  <si>
    <t>PBSW</t>
  </si>
  <si>
    <t xml:space="preserve">PBSW is the side wall junction built in voltage, PB = (KT/q)ln (NSUB/ni) + 0.56 </t>
  </si>
  <si>
    <t>AC</t>
  </si>
  <si>
    <t>CGS0</t>
  </si>
  <si>
    <t>Zero Bias Gate-Source Capacitance per meter of gate width</t>
  </si>
  <si>
    <t>CGD0</t>
  </si>
  <si>
    <t>Zero Bias Gate-Drain Capacitance per meter of gate width</t>
  </si>
  <si>
    <t>CGB0</t>
  </si>
  <si>
    <t>Zero Bias Gate-Substrate Capacitance per meter of gate length</t>
  </si>
  <si>
    <t>S peri</t>
  </si>
  <si>
    <t>D peri</t>
  </si>
  <si>
    <t>Cfg-cg</t>
  </si>
  <si>
    <t>Vg - Id</t>
  </si>
  <si>
    <t>Vd - Id</t>
  </si>
  <si>
    <t>Khi Vg = 0V, 1V, 2V, 3V, 4V</t>
  </si>
  <si>
    <t>Khi Vd = 0.1V ,Vb = 0V, -1.25V,- 2.5V, -3.75V, -5V</t>
  </si>
  <si>
    <t>Khi Vd = 0.1V ,Vb = 0V</t>
  </si>
  <si>
    <t>W= 0.12um, L= 0.1um, T=25C</t>
  </si>
  <si>
    <t>CALCULATION OF MOSFET SPICE PARAMETERS</t>
  </si>
  <si>
    <t>NCS: Dang Cong Thinh</t>
  </si>
  <si>
    <t xml:space="preserve">University of California at Berkeley.  Level 8 is the origional Berkeley version.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</si>
</sst>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SymbolProp BT"/>
      <family val="1"/>
      <charset val="2"/>
    </font>
    <font>
      <u/>
      <sz val="10"/>
      <name val="Times New Roman"/>
      <family val="1"/>
    </font>
    <font>
      <sz val="10"/>
      <name val="Symbol"/>
      <family val="1"/>
      <charset val="2"/>
    </font>
    <font>
      <sz val="10"/>
      <color indexed="8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sz val="14"/>
      <name val="Symbol"/>
      <family val="1"/>
      <charset val="2"/>
    </font>
    <font>
      <vertAlign val="superscript"/>
      <sz val="10"/>
      <name val="Times New Roman"/>
      <family val="1"/>
    </font>
    <font>
      <sz val="8.3000000000000007"/>
      <color indexed="8"/>
      <name val="Helv"/>
    </font>
    <font>
      <sz val="9"/>
      <color indexed="8"/>
      <name val="Helv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Helv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11" fontId="2" fillId="2" borderId="0" xfId="0" applyNumberFormat="1" applyFont="1" applyFill="1"/>
    <xf numFmtId="0" fontId="2" fillId="2" borderId="0" xfId="0" applyFont="1" applyFill="1" applyAlignment="1">
      <alignment horizontal="centerContinuous"/>
    </xf>
    <xf numFmtId="0" fontId="5" fillId="2" borderId="0" xfId="0" applyFont="1" applyFill="1"/>
    <xf numFmtId="11" fontId="5" fillId="2" borderId="0" xfId="0" applyNumberFormat="1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center"/>
      <protection locked="0"/>
    </xf>
    <xf numFmtId="11" fontId="2" fillId="4" borderId="1" xfId="0" applyNumberFormat="1" applyFont="1" applyFill="1" applyBorder="1" applyAlignment="1" applyProtection="1">
      <alignment horizontal="center"/>
      <protection locked="0"/>
    </xf>
    <xf numFmtId="11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2" fillId="4" borderId="1" xfId="0" quotePrefix="1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0" fontId="2" fillId="2" borderId="0" xfId="0" quotePrefix="1" applyFont="1" applyFill="1"/>
    <xf numFmtId="0" fontId="2" fillId="4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2" borderId="0" xfId="0" applyFont="1" applyFill="1"/>
    <xf numFmtId="11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5" fontId="2" fillId="4" borderId="1" xfId="0" applyNumberFormat="1" applyFont="1" applyFill="1" applyBorder="1" applyAlignment="1">
      <alignment horizontal="center"/>
    </xf>
    <xf numFmtId="0" fontId="17" fillId="0" borderId="0" xfId="0" applyFont="1"/>
    <xf numFmtId="0" fontId="1" fillId="0" borderId="0" xfId="0" applyFont="1"/>
    <xf numFmtId="0" fontId="2" fillId="0" borderId="1" xfId="0" applyFont="1" applyBorder="1"/>
    <xf numFmtId="0" fontId="2" fillId="6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2" fillId="2" borderId="6" xfId="0" applyFont="1" applyFill="1" applyBorder="1"/>
    <xf numFmtId="0" fontId="16" fillId="2" borderId="0" xfId="0" applyFont="1" applyFill="1"/>
    <xf numFmtId="0" fontId="2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/>
    <xf numFmtId="0" fontId="0" fillId="0" borderId="1" xfId="0" applyBorder="1"/>
    <xf numFmtId="0" fontId="0" fillId="6" borderId="1" xfId="0" applyFill="1" applyBorder="1" applyAlignment="1">
      <alignment horizontal="center"/>
    </xf>
    <xf numFmtId="11" fontId="2" fillId="0" borderId="1" xfId="0" applyNumberFormat="1" applyFont="1" applyBorder="1"/>
    <xf numFmtId="11" fontId="2" fillId="2" borderId="3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12" fillId="2" borderId="0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 applyAlignment="1">
      <alignment horizontal="right"/>
    </xf>
    <xf numFmtId="0" fontId="0" fillId="2" borderId="0" xfId="0" applyFill="1" applyBorder="1"/>
    <xf numFmtId="0" fontId="13" fillId="2" borderId="0" xfId="0" applyFont="1" applyFill="1" applyBorder="1"/>
    <xf numFmtId="0" fontId="14" fillId="2" borderId="0" xfId="0" applyFont="1" applyFill="1" applyBorder="1"/>
    <xf numFmtId="0" fontId="2" fillId="2" borderId="0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6"/>
  <sheetViews>
    <sheetView tabSelected="1" topLeftCell="A13" zoomScale="140" zoomScaleNormal="140" workbookViewId="0">
      <selection activeCell="L129" sqref="L129"/>
    </sheetView>
  </sheetViews>
  <sheetFormatPr baseColWidth="10" defaultColWidth="8.83203125" defaultRowHeight="15"/>
  <cols>
    <col min="1" max="1" width="13.6640625" customWidth="1"/>
    <col min="3" max="3" width="13.1640625" customWidth="1"/>
    <col min="11" max="11" width="38.33203125" customWidth="1"/>
  </cols>
  <sheetData>
    <row r="1" spans="1:12" ht="19">
      <c r="A1" s="37" t="s">
        <v>328</v>
      </c>
    </row>
    <row r="2" spans="1:12">
      <c r="A2" s="38" t="s">
        <v>329</v>
      </c>
    </row>
    <row r="4" spans="1:12" s="2" customFormat="1" ht="13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s="2" customFormat="1" ht="13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s="2" customFormat="1" ht="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s="2" customFormat="1" ht="12.75" customHeight="1">
      <c r="A7" s="3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s="2" customFormat="1" ht="12.75" customHeight="1">
      <c r="A9" s="4" t="s">
        <v>3</v>
      </c>
      <c r="B9" s="5">
        <v>300</v>
      </c>
      <c r="C9" s="1" t="s">
        <v>4</v>
      </c>
      <c r="D9" s="1"/>
      <c r="E9" s="4" t="s">
        <v>5</v>
      </c>
      <c r="F9" s="5">
        <v>0.76</v>
      </c>
      <c r="G9" s="1" t="s">
        <v>6</v>
      </c>
      <c r="H9" s="1"/>
      <c r="I9" s="1"/>
      <c r="J9" s="1"/>
      <c r="K9" s="1"/>
      <c r="L9" s="1"/>
    </row>
    <row r="10" spans="1:12" s="2" customFormat="1" ht="12.75" customHeight="1">
      <c r="A10" s="4" t="s">
        <v>7</v>
      </c>
      <c r="B10" s="5">
        <v>2.5999999999999999E-2</v>
      </c>
      <c r="C10" s="1" t="s">
        <v>8</v>
      </c>
      <c r="D10" s="1"/>
      <c r="E10" s="4" t="s">
        <v>9</v>
      </c>
      <c r="F10" s="5">
        <v>3.46</v>
      </c>
      <c r="G10" s="1" t="s">
        <v>10</v>
      </c>
      <c r="H10" s="1"/>
      <c r="I10" s="1"/>
      <c r="J10" s="1"/>
      <c r="K10" s="1"/>
      <c r="L10" s="1"/>
    </row>
    <row r="11" spans="1:12" s="2" customFormat="1" ht="12.75" customHeight="1">
      <c r="A11" s="4" t="s">
        <v>11</v>
      </c>
      <c r="B11" s="6">
        <v>14500000000</v>
      </c>
      <c r="C11" s="1" t="s">
        <v>12</v>
      </c>
      <c r="D11" s="1"/>
      <c r="E11" s="4" t="s">
        <v>13</v>
      </c>
      <c r="F11" s="5">
        <v>3.85</v>
      </c>
      <c r="G11" s="1" t="s">
        <v>6</v>
      </c>
      <c r="H11" s="1"/>
      <c r="I11" s="1"/>
      <c r="J11" s="1"/>
      <c r="K11" s="1"/>
      <c r="L11" s="1"/>
    </row>
    <row r="12" spans="1:12" s="2" customFormat="1" ht="12.75" customHeight="1">
      <c r="A12" s="4" t="s">
        <v>14</v>
      </c>
      <c r="B12" s="6">
        <v>8.8500000000000002E-14</v>
      </c>
      <c r="C12" s="1" t="s">
        <v>15</v>
      </c>
      <c r="D12" s="1"/>
      <c r="E12" s="4" t="s">
        <v>16</v>
      </c>
      <c r="F12" s="5">
        <v>3.66</v>
      </c>
      <c r="G12" s="1" t="s">
        <v>10</v>
      </c>
      <c r="H12" s="1"/>
      <c r="I12" s="1"/>
      <c r="J12" s="1"/>
      <c r="K12" s="1"/>
      <c r="L12" s="1"/>
    </row>
    <row r="13" spans="1:12" s="2" customFormat="1" ht="12.75" customHeight="1">
      <c r="A13" s="4" t="s">
        <v>17</v>
      </c>
      <c r="B13" s="5">
        <v>11.7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s="2" customFormat="1" ht="12.75" customHeight="1">
      <c r="A14" s="4" t="s">
        <v>18</v>
      </c>
      <c r="B14" s="5">
        <v>3.9</v>
      </c>
      <c r="C14" s="1"/>
      <c r="D14" s="1" t="s">
        <v>19</v>
      </c>
      <c r="E14" s="1"/>
      <c r="F14" s="1"/>
      <c r="G14" s="1"/>
      <c r="H14" s="1"/>
      <c r="I14" s="1"/>
      <c r="J14" s="1"/>
      <c r="K14" s="1"/>
      <c r="L14" s="1"/>
    </row>
    <row r="15" spans="1:12" s="2" customFormat="1" ht="12.75" customHeight="1">
      <c r="A15" s="4" t="s">
        <v>20</v>
      </c>
      <c r="B15" s="5">
        <v>4.1500000000000004</v>
      </c>
      <c r="C15" s="1" t="s">
        <v>8</v>
      </c>
      <c r="D15" s="1"/>
      <c r="E15" s="1" t="s">
        <v>21</v>
      </c>
      <c r="F15" s="1"/>
      <c r="G15" s="1"/>
      <c r="H15" s="1"/>
      <c r="I15" s="1"/>
      <c r="J15" s="1"/>
      <c r="K15" s="1"/>
      <c r="L15" s="1"/>
    </row>
    <row r="16" spans="1:12" s="2" customFormat="1" ht="12.75" customHeight="1">
      <c r="A16" s="4" t="s">
        <v>22</v>
      </c>
      <c r="B16" s="6">
        <v>1.5999999999999999E-19</v>
      </c>
      <c r="C16" s="1" t="s">
        <v>23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s="2" customFormat="1" ht="12.75" customHeight="1">
      <c r="A17" s="4" t="s">
        <v>24</v>
      </c>
      <c r="B17" s="5">
        <v>1.1240000000000001</v>
      </c>
      <c r="C17" s="1" t="s">
        <v>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s="2" customFormat="1" ht="12.75" customHeight="1">
      <c r="A18" s="3" t="s">
        <v>25</v>
      </c>
      <c r="B18" s="7"/>
      <c r="C18" s="1"/>
      <c r="D18" s="1"/>
      <c r="E18" s="1"/>
      <c r="F18" s="1"/>
      <c r="G18" s="8"/>
      <c r="H18" s="1"/>
      <c r="I18" s="1"/>
      <c r="J18" s="1"/>
      <c r="K18" s="1"/>
      <c r="L18" s="1"/>
    </row>
    <row r="19" spans="1:12" s="2" customFormat="1" ht="13" hidden="1">
      <c r="A19" s="1"/>
      <c r="B19" s="7"/>
      <c r="C19" s="1"/>
      <c r="D19" s="1"/>
      <c r="E19" s="1"/>
      <c r="F19" s="1"/>
      <c r="G19" s="8"/>
      <c r="H19" s="1"/>
      <c r="I19" s="1"/>
      <c r="J19" s="1"/>
      <c r="K19" s="1"/>
      <c r="L19" s="1"/>
    </row>
    <row r="20" spans="1:12" s="2" customFormat="1" ht="13" hidden="1">
      <c r="A20" s="1"/>
      <c r="B20" s="7"/>
      <c r="C20" s="1"/>
      <c r="D20" s="1"/>
      <c r="E20" s="1"/>
      <c r="F20" s="1"/>
      <c r="G20" s="8"/>
      <c r="H20" s="1"/>
      <c r="I20" s="1"/>
      <c r="J20" s="1"/>
      <c r="K20" s="1"/>
      <c r="L20" s="1"/>
    </row>
    <row r="21" spans="1:12" s="2" customFormat="1" ht="13" hidden="1">
      <c r="A21" s="1"/>
      <c r="B21" s="7"/>
      <c r="C21" s="1"/>
      <c r="D21" s="1"/>
      <c r="E21" s="1"/>
      <c r="F21" s="1"/>
      <c r="G21" s="8"/>
      <c r="H21" s="1"/>
      <c r="I21" s="1"/>
      <c r="J21" s="1"/>
      <c r="K21" s="1"/>
      <c r="L21" s="1"/>
    </row>
    <row r="22" spans="1:12" s="2" customFormat="1" ht="13" hidden="1">
      <c r="A22" s="1"/>
      <c r="B22" s="7"/>
      <c r="C22" s="1"/>
      <c r="D22" s="1"/>
      <c r="E22" s="1"/>
      <c r="F22" s="1"/>
      <c r="G22" s="8"/>
      <c r="H22" s="1"/>
      <c r="I22" s="1"/>
      <c r="J22" s="1"/>
      <c r="K22" s="1"/>
      <c r="L22" s="1"/>
    </row>
    <row r="23" spans="1:12" s="2" customFormat="1" ht="13" hidden="1">
      <c r="A23" s="1"/>
      <c r="B23" s="7"/>
      <c r="C23" s="1"/>
      <c r="D23" s="1"/>
      <c r="E23" s="1"/>
      <c r="F23" s="1"/>
      <c r="G23" s="8"/>
      <c r="H23" s="1"/>
      <c r="I23" s="1"/>
      <c r="J23" s="1"/>
      <c r="K23" s="1"/>
      <c r="L23" s="1"/>
    </row>
    <row r="24" spans="1:12" s="2" customFormat="1" ht="13" hidden="1">
      <c r="A24" s="1"/>
      <c r="B24" s="7"/>
      <c r="C24" s="1"/>
      <c r="D24" s="1"/>
      <c r="E24" s="1"/>
      <c r="F24" s="1"/>
      <c r="G24" s="8"/>
      <c r="H24" s="1"/>
      <c r="I24" s="1"/>
      <c r="J24" s="1"/>
      <c r="K24" s="1"/>
      <c r="L24" s="1"/>
    </row>
    <row r="25" spans="1:12" s="2" customFormat="1" ht="13" hidden="1">
      <c r="A25" s="1"/>
      <c r="B25" s="7"/>
      <c r="C25" s="1"/>
      <c r="D25" s="1"/>
      <c r="E25" s="1"/>
      <c r="F25" s="1"/>
      <c r="G25" s="8"/>
      <c r="H25" s="1"/>
      <c r="I25" s="1"/>
      <c r="J25" s="1"/>
      <c r="K25" s="1"/>
      <c r="L25" s="1"/>
    </row>
    <row r="26" spans="1:12" s="2" customFormat="1" ht="13" hidden="1">
      <c r="A26" s="1"/>
      <c r="B26" s="7"/>
      <c r="C26" s="1"/>
      <c r="D26" s="1"/>
      <c r="E26" s="1"/>
      <c r="F26" s="1"/>
      <c r="G26" s="8"/>
      <c r="H26" s="1"/>
      <c r="I26" s="1"/>
      <c r="J26" s="1"/>
      <c r="K26" s="1"/>
      <c r="L26" s="1"/>
    </row>
    <row r="27" spans="1:12" s="2" customFormat="1" ht="13" hidden="1">
      <c r="A27" s="1"/>
      <c r="B27" s="7"/>
      <c r="C27" s="1"/>
      <c r="D27" s="1"/>
      <c r="E27" s="1"/>
      <c r="F27" s="1"/>
      <c r="G27" s="8"/>
      <c r="H27" s="1"/>
      <c r="I27" s="1"/>
      <c r="J27" s="1"/>
      <c r="K27" s="1"/>
      <c r="L27" s="1"/>
    </row>
    <row r="28" spans="1:12" s="2" customFormat="1" ht="13" hidden="1">
      <c r="A28" s="1"/>
      <c r="B28" s="7"/>
      <c r="C28" s="1"/>
      <c r="D28" s="1"/>
      <c r="E28" s="1"/>
      <c r="F28" s="1"/>
      <c r="G28" s="8"/>
      <c r="H28" s="1"/>
      <c r="I28" s="1"/>
      <c r="J28" s="1"/>
      <c r="K28" s="1"/>
      <c r="L28" s="1"/>
    </row>
    <row r="29" spans="1:12" s="2" customFormat="1" ht="13" hidden="1">
      <c r="A29" s="1"/>
      <c r="B29" s="9"/>
      <c r="C29" s="1"/>
      <c r="D29" s="1"/>
      <c r="E29" s="1"/>
      <c r="F29" s="1"/>
      <c r="G29" s="8"/>
      <c r="H29" s="1"/>
      <c r="I29" s="1"/>
      <c r="J29" s="1"/>
      <c r="K29" s="1"/>
      <c r="L29" s="1"/>
    </row>
    <row r="30" spans="1:12" s="2" customFormat="1" ht="13" hidden="1">
      <c r="A30" s="1"/>
      <c r="B30" s="10"/>
      <c r="C30" s="1"/>
      <c r="D30" s="1"/>
      <c r="E30" s="1"/>
      <c r="F30" s="1"/>
      <c r="G30" s="8"/>
      <c r="H30" s="1"/>
      <c r="I30" s="1"/>
      <c r="J30" s="1"/>
      <c r="K30" s="1"/>
      <c r="L30" s="1"/>
    </row>
    <row r="31" spans="1:12" s="2" customFormat="1" ht="13" hidden="1">
      <c r="A31" s="1"/>
      <c r="B31" s="11"/>
      <c r="C31" s="1"/>
      <c r="D31" s="1"/>
      <c r="E31" s="1"/>
      <c r="F31" s="1"/>
      <c r="G31" s="8"/>
      <c r="H31" s="1"/>
      <c r="I31" s="1"/>
      <c r="J31" s="1"/>
      <c r="K31" s="1"/>
      <c r="L31" s="1"/>
    </row>
    <row r="32" spans="1:12" s="2" customFormat="1" ht="13" hidden="1">
      <c r="A32" s="1"/>
      <c r="B32" s="7"/>
      <c r="C32" s="1"/>
      <c r="D32" s="1"/>
      <c r="E32" s="1"/>
      <c r="F32" s="1"/>
      <c r="G32" s="8"/>
      <c r="H32" s="1"/>
      <c r="I32" s="1"/>
      <c r="J32" s="1"/>
      <c r="K32" s="1"/>
      <c r="L32" s="1"/>
    </row>
    <row r="33" spans="1:14" s="2" customFormat="1" ht="13" hidden="1">
      <c r="A33" s="1"/>
      <c r="B33" s="7"/>
      <c r="C33" s="1"/>
      <c r="D33" s="1"/>
      <c r="E33" s="1"/>
      <c r="F33" s="1"/>
      <c r="G33" s="8"/>
      <c r="H33" s="1"/>
      <c r="I33" s="1"/>
      <c r="J33" s="1"/>
      <c r="K33" s="1"/>
      <c r="L33" s="1"/>
    </row>
    <row r="34" spans="1:14" s="2" customFormat="1" ht="13" hidden="1">
      <c r="A34" s="1"/>
      <c r="B34" s="7"/>
      <c r="C34" s="1"/>
      <c r="D34" s="1"/>
      <c r="E34" s="1"/>
      <c r="F34" s="1"/>
      <c r="G34" s="8"/>
      <c r="H34" s="1"/>
      <c r="I34" s="1"/>
      <c r="J34" s="1"/>
      <c r="K34" s="1"/>
      <c r="L34" s="1"/>
    </row>
    <row r="35" spans="1:14" s="2" customFormat="1" ht="13">
      <c r="A35" s="1"/>
      <c r="B35" s="7"/>
      <c r="C35" s="1"/>
      <c r="D35" s="1"/>
      <c r="E35" s="1"/>
      <c r="F35" s="1"/>
      <c r="G35" s="8"/>
      <c r="H35" s="1"/>
      <c r="I35" s="1"/>
      <c r="J35" s="1"/>
      <c r="K35" s="1"/>
      <c r="L35" s="1"/>
    </row>
    <row r="36" spans="1:14" s="2" customFormat="1" ht="13">
      <c r="A36" s="1" t="s">
        <v>26</v>
      </c>
      <c r="B36" s="9" t="s">
        <v>27</v>
      </c>
      <c r="C36" s="1"/>
      <c r="D36" s="1"/>
      <c r="E36" s="1"/>
      <c r="F36" s="1"/>
      <c r="G36" s="8"/>
      <c r="H36" s="1"/>
      <c r="I36" s="1"/>
      <c r="J36" s="1"/>
      <c r="K36" s="1"/>
      <c r="L36" s="1"/>
    </row>
    <row r="37" spans="1:14" s="2" customFormat="1" ht="13">
      <c r="A37" s="1"/>
      <c r="B37" s="10" t="s">
        <v>28</v>
      </c>
      <c r="C37" s="1"/>
      <c r="D37" s="1"/>
      <c r="E37" s="1"/>
      <c r="F37" s="1"/>
      <c r="G37" s="8"/>
      <c r="H37" s="1"/>
      <c r="I37" s="1"/>
      <c r="J37" s="1"/>
      <c r="K37" s="1"/>
      <c r="L37" s="1"/>
    </row>
    <row r="38" spans="1:14" s="2" customFormat="1" ht="13">
      <c r="A38" s="1"/>
      <c r="B38" s="11" t="s">
        <v>29</v>
      </c>
      <c r="C38" s="1"/>
      <c r="D38" s="1"/>
      <c r="E38" s="1"/>
      <c r="F38" s="1"/>
      <c r="G38" s="8"/>
      <c r="H38" s="1"/>
      <c r="I38" s="1"/>
      <c r="J38" s="1"/>
      <c r="K38" s="1"/>
      <c r="L38" s="1"/>
      <c r="M38" s="39"/>
      <c r="N38" s="39">
        <v>9.3600000000000003E-2</v>
      </c>
    </row>
    <row r="39" spans="1:14" s="2" customFormat="1" ht="13">
      <c r="A39" s="1"/>
      <c r="B39" s="7"/>
      <c r="C39" s="1"/>
      <c r="D39" s="1"/>
      <c r="E39" s="1"/>
      <c r="F39" s="1"/>
      <c r="G39" s="8"/>
      <c r="H39" s="1"/>
      <c r="I39" s="1"/>
      <c r="J39" s="1"/>
      <c r="K39" s="1"/>
      <c r="L39" s="1"/>
      <c r="M39" s="39"/>
      <c r="N39" s="39">
        <v>8.6199999999999999E-2</v>
      </c>
    </row>
    <row r="40" spans="1:14" s="2" customFormat="1" ht="13">
      <c r="A40" s="3" t="s">
        <v>30</v>
      </c>
      <c r="B40" s="7"/>
      <c r="C40" s="1"/>
      <c r="D40" s="1"/>
      <c r="E40" s="1"/>
      <c r="F40" s="1"/>
      <c r="G40" s="8"/>
      <c r="H40" s="12"/>
      <c r="I40" s="13"/>
      <c r="J40" s="13"/>
      <c r="K40" s="1"/>
      <c r="L40" s="12" t="s">
        <v>31</v>
      </c>
      <c r="M40" s="39"/>
      <c r="N40" s="39">
        <v>0.125</v>
      </c>
    </row>
    <row r="41" spans="1:14" s="2" customFormat="1" ht="13">
      <c r="A41" s="3"/>
      <c r="B41" s="7" t="s">
        <v>32</v>
      </c>
      <c r="C41" s="1"/>
      <c r="D41" s="1"/>
      <c r="E41" s="1"/>
      <c r="F41" s="1"/>
      <c r="G41" s="8"/>
      <c r="H41" s="14"/>
      <c r="I41" s="13"/>
      <c r="J41" s="1"/>
      <c r="K41" s="1"/>
      <c r="L41" s="1"/>
      <c r="M41" s="39"/>
      <c r="N41" s="39">
        <v>5.4600000000000003E-2</v>
      </c>
    </row>
    <row r="42" spans="1:14" s="2" customFormat="1" ht="13">
      <c r="A42" s="1" t="s">
        <v>33</v>
      </c>
      <c r="B42" s="7"/>
      <c r="C42" s="4"/>
      <c r="D42" s="15">
        <v>6.5000000000000002E-2</v>
      </c>
      <c r="E42" s="13" t="s">
        <v>34</v>
      </c>
      <c r="F42" s="1"/>
      <c r="G42" s="8"/>
      <c r="H42" s="5"/>
      <c r="I42" s="13"/>
      <c r="J42" s="4" t="s">
        <v>35</v>
      </c>
      <c r="K42" s="16">
        <f>F11*EXP(-F12/(0.000086*(273+D61)))*D53+F9*EXP(-F10/(0.000086*(273+D61)))*D54</f>
        <v>1.4283287045674656E-13</v>
      </c>
      <c r="L42" s="1" t="s">
        <v>6</v>
      </c>
      <c r="M42" s="40" t="s">
        <v>319</v>
      </c>
      <c r="N42" s="40">
        <f>SUM(N38:N41)</f>
        <v>0.3594</v>
      </c>
    </row>
    <row r="43" spans="1:14" s="2" customFormat="1" ht="13">
      <c r="A43" s="1" t="s">
        <v>36</v>
      </c>
      <c r="B43" s="7"/>
      <c r="C43" s="4"/>
      <c r="D43" s="15">
        <v>0.1</v>
      </c>
      <c r="E43" s="13" t="s">
        <v>34</v>
      </c>
      <c r="F43" s="1"/>
      <c r="G43" s="8"/>
      <c r="H43" s="5"/>
      <c r="I43" s="13"/>
      <c r="J43" s="4" t="s">
        <v>37</v>
      </c>
      <c r="K43" s="17">
        <f>(1/(B16*1414*D58))*D54+(1/(B16*470*D58))*D53</f>
        <v>442008486562942.06</v>
      </c>
      <c r="L43" s="1" t="s">
        <v>12</v>
      </c>
    </row>
    <row r="44" spans="1:14" s="2" customFormat="1" ht="13">
      <c r="A44" s="1" t="s">
        <v>38</v>
      </c>
      <c r="B44" s="7"/>
      <c r="C44" s="4"/>
      <c r="D44" s="15">
        <v>5.4250000000000001E-3</v>
      </c>
      <c r="E44" s="13" t="s">
        <v>39</v>
      </c>
      <c r="F44" s="1"/>
      <c r="G44" s="8"/>
      <c r="H44" s="5"/>
      <c r="I44" s="13"/>
      <c r="J44" s="4" t="s">
        <v>40</v>
      </c>
      <c r="K44" s="17">
        <f>D59/(3.14*K42*D60*60)^0.5</f>
        <v>4.228726868898264E+16</v>
      </c>
      <c r="L44" s="1" t="s">
        <v>12</v>
      </c>
      <c r="M44" s="39"/>
      <c r="N44" s="39">
        <v>8.0399999999999999E-2</v>
      </c>
    </row>
    <row r="45" spans="1:14" s="2" customFormat="1" ht="13">
      <c r="A45" s="1" t="s">
        <v>41</v>
      </c>
      <c r="B45" s="7"/>
      <c r="C45" s="4"/>
      <c r="D45" s="15">
        <v>0.3594</v>
      </c>
      <c r="E45" s="13" t="s">
        <v>34</v>
      </c>
      <c r="F45" s="1"/>
      <c r="G45" s="8"/>
      <c r="H45" s="5"/>
      <c r="I45" s="13"/>
      <c r="J45" s="4" t="s">
        <v>42</v>
      </c>
      <c r="K45" s="18">
        <f>-((4*K42*D60*60)*LN((K43*(3.14*K42*D60*60)^0.5)/D59)*100000000)^0.5</f>
        <v>4.560068664898032</v>
      </c>
      <c r="L45" s="1" t="s">
        <v>34</v>
      </c>
      <c r="M45" s="39"/>
      <c r="N45" s="39">
        <v>6.9500000000000006E-2</v>
      </c>
    </row>
    <row r="46" spans="1:14" s="2" customFormat="1" ht="13">
      <c r="A46" s="1" t="s">
        <v>43</v>
      </c>
      <c r="B46" s="7"/>
      <c r="C46" s="4"/>
      <c r="D46" s="15">
        <v>3.8800000000000001E-2</v>
      </c>
      <c r="E46" s="13"/>
      <c r="F46" s="1"/>
      <c r="G46" s="8"/>
      <c r="H46" s="5"/>
      <c r="I46" s="13"/>
      <c r="J46" s="4" t="s">
        <v>44</v>
      </c>
      <c r="K46" s="17">
        <f>D59/K45/0.0001</f>
        <v>1.7543595476053842E+16</v>
      </c>
      <c r="L46" s="1" t="s">
        <v>12</v>
      </c>
      <c r="M46" s="39"/>
      <c r="N46" s="39">
        <v>0.10100000000000001</v>
      </c>
    </row>
    <row r="47" spans="1:14" s="2" customFormat="1" ht="13">
      <c r="A47" s="1" t="s">
        <v>45</v>
      </c>
      <c r="B47" s="7"/>
      <c r="C47" s="4"/>
      <c r="D47" s="15">
        <v>0</v>
      </c>
      <c r="E47" s="13"/>
      <c r="F47" s="1"/>
      <c r="G47" s="8"/>
      <c r="H47" s="5"/>
      <c r="I47" s="13"/>
      <c r="J47" s="4" t="s">
        <v>46</v>
      </c>
      <c r="K47" s="18">
        <f>((88/(($B$12/300)^0.57))+(1250/(($B$12/300)^2.33))/((1+K46/126000000000000000*(($B$12/300)^2.4))^(0.88/(($B$12/300)^0.146))))*D53+((54.3/((B9/300)^0.57))+(407/((B9/300)^2.33))/((1+K46/235000000000000000*((B9/300)^2.4))^(0.88/((B9/300)^0.146))))*D54</f>
        <v>436.31299082594558</v>
      </c>
      <c r="L47" s="1" t="s">
        <v>47</v>
      </c>
      <c r="M47" s="39"/>
      <c r="N47" s="39">
        <v>4.5600000000000002E-2</v>
      </c>
    </row>
    <row r="48" spans="1:14" s="2" customFormat="1" ht="13">
      <c r="A48" s="1"/>
      <c r="B48" s="7"/>
      <c r="C48" s="4"/>
      <c r="D48" s="1"/>
      <c r="E48" s="13"/>
      <c r="F48" s="14"/>
      <c r="G48" s="13"/>
      <c r="H48" s="5"/>
      <c r="I48" s="13"/>
      <c r="J48" s="4" t="s">
        <v>48</v>
      </c>
      <c r="K48" s="18">
        <f>((88/(($B$12/300)^0.57))+(1250/(($B$12/300)^2.33))/((1+K46/126000000000000000*(($B$12/300)^2.4))^(0.88/(($B$12/300)^0.146))))*D54+((54.3/((B9/300)^0.57))+(407/((B9/300)^2.33))/((1+K46/235000000000000000*((B9/300)^2.4))^(0.88/((B9/300)^0.146))))*D53</f>
        <v>1.915246669406617E+39</v>
      </c>
      <c r="L48" s="1" t="s">
        <v>47</v>
      </c>
      <c r="M48" s="40" t="s">
        <v>320</v>
      </c>
      <c r="N48" s="40">
        <f>SUM(N44:N47)</f>
        <v>0.29649999999999999</v>
      </c>
    </row>
    <row r="49" spans="1:14" s="2" customFormat="1" ht="13">
      <c r="A49" s="3" t="s">
        <v>49</v>
      </c>
      <c r="B49" s="7"/>
      <c r="C49" s="4"/>
      <c r="D49" s="1" t="s">
        <v>50</v>
      </c>
      <c r="E49" s="13"/>
      <c r="F49" s="5"/>
      <c r="G49" s="13"/>
      <c r="H49" s="5"/>
      <c r="I49" s="13"/>
      <c r="J49" s="4" t="s">
        <v>51</v>
      </c>
      <c r="K49" s="18">
        <f>1/(B16*K47*D59)</f>
        <v>1790.5724019839172</v>
      </c>
      <c r="L49" s="1" t="s">
        <v>52</v>
      </c>
    </row>
    <row r="50" spans="1:14" s="2" customFormat="1" ht="13">
      <c r="A50" s="1" t="s">
        <v>53</v>
      </c>
      <c r="B50" s="7"/>
      <c r="C50" s="4"/>
      <c r="D50" s="15">
        <v>1</v>
      </c>
      <c r="E50" s="13"/>
      <c r="F50" s="5"/>
      <c r="G50" s="13"/>
      <c r="H50" s="5"/>
      <c r="I50" s="13"/>
      <c r="J50" s="4" t="s">
        <v>54</v>
      </c>
      <c r="K50" s="18">
        <f>((88/((B9/300)^0.57))+(1250/((B9/300)^2.33))/((1+K44/126000000000000000*((B9/300)^2.4))^(0.88/((B9/300)^0.146))))*D54+((54.3/((B9/300)^0.57))+(407/((B9/300)^2.33))/((1+K44/235000000000000000*((B9/300)^2.4))^(0.88/((B9/300)^0.146))))*D53</f>
        <v>1056.9714526477692</v>
      </c>
      <c r="L50" s="1" t="s">
        <v>55</v>
      </c>
    </row>
    <row r="51" spans="1:14" s="2" customFormat="1" ht="13">
      <c r="A51" s="1" t="s">
        <v>56</v>
      </c>
      <c r="B51" s="7"/>
      <c r="C51" s="4"/>
      <c r="D51" s="15">
        <v>1</v>
      </c>
      <c r="E51" s="13" t="s">
        <v>57</v>
      </c>
      <c r="F51" s="5"/>
      <c r="G51" s="13"/>
      <c r="H51" s="5"/>
      <c r="I51" s="13"/>
      <c r="J51" s="4" t="s">
        <v>58</v>
      </c>
      <c r="K51" s="19">
        <f>10000*((4*K53*B12*B13)/B16/K46)^0.5</f>
        <v>0.23897294288305423</v>
      </c>
      <c r="L51" s="1" t="s">
        <v>34</v>
      </c>
      <c r="M51" s="39" t="s">
        <v>321</v>
      </c>
      <c r="N51" s="59">
        <v>2.47E-17</v>
      </c>
    </row>
    <row r="52" spans="1:14" s="2" customFormat="1" ht="13">
      <c r="A52" s="1" t="s">
        <v>59</v>
      </c>
      <c r="B52" s="7"/>
      <c r="C52" s="4"/>
      <c r="D52" s="15">
        <v>0</v>
      </c>
      <c r="E52" s="13"/>
      <c r="F52" s="5"/>
      <c r="G52" s="13"/>
      <c r="H52" s="5"/>
      <c r="I52" s="13"/>
      <c r="J52" s="4" t="s">
        <v>60</v>
      </c>
      <c r="K52" s="20">
        <f>(4.15+(B17/2-B10*LN(100000000000000000000/B11))*D51+(B17/2+B10*LN(100000000000000000000/B11))*D52)*(D52+D51)+4.1*D50</f>
        <v>8.2229885282887931</v>
      </c>
      <c r="L52" s="1" t="s">
        <v>8</v>
      </c>
    </row>
    <row r="53" spans="1:14" s="2" customFormat="1" ht="13">
      <c r="A53" s="1" t="s">
        <v>61</v>
      </c>
      <c r="B53" s="7"/>
      <c r="C53" s="4"/>
      <c r="D53" s="15">
        <v>0</v>
      </c>
      <c r="E53" s="13" t="s">
        <v>57</v>
      </c>
      <c r="F53" s="5"/>
      <c r="G53" s="13"/>
      <c r="H53" s="5"/>
      <c r="I53" s="13"/>
      <c r="J53" s="4" t="s">
        <v>62</v>
      </c>
      <c r="K53" s="19">
        <f>B10*LN(K44/B11)</f>
        <v>0.38703204728935831</v>
      </c>
      <c r="L53" s="1" t="s">
        <v>8</v>
      </c>
    </row>
    <row r="54" spans="1:14" s="2" customFormat="1" ht="13">
      <c r="A54" s="1" t="s">
        <v>63</v>
      </c>
      <c r="B54" s="7"/>
      <c r="C54" s="4"/>
      <c r="D54" s="15">
        <v>1</v>
      </c>
      <c r="E54" s="13"/>
      <c r="F54" s="5"/>
      <c r="G54" s="13"/>
      <c r="H54" s="1"/>
      <c r="I54" s="8"/>
      <c r="J54" s="4" t="s">
        <v>64</v>
      </c>
      <c r="K54" s="17">
        <f>B12*B14/D56/0.00000001</f>
        <v>3.8350000000000001E-7</v>
      </c>
      <c r="L54" s="1" t="s">
        <v>65</v>
      </c>
    </row>
    <row r="55" spans="1:14" s="2" customFormat="1" ht="13">
      <c r="A55" s="13" t="s">
        <v>66</v>
      </c>
      <c r="B55" s="7"/>
      <c r="C55" s="4"/>
      <c r="D55" s="21">
        <v>0</v>
      </c>
      <c r="E55" s="13" t="s">
        <v>67</v>
      </c>
      <c r="F55" s="5"/>
      <c r="G55" s="13"/>
      <c r="H55" s="1"/>
      <c r="I55" s="8"/>
      <c r="J55" s="4" t="s">
        <v>68</v>
      </c>
      <c r="K55" s="19">
        <f>K52-4.15-(B17/2-B10*LN(K44/B11))</f>
        <v>3.8980205755781512</v>
      </c>
      <c r="L55" s="1" t="s">
        <v>8</v>
      </c>
    </row>
    <row r="56" spans="1:14" s="2" customFormat="1" ht="13">
      <c r="A56" s="13" t="s">
        <v>69</v>
      </c>
      <c r="B56" s="7"/>
      <c r="C56" s="4"/>
      <c r="D56" s="15">
        <v>90</v>
      </c>
      <c r="E56" s="13" t="s">
        <v>70</v>
      </c>
      <c r="F56" s="5"/>
      <c r="G56" s="13"/>
      <c r="H56" s="1"/>
      <c r="I56" s="8"/>
      <c r="J56" s="4" t="s">
        <v>71</v>
      </c>
      <c r="K56" s="19">
        <f>K55-B16*D57/K54</f>
        <v>3.7728576029575516</v>
      </c>
      <c r="L56" s="1" t="s">
        <v>8</v>
      </c>
    </row>
    <row r="57" spans="1:14" s="2" customFormat="1" ht="13">
      <c r="A57" s="13" t="s">
        <v>72</v>
      </c>
      <c r="B57" s="7"/>
      <c r="C57" s="4"/>
      <c r="D57" s="21">
        <v>300000000000</v>
      </c>
      <c r="E57" s="13" t="s">
        <v>67</v>
      </c>
      <c r="F57" s="5"/>
      <c r="G57" s="13"/>
      <c r="H57" s="1"/>
      <c r="I57" s="8"/>
      <c r="J57" s="4" t="s">
        <v>73</v>
      </c>
      <c r="K57" s="18">
        <f>K56+(2*K53+(1/K54)*SQRT(2*B13*B12*B16*K44*(2*K53)))*((-1)*D53+D54)</f>
        <v>4.8184827393719836</v>
      </c>
      <c r="L57" s="1" t="s">
        <v>8</v>
      </c>
    </row>
    <row r="58" spans="1:14" s="2" customFormat="1" ht="13">
      <c r="A58" s="13" t="s">
        <v>74</v>
      </c>
      <c r="B58" s="7"/>
      <c r="C58" s="4"/>
      <c r="D58" s="22">
        <v>10</v>
      </c>
      <c r="E58" s="13" t="s">
        <v>75</v>
      </c>
      <c r="F58" s="5"/>
      <c r="G58" s="13"/>
      <c r="H58" s="1"/>
      <c r="I58" s="8"/>
      <c r="J58" s="4" t="s">
        <v>76</v>
      </c>
      <c r="K58" s="18">
        <f>B16*D55/2/K54</f>
        <v>0</v>
      </c>
      <c r="L58" s="1" t="s">
        <v>8</v>
      </c>
    </row>
    <row r="59" spans="1:14" s="2" customFormat="1" ht="13">
      <c r="A59" s="13" t="s">
        <v>77</v>
      </c>
      <c r="B59" s="6"/>
      <c r="C59" s="4"/>
      <c r="D59" s="21">
        <v>8000000000000</v>
      </c>
      <c r="E59" s="13" t="s">
        <v>67</v>
      </c>
      <c r="F59" s="5"/>
      <c r="G59" s="13"/>
      <c r="H59" s="1"/>
      <c r="I59" s="8"/>
      <c r="J59" s="4" t="s">
        <v>78</v>
      </c>
      <c r="K59" s="18">
        <f>K57+K58</f>
        <v>4.8184827393719836</v>
      </c>
      <c r="L59" s="1" t="s">
        <v>8</v>
      </c>
    </row>
    <row r="60" spans="1:14" s="2" customFormat="1" ht="13">
      <c r="A60" s="13" t="s">
        <v>79</v>
      </c>
      <c r="B60" s="6"/>
      <c r="C60" s="4"/>
      <c r="D60" s="15">
        <v>1330</v>
      </c>
      <c r="E60" s="13" t="s">
        <v>80</v>
      </c>
      <c r="F60" s="5"/>
      <c r="G60" s="13"/>
      <c r="H60" s="4"/>
      <c r="I60" s="1"/>
      <c r="J60" s="4" t="s">
        <v>81</v>
      </c>
      <c r="K60" s="17">
        <f>F11*EXP(-F12/(0.000086*(273+D64)))*D54+F9*EXP(-F10/(0.000086*(273+D64)))*D53</f>
        <v>1.1651969286104122E-14</v>
      </c>
      <c r="L60" s="1" t="s">
        <v>6</v>
      </c>
    </row>
    <row r="61" spans="1:14" s="2" customFormat="1" ht="13">
      <c r="A61" s="13" t="s">
        <v>82</v>
      </c>
      <c r="B61" s="6"/>
      <c r="C61" s="4"/>
      <c r="D61" s="15">
        <v>1100</v>
      </c>
      <c r="E61" s="13" t="s">
        <v>83</v>
      </c>
      <c r="F61" s="1"/>
      <c r="G61" s="8"/>
      <c r="H61" s="4"/>
      <c r="I61" s="1"/>
      <c r="J61" s="4" t="s">
        <v>84</v>
      </c>
      <c r="K61" s="18">
        <f ca="1">-((4*K$63*D$66*60)*LN((K$49*(3.14*K$63*D$66*60)^0.5)/D62)*100000000)^0.5</f>
        <v>0.18449878568168823</v>
      </c>
      <c r="L61" s="1" t="s">
        <v>34</v>
      </c>
    </row>
    <row r="62" spans="1:14" s="2" customFormat="1" ht="13">
      <c r="A62" s="13" t="s">
        <v>85</v>
      </c>
      <c r="B62" s="6"/>
      <c r="C62" s="4"/>
      <c r="D62" s="21">
        <v>2450000000000</v>
      </c>
      <c r="E62" s="13" t="s">
        <v>67</v>
      </c>
      <c r="F62" s="1"/>
      <c r="G62" s="8"/>
      <c r="H62" s="4"/>
      <c r="I62" s="1"/>
      <c r="J62" s="4" t="s">
        <v>86</v>
      </c>
      <c r="K62" s="17">
        <f ca="1">D62/K61/0.0001</f>
        <v>1.3550224684476764E+18</v>
      </c>
      <c r="L62" s="1" t="s">
        <v>12</v>
      </c>
    </row>
    <row r="63" spans="1:14" s="2" customFormat="1" ht="13">
      <c r="A63" s="13" t="s">
        <v>87</v>
      </c>
      <c r="B63" s="6"/>
      <c r="C63" s="4"/>
      <c r="D63" s="15">
        <v>175</v>
      </c>
      <c r="E63" s="13" t="s">
        <v>80</v>
      </c>
      <c r="F63" s="1"/>
      <c r="G63" s="8"/>
      <c r="H63" s="4"/>
      <c r="I63" s="1"/>
      <c r="J63" s="4" t="s">
        <v>88</v>
      </c>
      <c r="K63" s="18">
        <f ca="1">((88/((B$12/300)^0.57))+(1250/((B$12/300)^2.33))/((1+K62/126000000000000000*((B$12/300)^2.4))^(0.88/((B$12/300)^0.146))))*D$57+((54.3/((B$12/300)^0.57))+(407/((B$12/300)^2.33))/((1+K62/235000000000000000*((B$12/300)^2.4))^(0.88/((B$12/300)^0.146))))*D$56</f>
        <v>230.93607200138749</v>
      </c>
      <c r="L63" s="1" t="s">
        <v>47</v>
      </c>
    </row>
    <row r="64" spans="1:14" s="2" customFormat="1" ht="13">
      <c r="A64" s="13" t="s">
        <v>89</v>
      </c>
      <c r="B64" s="6"/>
      <c r="C64" s="4"/>
      <c r="D64" s="15">
        <v>1000</v>
      </c>
      <c r="E64" s="13" t="s">
        <v>83</v>
      </c>
      <c r="F64" s="1"/>
      <c r="G64" s="8"/>
      <c r="H64" s="4"/>
      <c r="I64" s="1"/>
      <c r="J64" s="4" t="s">
        <v>90</v>
      </c>
      <c r="K64" s="18">
        <f ca="1">1/(B$19*K63*D62)</f>
        <v>1082.5506722851767</v>
      </c>
      <c r="L64" s="1" t="s">
        <v>52</v>
      </c>
    </row>
    <row r="65" spans="1:12" s="2" customFormat="1" ht="13">
      <c r="A65" s="13" t="s">
        <v>91</v>
      </c>
      <c r="B65" s="6"/>
      <c r="C65" s="4"/>
      <c r="D65" s="15">
        <v>6000</v>
      </c>
      <c r="E65" s="13" t="s">
        <v>70</v>
      </c>
      <c r="F65" s="1"/>
      <c r="G65" s="8"/>
      <c r="H65" s="4"/>
      <c r="I65" s="1"/>
      <c r="J65" s="4" t="s">
        <v>92</v>
      </c>
      <c r="K65" s="18">
        <f ca="1">-((4*K$63*D$66*60)*LN((K$49*(3.14*K$63*D$66*60)^0.5)/D67)*100000000)^0.5</f>
        <v>0.2660873062433774</v>
      </c>
      <c r="L65" s="1" t="s">
        <v>34</v>
      </c>
    </row>
    <row r="66" spans="1:12" s="2" customFormat="1" ht="13">
      <c r="A66" s="13" t="s">
        <v>93</v>
      </c>
      <c r="B66" s="7"/>
      <c r="C66" s="4"/>
      <c r="D66" s="15">
        <v>1</v>
      </c>
      <c r="E66" s="13" t="s">
        <v>94</v>
      </c>
      <c r="F66" s="1"/>
      <c r="G66" s="8"/>
      <c r="H66" s="4"/>
      <c r="I66" s="1"/>
      <c r="J66" s="4" t="s">
        <v>95</v>
      </c>
      <c r="K66" s="17">
        <f ca="1">D67/K65/0.0001</f>
        <v>7.516329990468223E+19</v>
      </c>
      <c r="L66" s="1" t="s">
        <v>12</v>
      </c>
    </row>
    <row r="67" spans="1:12" s="2" customFormat="1" ht="13">
      <c r="A67" s="13" t="s">
        <v>96</v>
      </c>
      <c r="B67" s="7"/>
      <c r="C67" s="4"/>
      <c r="D67" s="21">
        <v>2450000000000</v>
      </c>
      <c r="E67" s="13" t="s">
        <v>67</v>
      </c>
      <c r="F67" s="1"/>
      <c r="G67" s="8"/>
      <c r="H67" s="4"/>
      <c r="I67" s="1"/>
      <c r="J67" s="4" t="s">
        <v>97</v>
      </c>
      <c r="K67" s="18">
        <f ca="1">((88/((B$12/300)^0.57))+(1250/((B$12/300)^2.33))/((1+K66/126000000000000000*((B$12/300)^2.4))^(0.88/((B$12/300)^0.146))))*D$57+((54.3/((B$12/300)^0.57))+(407/((B$12/300)^2.33))/((1+K66/235000000000000000*((B$12/300)^2.4))^(0.88/((B$12/300)^0.146))))*D$56</f>
        <v>92.505166281267392</v>
      </c>
      <c r="L67" s="1" t="s">
        <v>47</v>
      </c>
    </row>
    <row r="68" spans="1:12" s="2" customFormat="1" ht="13">
      <c r="A68" s="13" t="s">
        <v>98</v>
      </c>
      <c r="B68" s="7"/>
      <c r="C68" s="4"/>
      <c r="D68" s="15">
        <v>0</v>
      </c>
      <c r="E68" s="13"/>
      <c r="F68" s="1"/>
      <c r="G68" s="8"/>
      <c r="H68" s="1"/>
      <c r="I68" s="1"/>
      <c r="J68" s="4" t="s">
        <v>99</v>
      </c>
      <c r="K68" s="18">
        <f ca="1">5*D68+(1-D68)/(B16*K67*D67)</f>
        <v>33.781897007765537</v>
      </c>
      <c r="L68" s="1" t="s">
        <v>52</v>
      </c>
    </row>
    <row r="69" spans="1:12" s="2" customFormat="1" ht="13">
      <c r="A69" s="13"/>
      <c r="B69" s="7"/>
      <c r="C69" s="4"/>
      <c r="D69" s="7"/>
      <c r="E69" s="13"/>
      <c r="F69" s="1"/>
      <c r="G69" s="8"/>
      <c r="H69" s="1"/>
      <c r="I69" s="1"/>
      <c r="J69" s="4" t="s">
        <v>100</v>
      </c>
      <c r="K69" s="18">
        <f ca="1">0.8*K61</f>
        <v>0.14759902854535059</v>
      </c>
      <c r="L69" s="1" t="s">
        <v>101</v>
      </c>
    </row>
    <row r="70" spans="1:12" s="2" customFormat="1" ht="13">
      <c r="A70" s="13"/>
      <c r="B70" s="7"/>
      <c r="C70" s="4"/>
      <c r="D70" s="1"/>
      <c r="E70" s="13"/>
      <c r="F70" s="1"/>
      <c r="G70" s="8"/>
      <c r="H70" s="1"/>
      <c r="I70" s="1"/>
      <c r="J70" s="4" t="s">
        <v>102</v>
      </c>
      <c r="K70" s="17">
        <f>B12*B14/D65/0.00000001</f>
        <v>5.7524999999999997E-9</v>
      </c>
      <c r="L70" s="1" t="s">
        <v>65</v>
      </c>
    </row>
    <row r="71" spans="1:12" s="2" customFormat="1" ht="13">
      <c r="A71" s="13"/>
      <c r="B71" s="7"/>
      <c r="C71" s="4"/>
      <c r="D71" s="1"/>
      <c r="E71" s="13"/>
      <c r="F71" s="1"/>
      <c r="G71" s="8"/>
      <c r="H71" s="1"/>
      <c r="I71" s="1"/>
      <c r="J71" s="4" t="s">
        <v>103</v>
      </c>
      <c r="K71" s="19">
        <f>((2*B12*B13*K74/B16/K46)^0.5)*10000</f>
        <v>0.26111584403437632</v>
      </c>
      <c r="L71" s="1" t="s">
        <v>101</v>
      </c>
    </row>
    <row r="72" spans="1:12" s="2" customFormat="1" ht="13">
      <c r="A72" s="13"/>
      <c r="B72" s="7"/>
      <c r="C72" s="4"/>
      <c r="D72" s="1"/>
      <c r="E72" s="13"/>
      <c r="F72" s="1"/>
      <c r="G72" s="8"/>
      <c r="H72" s="1"/>
      <c r="I72" s="1"/>
      <c r="J72" s="4" t="s">
        <v>104</v>
      </c>
      <c r="K72" s="19">
        <f>((2*B12*B13*(K74+ABS(D75))/B16/K46)^0.5)*10000</f>
        <v>0.37677368197464739</v>
      </c>
      <c r="L72" s="1" t="s">
        <v>101</v>
      </c>
    </row>
    <row r="73" spans="1:12" s="2" customFormat="1" ht="13">
      <c r="A73" s="13"/>
      <c r="B73" s="7"/>
      <c r="C73" s="4"/>
      <c r="D73" s="1"/>
      <c r="E73" s="13"/>
      <c r="F73" s="1"/>
      <c r="G73" s="8"/>
      <c r="H73" s="1"/>
      <c r="I73" s="1"/>
      <c r="J73" s="4" t="s">
        <v>105</v>
      </c>
      <c r="K73" s="19">
        <f ca="1">D42-2*K69-2*K71</f>
        <v>1.4004662897853362</v>
      </c>
      <c r="L73" s="1" t="s">
        <v>101</v>
      </c>
    </row>
    <row r="74" spans="1:12" s="2" customFormat="1" ht="13">
      <c r="A74" s="14" t="s">
        <v>106</v>
      </c>
      <c r="B74" s="7"/>
      <c r="C74" s="4"/>
      <c r="D74" s="1"/>
      <c r="E74" s="1"/>
      <c r="F74" s="1"/>
      <c r="G74" s="8"/>
      <c r="H74" s="1"/>
      <c r="I74" s="1"/>
      <c r="J74" s="4" t="s">
        <v>107</v>
      </c>
      <c r="K74" s="18">
        <f>B10*LN(K46/B11)+0.56</f>
        <v>0.92415732240438286</v>
      </c>
      <c r="L74" s="1" t="s">
        <v>8</v>
      </c>
    </row>
    <row r="75" spans="1:12" s="2" customFormat="1" ht="13">
      <c r="A75" s="13" t="s">
        <v>108</v>
      </c>
      <c r="B75" s="7"/>
      <c r="C75" s="4"/>
      <c r="D75" s="15">
        <v>1</v>
      </c>
      <c r="E75" s="1" t="s">
        <v>8</v>
      </c>
      <c r="F75" s="1"/>
      <c r="G75" s="8"/>
      <c r="H75" s="1"/>
      <c r="I75" s="1"/>
      <c r="J75" s="4" t="s">
        <v>109</v>
      </c>
      <c r="K75" s="17">
        <f>10000*(B16*B11*B11/K46)*((B10*K48/D66)*1000000)^0.5</f>
        <v>135312031475.45657</v>
      </c>
      <c r="L75" s="1" t="s">
        <v>110</v>
      </c>
    </row>
    <row r="76" spans="1:12" s="2" customFormat="1" ht="13">
      <c r="A76" s="13" t="s">
        <v>111</v>
      </c>
      <c r="B76" s="7"/>
      <c r="C76" s="4"/>
      <c r="D76" s="15">
        <v>6.29E-4</v>
      </c>
      <c r="E76" s="1" t="s">
        <v>112</v>
      </c>
      <c r="F76" s="23" t="s">
        <v>113</v>
      </c>
      <c r="G76" s="8"/>
      <c r="H76" s="1"/>
      <c r="I76" s="1"/>
      <c r="J76" s="4" t="s">
        <v>114</v>
      </c>
      <c r="K76" s="17">
        <f>B12*B13/K71/0.0001</f>
        <v>3.9654813128217578E-8</v>
      </c>
      <c r="L76" s="1" t="s">
        <v>65</v>
      </c>
    </row>
    <row r="77" spans="1:12" s="2" customFormat="1" ht="13">
      <c r="A77" s="13" t="s">
        <v>115</v>
      </c>
      <c r="B77" s="7"/>
      <c r="C77" s="4"/>
      <c r="D77" s="15">
        <v>6.29E-4</v>
      </c>
      <c r="E77" s="1" t="s">
        <v>112</v>
      </c>
      <c r="F77" s="23" t="s">
        <v>116</v>
      </c>
      <c r="G77" s="8"/>
      <c r="H77" s="1"/>
      <c r="I77" s="1"/>
      <c r="J77" s="4" t="s">
        <v>117</v>
      </c>
      <c r="K77" s="19">
        <f ca="1">((D42-K69-K71)/(D42-K69-K72)-1)/ABS(D75)</f>
        <v>3.0995611689312152E-2</v>
      </c>
      <c r="L77" s="1" t="s">
        <v>118</v>
      </c>
    </row>
    <row r="78" spans="1:12" s="2" customFormat="1" ht="13">
      <c r="A78" s="13" t="s">
        <v>119</v>
      </c>
      <c r="B78" s="7"/>
      <c r="C78" s="4"/>
      <c r="D78" s="15">
        <v>0.2</v>
      </c>
      <c r="E78" s="1" t="s">
        <v>8</v>
      </c>
      <c r="F78" s="1"/>
      <c r="G78" s="8"/>
      <c r="H78" s="1"/>
      <c r="I78" s="1"/>
      <c r="J78" s="1"/>
      <c r="K78" s="1"/>
      <c r="L78" s="1"/>
    </row>
    <row r="79" spans="1:12" s="2" customFormat="1" ht="13">
      <c r="A79" s="13" t="s">
        <v>120</v>
      </c>
      <c r="B79" s="7"/>
      <c r="C79" s="4"/>
      <c r="D79" s="15">
        <v>1E-3</v>
      </c>
      <c r="E79" s="1" t="s">
        <v>121</v>
      </c>
      <c r="F79" s="1"/>
      <c r="G79" s="8"/>
      <c r="H79" s="1"/>
      <c r="I79" s="1"/>
      <c r="J79" s="1"/>
      <c r="K79" s="1"/>
      <c r="L79" s="12" t="s">
        <v>122</v>
      </c>
    </row>
    <row r="80" spans="1:12" s="2" customFormat="1" ht="13">
      <c r="A80" s="13" t="s">
        <v>123</v>
      </c>
      <c r="B80" s="7"/>
      <c r="C80" s="1"/>
      <c r="D80" s="15">
        <v>39.200000000000003</v>
      </c>
      <c r="E80" s="1" t="s">
        <v>52</v>
      </c>
      <c r="F80" s="1"/>
      <c r="G80" s="8"/>
      <c r="H80" s="1"/>
      <c r="I80" s="1"/>
      <c r="J80" s="4" t="s">
        <v>124</v>
      </c>
      <c r="K80" s="18">
        <f ca="1">D76*0.001*2*(D42-K69*2)/D43/K54/((ABS(D75)-ABS(D78))^2)/(1+D81*ABS(D75))</f>
        <v>0</v>
      </c>
      <c r="L80" s="1" t="s">
        <v>47</v>
      </c>
    </row>
    <row r="81" spans="1:21" s="2" customFormat="1" ht="13">
      <c r="A81" s="13" t="s">
        <v>125</v>
      </c>
      <c r="B81" s="7"/>
      <c r="C81" s="1"/>
      <c r="D81" s="15">
        <v>0.03</v>
      </c>
      <c r="E81" s="1" t="s">
        <v>126</v>
      </c>
      <c r="F81" s="1"/>
      <c r="G81" s="1"/>
      <c r="H81" s="1"/>
      <c r="I81" s="1"/>
      <c r="J81" s="4" t="s">
        <v>127</v>
      </c>
      <c r="K81" s="24">
        <f>D81</f>
        <v>0.03</v>
      </c>
      <c r="L81" s="1" t="s">
        <v>126</v>
      </c>
    </row>
    <row r="82" spans="1:21" s="2" customFormat="1" ht="13">
      <c r="A82" s="13"/>
      <c r="B82" s="7"/>
      <c r="C82" s="1"/>
      <c r="D82" s="1"/>
      <c r="E82" s="1"/>
      <c r="F82" s="1"/>
      <c r="G82" s="1"/>
      <c r="H82" s="1"/>
      <c r="I82" s="1"/>
      <c r="J82" s="4" t="s">
        <v>128</v>
      </c>
      <c r="K82" s="24">
        <f>D78</f>
        <v>0.2</v>
      </c>
      <c r="L82" s="1" t="s">
        <v>8</v>
      </c>
    </row>
    <row r="83" spans="1:21" s="2" customFormat="1" ht="13">
      <c r="A83" s="13"/>
      <c r="B83" s="7"/>
      <c r="C83" s="1"/>
      <c r="D83" s="1"/>
      <c r="E83" s="1"/>
      <c r="F83" s="1"/>
      <c r="G83" s="1"/>
      <c r="H83" s="1"/>
      <c r="I83" s="1"/>
      <c r="J83" s="4" t="s">
        <v>129</v>
      </c>
      <c r="K83" s="17">
        <f>(D79/D44*(1000))</f>
        <v>184.33179723502306</v>
      </c>
      <c r="L83" s="1" t="s">
        <v>110</v>
      </c>
    </row>
    <row r="84" spans="1:21" s="2" customFormat="1" ht="13">
      <c r="A84" s="13"/>
      <c r="B84" s="7"/>
      <c r="C84" s="1"/>
      <c r="D84" s="1"/>
      <c r="E84" s="1"/>
      <c r="F84" s="1"/>
      <c r="G84" s="1"/>
      <c r="H84" s="1"/>
      <c r="I84" s="1"/>
      <c r="J84" s="4" t="s">
        <v>130</v>
      </c>
      <c r="K84" s="24">
        <f>D80</f>
        <v>39.200000000000003</v>
      </c>
      <c r="L84" s="1" t="s">
        <v>52</v>
      </c>
    </row>
    <row r="85" spans="1:21" s="2" customFormat="1" ht="13">
      <c r="A85" s="14" t="s">
        <v>131</v>
      </c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21" s="2" customFormat="1" ht="13">
      <c r="A86" s="4">
        <v>1</v>
      </c>
      <c r="B86" s="7" t="s">
        <v>132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21" s="2" customFormat="1" ht="13">
      <c r="A87" s="4">
        <v>2</v>
      </c>
      <c r="B87" s="7" t="s">
        <v>133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21" s="2" customFormat="1" ht="13">
      <c r="A88" s="4">
        <v>3</v>
      </c>
      <c r="B88" s="7" t="s">
        <v>134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21" s="2" customFormat="1" ht="13">
      <c r="A89" s="4">
        <v>4</v>
      </c>
      <c r="B89" s="7" t="s">
        <v>135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21" s="2" customFormat="1" ht="13">
      <c r="A90" s="13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21" s="2" customFormat="1" ht="13">
      <c r="A91" s="41" t="s">
        <v>136</v>
      </c>
      <c r="B91" s="60" t="s">
        <v>137</v>
      </c>
      <c r="C91" s="42"/>
      <c r="D91" s="61" t="s">
        <v>138</v>
      </c>
      <c r="E91" s="42"/>
      <c r="F91" s="42"/>
      <c r="G91" s="42"/>
      <c r="H91" s="42"/>
      <c r="I91" s="42"/>
      <c r="J91" s="42"/>
      <c r="K91" s="72"/>
      <c r="L91" s="1"/>
      <c r="N91" s="25"/>
      <c r="O91" s="26"/>
      <c r="P91" s="25"/>
      <c r="Q91" s="26"/>
      <c r="R91" s="25"/>
      <c r="S91" s="25"/>
      <c r="T91" s="26"/>
      <c r="U91" s="25"/>
    </row>
    <row r="92" spans="1:21" s="2" customFormat="1" ht="13">
      <c r="A92" s="63" t="s">
        <v>139</v>
      </c>
      <c r="B92" s="64"/>
      <c r="C92" s="64"/>
      <c r="D92" s="73" t="s">
        <v>140</v>
      </c>
      <c r="E92" s="64"/>
      <c r="F92" s="66" t="s">
        <v>141</v>
      </c>
      <c r="G92" s="64"/>
      <c r="H92" s="64"/>
      <c r="I92" s="64"/>
      <c r="J92" s="64"/>
      <c r="K92" s="50"/>
      <c r="L92" s="1"/>
      <c r="N92" s="25"/>
      <c r="O92" s="25"/>
      <c r="P92" s="25"/>
      <c r="Q92" s="25"/>
      <c r="R92" s="26"/>
      <c r="S92" s="25"/>
      <c r="T92" s="26"/>
      <c r="U92" s="26"/>
    </row>
    <row r="93" spans="1:21" s="2" customFormat="1" ht="13">
      <c r="A93" s="46">
        <v>1</v>
      </c>
      <c r="B93" s="65" t="s">
        <v>142</v>
      </c>
      <c r="C93" s="64"/>
      <c r="D93" s="24">
        <v>1</v>
      </c>
      <c r="E93" s="64"/>
      <c r="F93" s="64" t="s">
        <v>143</v>
      </c>
      <c r="G93" s="64"/>
      <c r="H93" s="64"/>
      <c r="I93" s="64"/>
      <c r="J93" s="64"/>
      <c r="K93" s="50"/>
      <c r="L93" s="1"/>
      <c r="N93" s="25"/>
      <c r="O93" s="26"/>
      <c r="P93" s="25"/>
      <c r="Q93" s="26"/>
      <c r="R93" s="25"/>
      <c r="S93" s="26"/>
      <c r="T93" s="25"/>
      <c r="U93" s="25"/>
    </row>
    <row r="94" spans="1:21" s="2" customFormat="1" ht="13">
      <c r="A94" s="46">
        <v>2</v>
      </c>
      <c r="B94" s="65" t="s">
        <v>144</v>
      </c>
      <c r="C94" s="64"/>
      <c r="D94" s="18">
        <f>K59</f>
        <v>4.8184827393719836</v>
      </c>
      <c r="E94" s="64" t="s">
        <v>8</v>
      </c>
      <c r="F94" s="64" t="s">
        <v>145</v>
      </c>
      <c r="G94" s="64"/>
      <c r="H94" s="64"/>
      <c r="I94" s="64"/>
      <c r="J94" s="64"/>
      <c r="K94" s="50"/>
      <c r="L94" s="1"/>
      <c r="N94" s="25"/>
      <c r="O94" s="25"/>
      <c r="P94" s="26"/>
      <c r="Q94" s="25"/>
      <c r="R94" s="26"/>
      <c r="S94" s="25"/>
      <c r="T94" s="26"/>
      <c r="U94" s="26"/>
    </row>
    <row r="95" spans="1:21" s="2" customFormat="1" ht="18">
      <c r="A95" s="46">
        <v>3</v>
      </c>
      <c r="B95" s="65" t="s">
        <v>146</v>
      </c>
      <c r="C95" s="64"/>
      <c r="D95" s="28">
        <f>(D121*B12*B13/D56)*100000000</f>
        <v>6.0802282813562925E-4</v>
      </c>
      <c r="E95" s="64" t="s">
        <v>147</v>
      </c>
      <c r="F95" s="64" t="s">
        <v>148</v>
      </c>
      <c r="G95" s="64"/>
      <c r="H95" s="64"/>
      <c r="I95" s="64"/>
      <c r="J95" s="64"/>
      <c r="K95" s="50"/>
      <c r="L95" s="1"/>
    </row>
    <row r="96" spans="1:21" s="2" customFormat="1" ht="18">
      <c r="A96" s="46">
        <v>4</v>
      </c>
      <c r="B96" s="65" t="s">
        <v>149</v>
      </c>
      <c r="C96" s="64"/>
      <c r="D96" s="28">
        <f>(2*B16*B12*B13*K44/K54/K54)^0.5</f>
        <v>0.30865904256338161</v>
      </c>
      <c r="E96" s="64" t="s">
        <v>150</v>
      </c>
      <c r="F96" s="64" t="s">
        <v>151</v>
      </c>
      <c r="G96" s="64"/>
      <c r="H96" s="64"/>
      <c r="I96" s="64"/>
      <c r="J96" s="64"/>
      <c r="K96" s="50"/>
      <c r="L96" s="1"/>
    </row>
    <row r="97" spans="1:12" s="2" customFormat="1" ht="13">
      <c r="A97" s="46">
        <v>5</v>
      </c>
      <c r="B97" s="65" t="s">
        <v>152</v>
      </c>
      <c r="C97" s="64"/>
      <c r="D97" s="29">
        <f>2*K53</f>
        <v>0.77406409457871661</v>
      </c>
      <c r="E97" s="64" t="s">
        <v>8</v>
      </c>
      <c r="F97" s="64" t="s">
        <v>153</v>
      </c>
      <c r="G97" s="64"/>
      <c r="H97" s="64"/>
      <c r="I97" s="64"/>
      <c r="J97" s="64"/>
      <c r="K97" s="50"/>
      <c r="L97" s="1"/>
    </row>
    <row r="98" spans="1:12" s="2" customFormat="1" ht="13">
      <c r="A98" s="46">
        <v>6</v>
      </c>
      <c r="B98" s="65" t="s">
        <v>154</v>
      </c>
      <c r="C98" s="64"/>
      <c r="D98" s="19">
        <f ca="1">K77</f>
        <v>3.0995611689312152E-2</v>
      </c>
      <c r="E98" s="64" t="s">
        <v>126</v>
      </c>
      <c r="F98" s="64" t="s">
        <v>155</v>
      </c>
      <c r="G98" s="64"/>
      <c r="H98" s="64"/>
      <c r="I98" s="64"/>
      <c r="J98" s="64"/>
      <c r="K98" s="50"/>
      <c r="L98" s="1"/>
    </row>
    <row r="99" spans="1:12" s="2" customFormat="1" ht="13">
      <c r="A99" s="46">
        <v>7</v>
      </c>
      <c r="B99" s="65" t="s">
        <v>156</v>
      </c>
      <c r="C99" s="64"/>
      <c r="D99" s="30">
        <f ca="1">K64*D47</f>
        <v>27.063766807129419</v>
      </c>
      <c r="E99" s="64" t="s">
        <v>52</v>
      </c>
      <c r="F99" s="64" t="s">
        <v>157</v>
      </c>
      <c r="G99" s="64"/>
      <c r="H99" s="64"/>
      <c r="I99" s="64"/>
      <c r="J99" s="64"/>
      <c r="K99" s="50"/>
      <c r="L99" s="1"/>
    </row>
    <row r="100" spans="1:12" s="2" customFormat="1" ht="13">
      <c r="A100" s="46">
        <v>8</v>
      </c>
      <c r="B100" s="65" t="s">
        <v>158</v>
      </c>
      <c r="C100" s="64"/>
      <c r="D100" s="30">
        <f ca="1">K64*D47</f>
        <v>27.063766807129419</v>
      </c>
      <c r="E100" s="64" t="s">
        <v>52</v>
      </c>
      <c r="F100" s="64" t="s">
        <v>159</v>
      </c>
      <c r="G100" s="64"/>
      <c r="H100" s="64"/>
      <c r="I100" s="64"/>
      <c r="J100" s="64"/>
      <c r="K100" s="50"/>
      <c r="L100" s="1"/>
    </row>
    <row r="101" spans="1:12" s="2" customFormat="1">
      <c r="A101" s="46">
        <v>9</v>
      </c>
      <c r="B101" s="65" t="s">
        <v>160</v>
      </c>
      <c r="C101" s="64"/>
      <c r="D101" s="28">
        <f ca="1">(K76*D44+K76*D45*K61)*0.00000001</f>
        <v>7.0848700551024571E-14</v>
      </c>
      <c r="E101" s="64" t="s">
        <v>161</v>
      </c>
      <c r="F101" s="69" t="s">
        <v>162</v>
      </c>
      <c r="G101" s="74"/>
      <c r="H101" s="64"/>
      <c r="I101" s="64"/>
      <c r="J101" s="64"/>
      <c r="K101" s="50"/>
      <c r="L101" s="1"/>
    </row>
    <row r="102" spans="1:12" s="2" customFormat="1" ht="13">
      <c r="A102" s="46">
        <v>10</v>
      </c>
      <c r="B102" s="65" t="s">
        <v>163</v>
      </c>
      <c r="C102" s="64"/>
      <c r="D102" s="28">
        <f ca="1">D101</f>
        <v>7.0848700551024571E-14</v>
      </c>
      <c r="E102" s="64" t="s">
        <v>161</v>
      </c>
      <c r="F102" s="69" t="s">
        <v>164</v>
      </c>
      <c r="G102" s="64"/>
      <c r="H102" s="64"/>
      <c r="I102" s="64"/>
      <c r="J102" s="64"/>
      <c r="K102" s="50"/>
      <c r="L102" s="1"/>
    </row>
    <row r="103" spans="1:12" s="2" customFormat="1" ht="13">
      <c r="A103" s="46">
        <v>11</v>
      </c>
      <c r="B103" s="65" t="s">
        <v>165</v>
      </c>
      <c r="C103" s="64"/>
      <c r="D103" s="28">
        <f>D113*D44*0.000000000001</f>
        <v>7.3406777075435197E-4</v>
      </c>
      <c r="E103" s="64" t="s">
        <v>166</v>
      </c>
      <c r="F103" s="64" t="s">
        <v>167</v>
      </c>
      <c r="G103" s="64"/>
      <c r="H103" s="64"/>
      <c r="I103" s="64"/>
      <c r="J103" s="64"/>
      <c r="K103" s="50"/>
      <c r="L103" s="1"/>
    </row>
    <row r="104" spans="1:12" s="2" customFormat="1">
      <c r="A104" s="46">
        <v>12</v>
      </c>
      <c r="B104" s="65" t="s">
        <v>168</v>
      </c>
      <c r="C104" s="64"/>
      <c r="D104" s="18">
        <f>K74</f>
        <v>0.92415732240438286</v>
      </c>
      <c r="E104" s="64" t="s">
        <v>8</v>
      </c>
      <c r="F104" s="69" t="s">
        <v>169</v>
      </c>
      <c r="G104" s="74"/>
      <c r="H104" s="64"/>
      <c r="I104" s="64"/>
      <c r="J104" s="64"/>
      <c r="K104" s="50"/>
      <c r="L104" s="1"/>
    </row>
    <row r="105" spans="1:12" s="2" customFormat="1">
      <c r="A105" s="46">
        <v>13</v>
      </c>
      <c r="B105" s="65" t="s">
        <v>170</v>
      </c>
      <c r="C105" s="64"/>
      <c r="D105" s="17">
        <f ca="1">K54*K69*0.01</f>
        <v>3.3962536468285174E-10</v>
      </c>
      <c r="E105" s="64" t="s">
        <v>171</v>
      </c>
      <c r="F105" s="75" t="s">
        <v>172</v>
      </c>
      <c r="G105" s="74"/>
      <c r="H105" s="74"/>
      <c r="I105" s="64"/>
      <c r="J105" s="64"/>
      <c r="K105" s="50"/>
      <c r="L105" s="1"/>
    </row>
    <row r="106" spans="1:12" s="2" customFormat="1" ht="13">
      <c r="A106" s="46">
        <v>14</v>
      </c>
      <c r="B106" s="65" t="s">
        <v>173</v>
      </c>
      <c r="C106" s="64"/>
      <c r="D106" s="17">
        <f ca="1">K54*K69*0.01</f>
        <v>3.3962536468285174E-10</v>
      </c>
      <c r="E106" s="64" t="s">
        <v>171</v>
      </c>
      <c r="F106" s="75" t="s">
        <v>174</v>
      </c>
      <c r="G106" s="69"/>
      <c r="H106" s="69"/>
      <c r="I106" s="64"/>
      <c r="J106" s="64"/>
      <c r="K106" s="50"/>
      <c r="L106" s="1"/>
    </row>
    <row r="107" spans="1:12" s="2" customFormat="1" ht="13">
      <c r="A107" s="46">
        <v>15</v>
      </c>
      <c r="B107" s="65" t="s">
        <v>175</v>
      </c>
      <c r="C107" s="64"/>
      <c r="D107" s="17">
        <f>K70*10*0.01</f>
        <v>5.7524999999999995E-10</v>
      </c>
      <c r="E107" s="64" t="s">
        <v>176</v>
      </c>
      <c r="F107" s="76" t="s">
        <v>177</v>
      </c>
      <c r="G107" s="64"/>
      <c r="H107" s="64"/>
      <c r="I107" s="64"/>
      <c r="J107" s="64"/>
      <c r="K107" s="50"/>
      <c r="L107" s="1"/>
    </row>
    <row r="108" spans="1:12" s="2" customFormat="1" ht="13">
      <c r="A108" s="46">
        <v>16</v>
      </c>
      <c r="B108" s="65" t="s">
        <v>178</v>
      </c>
      <c r="C108" s="64"/>
      <c r="D108" s="18">
        <f ca="1">K68</f>
        <v>33.781897007765537</v>
      </c>
      <c r="E108" s="64" t="s">
        <v>52</v>
      </c>
      <c r="F108" s="64" t="s">
        <v>179</v>
      </c>
      <c r="G108" s="64"/>
      <c r="H108" s="64"/>
      <c r="I108" s="64"/>
      <c r="J108" s="64"/>
      <c r="K108" s="50"/>
      <c r="L108" s="1"/>
    </row>
    <row r="109" spans="1:12" s="2" customFormat="1" ht="13">
      <c r="A109" s="46">
        <v>17</v>
      </c>
      <c r="B109" s="65" t="s">
        <v>180</v>
      </c>
      <c r="C109" s="64"/>
      <c r="D109" s="17">
        <f>K76*10000</f>
        <v>3.9654813128217576E-4</v>
      </c>
      <c r="E109" s="64" t="s">
        <v>181</v>
      </c>
      <c r="F109" s="64" t="s">
        <v>182</v>
      </c>
      <c r="G109" s="64"/>
      <c r="H109" s="64"/>
      <c r="I109" s="64"/>
      <c r="J109" s="64"/>
      <c r="K109" s="50"/>
      <c r="L109" s="1"/>
    </row>
    <row r="110" spans="1:12" s="2" customFormat="1" ht="13">
      <c r="A110" s="46">
        <v>18</v>
      </c>
      <c r="B110" s="65" t="s">
        <v>183</v>
      </c>
      <c r="C110" s="64"/>
      <c r="D110" s="24">
        <v>0.5</v>
      </c>
      <c r="E110" s="64"/>
      <c r="F110" s="64" t="s">
        <v>184</v>
      </c>
      <c r="G110" s="64"/>
      <c r="H110" s="64"/>
      <c r="I110" s="64"/>
      <c r="J110" s="64"/>
      <c r="K110" s="50"/>
      <c r="L110" s="1"/>
    </row>
    <row r="111" spans="1:12" s="2" customFormat="1" ht="13">
      <c r="A111" s="46">
        <v>19</v>
      </c>
      <c r="B111" s="65" t="s">
        <v>185</v>
      </c>
      <c r="C111" s="64"/>
      <c r="D111" s="17">
        <f ca="1">K76*K61*0.01</f>
        <v>1.2554511157211642E-10</v>
      </c>
      <c r="E111" s="64" t="s">
        <v>171</v>
      </c>
      <c r="F111" s="64" t="s">
        <v>186</v>
      </c>
      <c r="G111" s="64"/>
      <c r="H111" s="64"/>
      <c r="I111" s="64"/>
      <c r="J111" s="64"/>
      <c r="K111" s="50"/>
      <c r="L111" s="1"/>
    </row>
    <row r="112" spans="1:12" s="2" customFormat="1" ht="13">
      <c r="A112" s="46">
        <v>20</v>
      </c>
      <c r="B112" s="65" t="s">
        <v>187</v>
      </c>
      <c r="C112" s="64"/>
      <c r="D112" s="24">
        <v>0.5</v>
      </c>
      <c r="E112" s="64"/>
      <c r="F112" s="64" t="s">
        <v>188</v>
      </c>
      <c r="G112" s="64"/>
      <c r="H112" s="64"/>
      <c r="I112" s="64"/>
      <c r="J112" s="64"/>
      <c r="K112" s="50"/>
      <c r="L112" s="1"/>
    </row>
    <row r="113" spans="1:12" s="2" customFormat="1" ht="13">
      <c r="A113" s="46">
        <v>21</v>
      </c>
      <c r="B113" s="65" t="s">
        <v>189</v>
      </c>
      <c r="C113" s="64"/>
      <c r="D113" s="17">
        <f>K75</f>
        <v>135312031475.45657</v>
      </c>
      <c r="E113" s="64" t="s">
        <v>110</v>
      </c>
      <c r="F113" s="64" t="s">
        <v>167</v>
      </c>
      <c r="G113" s="64"/>
      <c r="H113" s="64"/>
      <c r="I113" s="64"/>
      <c r="J113" s="64"/>
      <c r="K113" s="50"/>
      <c r="L113" s="1"/>
    </row>
    <row r="114" spans="1:12" s="2" customFormat="1" ht="13">
      <c r="A114" s="46">
        <v>22</v>
      </c>
      <c r="B114" s="65" t="s">
        <v>190</v>
      </c>
      <c r="C114" s="64"/>
      <c r="D114" s="17">
        <f>D56*0.0000000001</f>
        <v>8.9999999999999995E-9</v>
      </c>
      <c r="E114" s="64" t="s">
        <v>191</v>
      </c>
      <c r="F114" s="64" t="s">
        <v>69</v>
      </c>
      <c r="G114" s="64"/>
      <c r="H114" s="64"/>
      <c r="I114" s="64"/>
      <c r="J114" s="64"/>
      <c r="K114" s="50"/>
      <c r="L114" s="1"/>
    </row>
    <row r="115" spans="1:12" s="2" customFormat="1" ht="13">
      <c r="A115" s="46">
        <v>23</v>
      </c>
      <c r="B115" s="65" t="s">
        <v>192</v>
      </c>
      <c r="C115" s="64"/>
      <c r="D115" s="17">
        <f>K44</f>
        <v>4.228726868898264E+16</v>
      </c>
      <c r="E115" s="64" t="s">
        <v>12</v>
      </c>
      <c r="F115" s="64" t="s">
        <v>193</v>
      </c>
      <c r="G115" s="64"/>
      <c r="H115" s="64"/>
      <c r="I115" s="64"/>
      <c r="J115" s="64"/>
      <c r="K115" s="50"/>
      <c r="L115" s="1"/>
    </row>
    <row r="116" spans="1:12" s="2" customFormat="1" ht="13">
      <c r="A116" s="46">
        <v>24</v>
      </c>
      <c r="B116" s="65" t="s">
        <v>72</v>
      </c>
      <c r="C116" s="64"/>
      <c r="D116" s="17">
        <f>D57</f>
        <v>300000000000</v>
      </c>
      <c r="E116" s="64" t="s">
        <v>67</v>
      </c>
      <c r="F116" s="64" t="s">
        <v>194</v>
      </c>
      <c r="G116" s="64"/>
      <c r="H116" s="64"/>
      <c r="I116" s="64"/>
      <c r="J116" s="64"/>
      <c r="K116" s="50"/>
      <c r="L116" s="1"/>
    </row>
    <row r="117" spans="1:12" s="2" customFormat="1" ht="13">
      <c r="A117" s="46">
        <v>25</v>
      </c>
      <c r="B117" s="65" t="s">
        <v>195</v>
      </c>
      <c r="C117" s="64"/>
      <c r="D117" s="24">
        <v>0</v>
      </c>
      <c r="E117" s="64"/>
      <c r="F117" s="64" t="s">
        <v>196</v>
      </c>
      <c r="G117" s="64"/>
      <c r="H117" s="64"/>
      <c r="I117" s="64"/>
      <c r="J117" s="64"/>
      <c r="K117" s="50"/>
      <c r="L117" s="1"/>
    </row>
    <row r="118" spans="1:12" s="2" customFormat="1" ht="13">
      <c r="A118" s="46">
        <v>26</v>
      </c>
      <c r="B118" s="65" t="s">
        <v>197</v>
      </c>
      <c r="C118" s="64"/>
      <c r="D118" s="24">
        <f>0*D50+D51*D54+D52*D53-D52*D54-D51*D53</f>
        <v>1</v>
      </c>
      <c r="E118" s="64"/>
      <c r="F118" s="77" t="s">
        <v>198</v>
      </c>
      <c r="G118" s="64"/>
      <c r="H118" s="64"/>
      <c r="I118" s="64"/>
      <c r="J118" s="64"/>
      <c r="K118" s="50"/>
      <c r="L118" s="1"/>
    </row>
    <row r="119" spans="1:12" s="2" customFormat="1" ht="13">
      <c r="A119" s="46">
        <v>27</v>
      </c>
      <c r="B119" s="65" t="s">
        <v>199</v>
      </c>
      <c r="C119" s="64"/>
      <c r="D119" s="18">
        <f ca="1">K61</f>
        <v>0.18449878568168823</v>
      </c>
      <c r="E119" s="64" t="s">
        <v>34</v>
      </c>
      <c r="F119" s="64" t="s">
        <v>200</v>
      </c>
      <c r="G119" s="64"/>
      <c r="H119" s="64"/>
      <c r="I119" s="64"/>
      <c r="J119" s="64"/>
      <c r="K119" s="50"/>
      <c r="L119" s="1"/>
    </row>
    <row r="120" spans="1:12" s="2" customFormat="1" ht="13">
      <c r="A120" s="46">
        <v>28</v>
      </c>
      <c r="B120" s="65" t="s">
        <v>201</v>
      </c>
      <c r="C120" s="64"/>
      <c r="D120" s="18">
        <f ca="1">K69</f>
        <v>0.14759902854535059</v>
      </c>
      <c r="E120" s="64" t="s">
        <v>34</v>
      </c>
      <c r="F120" s="64" t="s">
        <v>202</v>
      </c>
      <c r="G120" s="64"/>
      <c r="H120" s="64"/>
      <c r="I120" s="64"/>
      <c r="J120" s="64"/>
      <c r="K120" s="50"/>
      <c r="L120" s="1"/>
    </row>
    <row r="121" spans="1:12" s="2" customFormat="1" ht="13">
      <c r="A121" s="52">
        <v>29</v>
      </c>
      <c r="B121" s="70" t="s">
        <v>203</v>
      </c>
      <c r="C121" s="54"/>
      <c r="D121" s="31">
        <f>K50/2</f>
        <v>528.48572632388459</v>
      </c>
      <c r="E121" s="54" t="s">
        <v>47</v>
      </c>
      <c r="F121" s="54" t="s">
        <v>204</v>
      </c>
      <c r="G121" s="54"/>
      <c r="H121" s="54"/>
      <c r="I121" s="54"/>
      <c r="J121" s="54"/>
      <c r="K121" s="56"/>
      <c r="L121" s="1"/>
    </row>
    <row r="122" spans="1:12" s="2" customFormat="1" ht="13" hidden="1">
      <c r="A122" s="13" t="s">
        <v>205</v>
      </c>
      <c r="B122" s="5"/>
      <c r="C122" s="1"/>
      <c r="D122" s="1"/>
      <c r="E122" s="1"/>
      <c r="F122" s="1"/>
      <c r="G122" s="13" t="s">
        <v>206</v>
      </c>
      <c r="H122" s="1"/>
      <c r="I122" s="1"/>
      <c r="J122" s="1"/>
      <c r="K122" s="1"/>
      <c r="L122" s="1"/>
    </row>
    <row r="123" spans="1:12" s="2" customFormat="1" ht="13" hidden="1">
      <c r="A123" s="32" t="s">
        <v>207</v>
      </c>
      <c r="B123" s="5"/>
      <c r="C123" s="1"/>
      <c r="D123" s="1"/>
      <c r="E123" s="1"/>
      <c r="F123" s="1"/>
      <c r="G123" s="32" t="s">
        <v>208</v>
      </c>
      <c r="H123" s="1"/>
      <c r="I123" s="1"/>
      <c r="J123" s="1"/>
      <c r="K123" s="1"/>
      <c r="L123" s="1"/>
    </row>
    <row r="124" spans="1:12" s="2" customFormat="1" ht="13" hidden="1">
      <c r="A124" s="32" t="s">
        <v>209</v>
      </c>
      <c r="B124" s="5"/>
      <c r="C124" s="1"/>
      <c r="D124" s="1"/>
      <c r="E124" s="1"/>
      <c r="F124" s="1"/>
      <c r="G124" s="32" t="s">
        <v>210</v>
      </c>
      <c r="H124" s="1"/>
      <c r="I124" s="1"/>
      <c r="J124" s="1"/>
      <c r="K124" s="1"/>
      <c r="L124" s="1"/>
    </row>
    <row r="125" spans="1:12" s="2" customFormat="1" ht="13" hidden="1">
      <c r="A125" s="32" t="s">
        <v>211</v>
      </c>
      <c r="B125" s="5"/>
      <c r="C125" s="1"/>
      <c r="D125" s="1"/>
      <c r="E125" s="1"/>
      <c r="F125" s="1"/>
      <c r="G125" s="32" t="s">
        <v>212</v>
      </c>
      <c r="H125" s="1"/>
      <c r="I125" s="1"/>
      <c r="J125" s="5"/>
      <c r="K125" s="5"/>
      <c r="L125" s="5"/>
    </row>
    <row r="126" spans="1:12" s="2" customFormat="1" ht="13" hidden="1">
      <c r="A126" s="32" t="s">
        <v>213</v>
      </c>
      <c r="B126" s="5"/>
      <c r="C126" s="5"/>
      <c r="D126" s="5"/>
      <c r="E126" s="5"/>
      <c r="F126" s="5"/>
      <c r="G126" s="32" t="s">
        <v>214</v>
      </c>
      <c r="H126" s="5"/>
      <c r="I126" s="5"/>
      <c r="J126" s="5"/>
      <c r="K126" s="5"/>
      <c r="L126" s="5"/>
    </row>
    <row r="127" spans="1:12" s="2" customFormat="1" ht="13">
      <c r="A127" s="14" t="s">
        <v>215</v>
      </c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s="2" customFormat="1" ht="13">
      <c r="A128" s="4">
        <v>1</v>
      </c>
      <c r="B128" s="7" t="s">
        <v>216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s="2" customFormat="1" ht="13">
      <c r="A129" s="4">
        <v>2</v>
      </c>
      <c r="B129" s="7" t="s">
        <v>217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s="2" customFormat="1" ht="14" customHeight="1">
      <c r="A130" s="4">
        <v>3</v>
      </c>
      <c r="B130" s="7" t="s">
        <v>218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s="2" customFormat="1" ht="13">
      <c r="A131" s="4">
        <v>4</v>
      </c>
      <c r="B131" s="7" t="s">
        <v>219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s="2" customFormat="1" ht="13">
      <c r="A132" s="4">
        <v>5</v>
      </c>
      <c r="B132" s="7" t="s">
        <v>220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s="2" customFormat="1" ht="13">
      <c r="A133" s="4">
        <v>6</v>
      </c>
      <c r="B133" s="7" t="s">
        <v>221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s="2" customFormat="1" ht="13">
      <c r="A134" s="41"/>
      <c r="B134" s="60"/>
      <c r="C134" s="42"/>
      <c r="D134" s="61"/>
      <c r="E134" s="42"/>
      <c r="F134" s="62" t="s">
        <v>222</v>
      </c>
      <c r="G134" s="43"/>
      <c r="H134" s="43"/>
      <c r="I134" s="43"/>
      <c r="J134" s="43"/>
      <c r="K134" s="45"/>
      <c r="L134" s="5"/>
    </row>
    <row r="135" spans="1:12" s="2" customFormat="1" ht="13">
      <c r="A135" s="63" t="s">
        <v>139</v>
      </c>
      <c r="B135" s="64" t="s">
        <v>137</v>
      </c>
      <c r="C135" s="64"/>
      <c r="D135" s="65" t="s">
        <v>223</v>
      </c>
      <c r="E135" s="64" t="s">
        <v>224</v>
      </c>
      <c r="F135" s="66" t="s">
        <v>141</v>
      </c>
      <c r="G135" s="65"/>
      <c r="H135" s="65"/>
      <c r="I135" s="65"/>
      <c r="J135" s="65"/>
      <c r="K135" s="47"/>
      <c r="L135" s="5"/>
    </row>
    <row r="136" spans="1:12" s="2" customFormat="1" ht="13">
      <c r="A136" s="46">
        <v>1</v>
      </c>
      <c r="B136" s="65" t="s">
        <v>142</v>
      </c>
      <c r="C136" s="64"/>
      <c r="D136" s="24">
        <v>3</v>
      </c>
      <c r="E136" s="64"/>
      <c r="F136" s="65"/>
      <c r="G136" s="65"/>
      <c r="H136" s="65"/>
      <c r="I136" s="65"/>
      <c r="J136" s="65"/>
      <c r="K136" s="47"/>
      <c r="L136" s="5"/>
    </row>
    <row r="137" spans="1:12" s="2" customFormat="1" ht="13">
      <c r="A137" s="46">
        <v>2</v>
      </c>
      <c r="B137" s="67" t="s">
        <v>197</v>
      </c>
      <c r="C137" s="64"/>
      <c r="D137" s="31">
        <f>D118</f>
        <v>1</v>
      </c>
      <c r="E137" s="64"/>
      <c r="F137" s="68" t="s">
        <v>225</v>
      </c>
      <c r="G137" s="65"/>
      <c r="H137" s="65"/>
      <c r="I137" s="65"/>
      <c r="J137" s="65"/>
      <c r="K137" s="47"/>
      <c r="L137" s="5"/>
    </row>
    <row r="138" spans="1:12" s="2" customFormat="1" ht="13">
      <c r="A138" s="46">
        <v>3</v>
      </c>
      <c r="B138" s="67" t="s">
        <v>190</v>
      </c>
      <c r="C138" s="64"/>
      <c r="D138" s="17">
        <f>D114</f>
        <v>8.9999999999999995E-9</v>
      </c>
      <c r="E138" s="64" t="s">
        <v>191</v>
      </c>
      <c r="F138" s="68" t="s">
        <v>69</v>
      </c>
      <c r="G138" s="65"/>
      <c r="H138" s="65"/>
      <c r="I138" s="65"/>
      <c r="J138" s="65"/>
      <c r="K138" s="47"/>
      <c r="L138" s="5"/>
    </row>
    <row r="139" spans="1:12" s="2" customFormat="1" ht="13">
      <c r="A139" s="46">
        <v>4</v>
      </c>
      <c r="B139" s="67" t="s">
        <v>201</v>
      </c>
      <c r="C139" s="64"/>
      <c r="D139" s="17">
        <f ca="1">D120*0.000001*2</f>
        <v>2.9519805709070118E-7</v>
      </c>
      <c r="E139" s="64" t="s">
        <v>191</v>
      </c>
      <c r="F139" s="68" t="s">
        <v>226</v>
      </c>
      <c r="G139" s="65"/>
      <c r="H139" s="65"/>
      <c r="I139" s="65"/>
      <c r="J139" s="65"/>
      <c r="K139" s="47"/>
      <c r="L139" s="5"/>
    </row>
    <row r="140" spans="1:12" s="2" customFormat="1" ht="13">
      <c r="A140" s="46">
        <v>5</v>
      </c>
      <c r="B140" s="65" t="s">
        <v>227</v>
      </c>
      <c r="C140" s="64"/>
      <c r="D140" s="17">
        <f>0.5*D65/10000/1000000</f>
        <v>2.9999999999999999E-7</v>
      </c>
      <c r="E140" s="64" t="s">
        <v>191</v>
      </c>
      <c r="F140" s="68" t="s">
        <v>228</v>
      </c>
      <c r="G140" s="65"/>
      <c r="H140" s="65"/>
      <c r="I140" s="65"/>
      <c r="J140" s="65"/>
      <c r="K140" s="47"/>
      <c r="L140" s="5"/>
    </row>
    <row r="141" spans="1:12" s="2" customFormat="1" ht="13">
      <c r="A141" s="46">
        <v>6</v>
      </c>
      <c r="B141" s="67" t="s">
        <v>203</v>
      </c>
      <c r="C141" s="64"/>
      <c r="D141" s="31">
        <f>K50</f>
        <v>1056.9714526477692</v>
      </c>
      <c r="E141" s="64" t="s">
        <v>55</v>
      </c>
      <c r="F141" s="68" t="s">
        <v>229</v>
      </c>
      <c r="G141" s="65"/>
      <c r="H141" s="65"/>
      <c r="I141" s="65"/>
      <c r="J141" s="65"/>
      <c r="K141" s="47"/>
      <c r="L141" s="5"/>
    </row>
    <row r="142" spans="1:12" s="2" customFormat="1" ht="13">
      <c r="A142" s="46">
        <v>7</v>
      </c>
      <c r="B142" s="67" t="s">
        <v>144</v>
      </c>
      <c r="C142" s="64"/>
      <c r="D142" s="18">
        <f>D94</f>
        <v>4.8184827393719836</v>
      </c>
      <c r="E142" s="64" t="s">
        <v>230</v>
      </c>
      <c r="F142" s="68" t="s">
        <v>231</v>
      </c>
      <c r="G142" s="65"/>
      <c r="H142" s="65"/>
      <c r="I142" s="65"/>
      <c r="J142" s="65"/>
      <c r="K142" s="47"/>
      <c r="L142" s="5"/>
    </row>
    <row r="143" spans="1:12" s="2" customFormat="1" ht="13">
      <c r="A143" s="46">
        <v>8</v>
      </c>
      <c r="B143" s="65" t="s">
        <v>232</v>
      </c>
      <c r="C143" s="64"/>
      <c r="D143" s="19">
        <f ca="1">((D141/K80)-1)/(ABS(D75)-ABS(D78))</f>
        <v>0.39325635040809437</v>
      </c>
      <c r="E143" s="64" t="s">
        <v>233</v>
      </c>
      <c r="F143" s="68" t="s">
        <v>234</v>
      </c>
      <c r="G143" s="65"/>
      <c r="H143" s="65"/>
      <c r="I143" s="65"/>
      <c r="J143" s="65"/>
      <c r="K143" s="47"/>
      <c r="L143" s="5"/>
    </row>
    <row r="144" spans="1:12" s="2" customFormat="1" ht="13">
      <c r="A144" s="46">
        <v>9</v>
      </c>
      <c r="B144" s="67" t="s">
        <v>158</v>
      </c>
      <c r="C144" s="64"/>
      <c r="D144" s="18">
        <f ca="1">D99</f>
        <v>27.063766807129419</v>
      </c>
      <c r="E144" s="64" t="s">
        <v>235</v>
      </c>
      <c r="F144" s="68" t="s">
        <v>236</v>
      </c>
      <c r="G144" s="65"/>
      <c r="H144" s="65"/>
      <c r="I144" s="65"/>
      <c r="J144" s="65"/>
      <c r="K144" s="47"/>
      <c r="L144" s="5"/>
    </row>
    <row r="145" spans="1:12" s="2" customFormat="1" ht="13">
      <c r="A145" s="46">
        <v>10</v>
      </c>
      <c r="B145" s="67" t="s">
        <v>156</v>
      </c>
      <c r="C145" s="64"/>
      <c r="D145" s="18">
        <f ca="1">D100</f>
        <v>27.063766807129419</v>
      </c>
      <c r="E145" s="64" t="s">
        <v>235</v>
      </c>
      <c r="F145" s="68" t="s">
        <v>236</v>
      </c>
      <c r="G145" s="65"/>
      <c r="H145" s="65"/>
      <c r="I145" s="65"/>
      <c r="J145" s="65"/>
      <c r="K145" s="47"/>
      <c r="L145" s="5"/>
    </row>
    <row r="146" spans="1:12" s="2" customFormat="1" ht="13">
      <c r="A146" s="46">
        <v>11</v>
      </c>
      <c r="B146" s="65" t="s">
        <v>237</v>
      </c>
      <c r="C146" s="64"/>
      <c r="D146" s="18">
        <f>B16*K46*K71*K71*0.00000001/B13/B12/2/K53</f>
        <v>2.3878056839914641</v>
      </c>
      <c r="E146" s="64"/>
      <c r="F146" s="68" t="s">
        <v>238</v>
      </c>
      <c r="G146" s="65"/>
      <c r="H146" s="65"/>
      <c r="I146" s="65"/>
      <c r="J146" s="65"/>
      <c r="K146" s="47"/>
      <c r="L146" s="5"/>
    </row>
    <row r="147" spans="1:12" s="2" customFormat="1" ht="13">
      <c r="A147" s="46">
        <v>12</v>
      </c>
      <c r="B147" s="67" t="s">
        <v>192</v>
      </c>
      <c r="C147" s="64"/>
      <c r="D147" s="17">
        <f>D115</f>
        <v>4.228726868898264E+16</v>
      </c>
      <c r="E147" s="64" t="s">
        <v>12</v>
      </c>
      <c r="F147" s="68" t="s">
        <v>239</v>
      </c>
      <c r="G147" s="65"/>
      <c r="H147" s="65"/>
      <c r="I147" s="65"/>
      <c r="J147" s="65"/>
      <c r="K147" s="47"/>
      <c r="L147" s="5"/>
    </row>
    <row r="148" spans="1:12" s="2" customFormat="1" ht="13">
      <c r="A148" s="46">
        <v>13</v>
      </c>
      <c r="B148" s="67" t="s">
        <v>199</v>
      </c>
      <c r="C148" s="64"/>
      <c r="D148" s="17">
        <f ca="1">D119*0.000001</f>
        <v>1.8449878568168823E-7</v>
      </c>
      <c r="E148" s="64" t="s">
        <v>191</v>
      </c>
      <c r="F148" s="68" t="s">
        <v>240</v>
      </c>
      <c r="G148" s="65"/>
      <c r="H148" s="65"/>
      <c r="I148" s="65"/>
      <c r="J148" s="65"/>
      <c r="K148" s="47"/>
      <c r="L148" s="5"/>
    </row>
    <row r="149" spans="1:12" s="2" customFormat="1" ht="13">
      <c r="A149" s="46">
        <v>14</v>
      </c>
      <c r="B149" s="65" t="s">
        <v>241</v>
      </c>
      <c r="C149" s="64"/>
      <c r="D149" s="17">
        <f ca="1">K80*ABS(D75)/K73/0.0001</f>
        <v>10226685.056701785</v>
      </c>
      <c r="E149" s="64" t="s">
        <v>242</v>
      </c>
      <c r="F149" s="68" t="s">
        <v>243</v>
      </c>
      <c r="G149" s="65"/>
      <c r="H149" s="65"/>
      <c r="I149" s="65"/>
      <c r="J149" s="65"/>
      <c r="K149" s="47"/>
      <c r="L149" s="5"/>
    </row>
    <row r="150" spans="1:12" s="2" customFormat="1" ht="13">
      <c r="A150" s="46">
        <v>15</v>
      </c>
      <c r="B150" s="65" t="s">
        <v>244</v>
      </c>
      <c r="C150" s="64"/>
      <c r="D150" s="19">
        <f ca="1">((D42-2*K69-K71-K72))/(K73)</f>
        <v>0.83709579280596713</v>
      </c>
      <c r="E150" s="64"/>
      <c r="F150" s="68" t="s">
        <v>245</v>
      </c>
      <c r="G150" s="65"/>
      <c r="H150" s="65"/>
      <c r="I150" s="65"/>
      <c r="J150" s="65"/>
      <c r="K150" s="47"/>
      <c r="L150" s="5"/>
    </row>
    <row r="151" spans="1:12" s="2" customFormat="1" ht="13">
      <c r="A151" s="46">
        <v>16</v>
      </c>
      <c r="B151" s="65" t="s">
        <v>246</v>
      </c>
      <c r="C151" s="64"/>
      <c r="D151" s="19">
        <f ca="1">(D142*D54-D142*D53)*(((B16*D147/(2*B12*B13))*((1-D77/D76)*(D42-2*K69-K71-K72)*0.0001)^2)/(D75-D75+(D142*D54-D142*D53))^0.5)</f>
        <v>0.5092360286230968</v>
      </c>
      <c r="E151" s="64" t="s">
        <v>233</v>
      </c>
      <c r="F151" s="68" t="s">
        <v>247</v>
      </c>
      <c r="G151" s="65"/>
      <c r="H151" s="65"/>
      <c r="I151" s="65"/>
      <c r="J151" s="65"/>
      <c r="K151" s="47"/>
      <c r="L151" s="5"/>
    </row>
    <row r="152" spans="1:12" s="2" customFormat="1" ht="13">
      <c r="A152" s="46">
        <v>17</v>
      </c>
      <c r="B152" s="67" t="s">
        <v>195</v>
      </c>
      <c r="C152" s="64"/>
      <c r="D152" s="17">
        <f>D116</f>
        <v>300000000000</v>
      </c>
      <c r="E152" s="64" t="s">
        <v>67</v>
      </c>
      <c r="F152" s="68" t="s">
        <v>248</v>
      </c>
      <c r="G152" s="65"/>
      <c r="H152" s="65"/>
      <c r="I152" s="65"/>
      <c r="J152" s="65"/>
      <c r="K152" s="47"/>
      <c r="L152" s="5"/>
    </row>
    <row r="153" spans="1:12" s="2" customFormat="1" ht="13">
      <c r="A153" s="46">
        <v>18</v>
      </c>
      <c r="B153" s="67" t="s">
        <v>170</v>
      </c>
      <c r="C153" s="64"/>
      <c r="D153" s="17">
        <f ca="1">D105</f>
        <v>3.3962536468285174E-10</v>
      </c>
      <c r="E153" s="64" t="s">
        <v>171</v>
      </c>
      <c r="F153" s="68" t="s">
        <v>249</v>
      </c>
      <c r="G153" s="65"/>
      <c r="H153" s="65"/>
      <c r="I153" s="65"/>
      <c r="J153" s="65"/>
      <c r="K153" s="47"/>
      <c r="L153" s="5"/>
    </row>
    <row r="154" spans="1:12" s="2" customFormat="1" ht="13">
      <c r="A154" s="46">
        <v>19</v>
      </c>
      <c r="B154" s="67" t="s">
        <v>173</v>
      </c>
      <c r="C154" s="64"/>
      <c r="D154" s="17">
        <f ca="1">D106</f>
        <v>3.3962536468285174E-10</v>
      </c>
      <c r="E154" s="64" t="s">
        <v>171</v>
      </c>
      <c r="F154" s="68" t="s">
        <v>250</v>
      </c>
      <c r="G154" s="65"/>
      <c r="H154" s="65"/>
      <c r="I154" s="65"/>
      <c r="J154" s="65"/>
      <c r="K154" s="47"/>
      <c r="L154" s="5"/>
    </row>
    <row r="155" spans="1:12" s="2" customFormat="1" ht="13">
      <c r="A155" s="46">
        <v>20</v>
      </c>
      <c r="B155" s="67" t="s">
        <v>175</v>
      </c>
      <c r="C155" s="64"/>
      <c r="D155" s="17">
        <f>D107</f>
        <v>5.7524999999999995E-10</v>
      </c>
      <c r="E155" s="64" t="s">
        <v>171</v>
      </c>
      <c r="F155" s="68" t="s">
        <v>251</v>
      </c>
      <c r="G155" s="65"/>
      <c r="H155" s="65"/>
      <c r="I155" s="65"/>
      <c r="J155" s="65"/>
      <c r="K155" s="47"/>
      <c r="L155" s="5"/>
    </row>
    <row r="156" spans="1:12" s="2" customFormat="1" ht="13">
      <c r="A156" s="46">
        <v>21</v>
      </c>
      <c r="B156" s="67" t="s">
        <v>168</v>
      </c>
      <c r="C156" s="64"/>
      <c r="D156" s="18">
        <f>D104</f>
        <v>0.92415732240438286</v>
      </c>
      <c r="E156" s="64" t="s">
        <v>230</v>
      </c>
      <c r="F156" s="69" t="s">
        <v>169</v>
      </c>
      <c r="G156" s="65"/>
      <c r="H156" s="65"/>
      <c r="I156" s="65"/>
      <c r="J156" s="65"/>
      <c r="K156" s="47"/>
      <c r="L156" s="5"/>
    </row>
    <row r="157" spans="1:12" s="2" customFormat="1" ht="13">
      <c r="A157" s="52">
        <v>22</v>
      </c>
      <c r="B157" s="70" t="s">
        <v>252</v>
      </c>
      <c r="C157" s="54"/>
      <c r="D157" s="18">
        <v>0.4</v>
      </c>
      <c r="E157" s="54"/>
      <c r="F157" s="55" t="s">
        <v>253</v>
      </c>
      <c r="G157" s="70"/>
      <c r="H157" s="70"/>
      <c r="I157" s="70"/>
      <c r="J157" s="70"/>
      <c r="K157" s="71"/>
      <c r="L157" s="5"/>
    </row>
    <row r="158" spans="1:12" s="2" customFormat="1" ht="13" hidden="1">
      <c r="A158" s="14" t="s">
        <v>254</v>
      </c>
      <c r="B158" s="5"/>
      <c r="C158" s="1"/>
      <c r="D158" s="5"/>
      <c r="E158" s="1"/>
      <c r="F158" s="5"/>
      <c r="G158" s="5"/>
      <c r="H158" s="5"/>
      <c r="I158" s="5"/>
      <c r="J158" s="5"/>
      <c r="K158" s="5"/>
      <c r="L158" s="5"/>
    </row>
    <row r="159" spans="1:12" s="2" customFormat="1" ht="13" hidden="1">
      <c r="A159" s="13"/>
      <c r="B159" s="5"/>
      <c r="C159" s="1"/>
      <c r="D159" s="5"/>
      <c r="E159" s="1"/>
      <c r="F159" s="5"/>
      <c r="G159" s="5"/>
      <c r="H159" s="5"/>
      <c r="I159" s="5"/>
      <c r="J159" s="5"/>
      <c r="K159" s="5"/>
      <c r="L159" s="5"/>
    </row>
    <row r="160" spans="1:12" s="2" customFormat="1" ht="13" hidden="1">
      <c r="A160" s="13" t="s">
        <v>255</v>
      </c>
      <c r="B160" s="5"/>
      <c r="C160" s="1"/>
      <c r="D160" s="5"/>
      <c r="E160" s="1"/>
      <c r="F160" s="5"/>
      <c r="G160" s="5"/>
      <c r="H160" s="5"/>
      <c r="I160" s="5"/>
      <c r="J160" s="13"/>
      <c r="K160" s="13"/>
      <c r="L160" s="5"/>
    </row>
    <row r="161" spans="1:12" s="2" customFormat="1" ht="13" hidden="1">
      <c r="A161" s="32" t="s">
        <v>256</v>
      </c>
      <c r="B161" s="13"/>
      <c r="C161" s="5"/>
      <c r="D161" s="13"/>
      <c r="E161" s="13"/>
      <c r="F161" s="13"/>
      <c r="G161" s="13"/>
      <c r="H161" s="13"/>
      <c r="I161" s="13"/>
      <c r="J161" s="1"/>
      <c r="K161" s="13"/>
      <c r="L161" s="1"/>
    </row>
    <row r="162" spans="1:12" s="2" customFormat="1" ht="13" hidden="1">
      <c r="A162" s="23" t="s">
        <v>257</v>
      </c>
      <c r="B162" s="1"/>
      <c r="C162" s="1"/>
      <c r="D162" s="1"/>
      <c r="E162" s="1"/>
      <c r="F162" s="1"/>
      <c r="G162" s="1"/>
      <c r="H162" s="1"/>
      <c r="I162" s="1"/>
      <c r="J162" s="13"/>
      <c r="K162" s="13"/>
      <c r="L162" s="13"/>
    </row>
    <row r="163" spans="1:12" s="35" customFormat="1" ht="13" hidden="1">
      <c r="A163" s="32" t="s">
        <v>258</v>
      </c>
      <c r="B163" s="13"/>
      <c r="C163" s="13"/>
      <c r="D163" s="13"/>
      <c r="E163" s="13"/>
      <c r="F163" s="13"/>
      <c r="G163" s="13"/>
      <c r="H163" s="13"/>
      <c r="I163" s="13"/>
      <c r="J163" s="1"/>
      <c r="K163" s="1"/>
      <c r="L163" s="5"/>
    </row>
    <row r="164" spans="1:12" s="2" customFormat="1" ht="13" hidden="1">
      <c r="A164" s="5"/>
      <c r="B164" s="5"/>
      <c r="C164" s="1"/>
      <c r="D164" s="5"/>
      <c r="E164" s="1"/>
      <c r="F164" s="5"/>
      <c r="G164" s="1"/>
      <c r="H164" s="1"/>
      <c r="I164" s="1"/>
      <c r="J164" s="5"/>
      <c r="K164" s="5"/>
      <c r="L164" s="5"/>
    </row>
    <row r="165" spans="1:12" s="2" customFormat="1" ht="13" hidden="1">
      <c r="A165" s="13" t="s">
        <v>259</v>
      </c>
      <c r="B165" s="5"/>
      <c r="C165" s="1"/>
      <c r="D165" s="5"/>
      <c r="E165" s="1"/>
      <c r="F165" s="5"/>
      <c r="G165" s="5"/>
      <c r="H165" s="5"/>
      <c r="I165" s="5"/>
      <c r="J165" s="13"/>
      <c r="K165" s="13"/>
      <c r="L165" s="5"/>
    </row>
    <row r="166" spans="1:12" s="2" customFormat="1" ht="13" hidden="1">
      <c r="A166" s="32" t="s">
        <v>260</v>
      </c>
      <c r="B166" s="13"/>
      <c r="C166" s="5"/>
      <c r="D166" s="13"/>
      <c r="E166" s="13"/>
      <c r="F166" s="13"/>
      <c r="G166" s="13"/>
      <c r="H166" s="13"/>
      <c r="I166" s="13"/>
      <c r="J166" s="1"/>
      <c r="K166" s="13"/>
      <c r="L166" s="1"/>
    </row>
    <row r="167" spans="1:12" s="2" customFormat="1" ht="13" hidden="1">
      <c r="A167" s="23" t="s">
        <v>261</v>
      </c>
      <c r="B167" s="1"/>
      <c r="C167" s="1"/>
      <c r="D167" s="1"/>
      <c r="E167" s="1"/>
      <c r="F167" s="1"/>
      <c r="G167" s="1"/>
      <c r="H167" s="1"/>
      <c r="I167" s="1"/>
      <c r="J167" s="13"/>
      <c r="K167" s="13"/>
      <c r="L167" s="13"/>
    </row>
    <row r="168" spans="1:12" s="35" customFormat="1" ht="13" hidden="1">
      <c r="A168" s="32" t="s">
        <v>262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 s="35" customFormat="1" ht="13">
      <c r="A169" s="32"/>
      <c r="B169" s="13"/>
      <c r="C169" s="13"/>
      <c r="D169" s="13"/>
      <c r="E169" s="13"/>
      <c r="F169" s="13"/>
      <c r="G169" s="13"/>
      <c r="H169" s="13"/>
      <c r="I169" s="13"/>
      <c r="J169" s="5"/>
      <c r="K169" s="5"/>
      <c r="L169" s="5"/>
    </row>
    <row r="170" spans="1:12" s="2" customFormat="1" ht="13">
      <c r="A170" s="14" t="s">
        <v>263</v>
      </c>
      <c r="B170" s="7"/>
      <c r="C170" s="5"/>
      <c r="D170" s="5"/>
      <c r="E170" s="5"/>
      <c r="F170" s="5"/>
      <c r="G170" s="33"/>
      <c r="H170" s="5"/>
      <c r="I170" s="5"/>
      <c r="J170" s="5"/>
      <c r="K170" s="5"/>
      <c r="L170" s="5"/>
    </row>
    <row r="171" spans="1:12" s="2" customFormat="1" ht="15" customHeight="1">
      <c r="A171" s="1" t="s">
        <v>264</v>
      </c>
      <c r="B171" s="7"/>
      <c r="C171" s="5"/>
      <c r="D171" s="5"/>
      <c r="E171" s="5"/>
      <c r="F171" s="5"/>
      <c r="G171" s="33"/>
      <c r="H171" s="5"/>
      <c r="I171" s="5"/>
      <c r="J171" s="5"/>
      <c r="K171" s="5"/>
      <c r="L171" s="5"/>
    </row>
    <row r="172" spans="1:12" s="2" customFormat="1" ht="15" customHeight="1">
      <c r="A172" s="13" t="s">
        <v>330</v>
      </c>
      <c r="B172" s="7"/>
      <c r="C172" s="5"/>
      <c r="D172" s="5"/>
      <c r="E172" s="5"/>
      <c r="F172" s="5"/>
      <c r="G172" s="33"/>
      <c r="H172" s="5"/>
      <c r="I172" s="5"/>
      <c r="J172" s="5"/>
      <c r="K172" s="5"/>
      <c r="L172" s="5"/>
    </row>
    <row r="173" spans="1:12" s="2" customFormat="1" ht="15" customHeight="1">
      <c r="A173" s="13"/>
      <c r="B173" s="33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s="2" customFormat="1" ht="15" hidden="1" customHeight="1">
      <c r="A174" s="13"/>
      <c r="B174" s="33"/>
      <c r="C174" s="5"/>
      <c r="D174" s="5"/>
      <c r="E174" s="5"/>
      <c r="F174" s="27" t="s">
        <v>265</v>
      </c>
      <c r="G174" s="5"/>
      <c r="H174" s="5"/>
      <c r="I174" s="5"/>
      <c r="J174" s="5"/>
      <c r="K174" s="5"/>
      <c r="L174" s="5"/>
    </row>
    <row r="175" spans="1:12" s="2" customFormat="1" ht="15" hidden="1" customHeight="1">
      <c r="A175" s="13"/>
      <c r="B175" s="33"/>
      <c r="C175" s="5"/>
      <c r="D175" s="5"/>
      <c r="E175" s="5"/>
      <c r="F175" s="33" t="s">
        <v>266</v>
      </c>
      <c r="G175" s="5"/>
      <c r="H175" s="5"/>
      <c r="I175" s="5"/>
      <c r="J175" s="5"/>
      <c r="K175" s="5"/>
      <c r="L175" s="5"/>
    </row>
    <row r="176" spans="1:12" s="2" customFormat="1" ht="13">
      <c r="A176" s="41" t="s">
        <v>139</v>
      </c>
      <c r="B176" s="42" t="s">
        <v>137</v>
      </c>
      <c r="C176" s="42"/>
      <c r="D176" s="43" t="s">
        <v>223</v>
      </c>
      <c r="E176" s="42" t="s">
        <v>224</v>
      </c>
      <c r="F176" s="44"/>
      <c r="G176" s="43"/>
      <c r="H176" s="43"/>
      <c r="I176" s="43"/>
      <c r="J176" s="43"/>
      <c r="K176" s="45"/>
      <c r="L176" s="5"/>
    </row>
    <row r="177" spans="1:12" s="2" customFormat="1" ht="13">
      <c r="A177" s="46" t="s">
        <v>267</v>
      </c>
      <c r="B177" s="5" t="s">
        <v>142</v>
      </c>
      <c r="C177" s="1"/>
      <c r="D177" s="24">
        <v>49</v>
      </c>
      <c r="E177" s="1"/>
      <c r="F177" s="13" t="s">
        <v>268</v>
      </c>
      <c r="G177" s="33"/>
      <c r="H177" s="5"/>
      <c r="I177" s="5"/>
      <c r="J177" s="5"/>
      <c r="K177" s="47"/>
      <c r="L177" s="5"/>
    </row>
    <row r="178" spans="1:12" s="2" customFormat="1" ht="13">
      <c r="A178" s="46" t="s">
        <v>267</v>
      </c>
      <c r="B178" s="5" t="s">
        <v>269</v>
      </c>
      <c r="C178" s="1"/>
      <c r="D178" s="24">
        <v>3.1</v>
      </c>
      <c r="E178" s="1"/>
      <c r="F178" s="48" t="s">
        <v>270</v>
      </c>
      <c r="G178" s="5"/>
      <c r="H178" s="5"/>
      <c r="I178" s="5"/>
      <c r="J178" s="5"/>
      <c r="K178" s="47"/>
      <c r="L178" s="5"/>
    </row>
    <row r="179" spans="1:12" s="2" customFormat="1" ht="13">
      <c r="A179" s="46" t="s">
        <v>267</v>
      </c>
      <c r="B179" s="5" t="s">
        <v>271</v>
      </c>
      <c r="C179" s="1"/>
      <c r="D179" s="24">
        <v>1</v>
      </c>
      <c r="E179" s="1"/>
      <c r="F179" s="48" t="s">
        <v>272</v>
      </c>
      <c r="G179" s="5"/>
      <c r="H179" s="5"/>
      <c r="I179" s="5"/>
      <c r="J179" s="5"/>
      <c r="K179" s="47"/>
      <c r="L179" s="5"/>
    </row>
    <row r="180" spans="1:12" s="2" customFormat="1" ht="13">
      <c r="A180" s="46" t="s">
        <v>267</v>
      </c>
      <c r="B180" s="5" t="s">
        <v>273</v>
      </c>
      <c r="C180" s="1"/>
      <c r="D180" s="24">
        <v>2</v>
      </c>
      <c r="E180" s="1"/>
      <c r="F180" s="48" t="s">
        <v>274</v>
      </c>
      <c r="G180" s="5"/>
      <c r="H180" s="5"/>
      <c r="I180" s="5"/>
      <c r="J180" s="5"/>
      <c r="K180" s="47"/>
      <c r="L180" s="5"/>
    </row>
    <row r="181" spans="1:12" s="2" customFormat="1" ht="13">
      <c r="A181" s="46" t="s">
        <v>275</v>
      </c>
      <c r="B181" s="34" t="s">
        <v>276</v>
      </c>
      <c r="C181" s="1"/>
      <c r="D181" s="17">
        <f>D138</f>
        <v>8.9999999999999995E-9</v>
      </c>
      <c r="E181" s="1" t="s">
        <v>191</v>
      </c>
      <c r="F181" s="13" t="s">
        <v>277</v>
      </c>
      <c r="G181" s="5"/>
      <c r="H181" s="5"/>
      <c r="I181" s="5"/>
      <c r="J181" s="5"/>
      <c r="K181" s="47"/>
      <c r="L181" s="5"/>
    </row>
    <row r="182" spans="1:12" s="2" customFormat="1" ht="13">
      <c r="A182" s="46" t="s">
        <v>275</v>
      </c>
      <c r="B182" s="34" t="s">
        <v>199</v>
      </c>
      <c r="C182" s="1"/>
      <c r="D182" s="17">
        <f ca="1">D148</f>
        <v>1.8449878568168823E-7</v>
      </c>
      <c r="E182" s="1" t="s">
        <v>191</v>
      </c>
      <c r="F182" s="13" t="s">
        <v>278</v>
      </c>
      <c r="G182" s="5"/>
      <c r="H182" s="5"/>
      <c r="I182" s="5"/>
      <c r="J182" s="5"/>
      <c r="K182" s="47"/>
      <c r="L182" s="5"/>
    </row>
    <row r="183" spans="1:12" s="2" customFormat="1" ht="13">
      <c r="A183" s="46" t="s">
        <v>275</v>
      </c>
      <c r="B183" s="34" t="s">
        <v>279</v>
      </c>
      <c r="C183" s="1"/>
      <c r="D183" s="17">
        <f>K44</f>
        <v>4.228726868898264E+16</v>
      </c>
      <c r="E183" s="1" t="s">
        <v>12</v>
      </c>
      <c r="F183" s="13" t="s">
        <v>280</v>
      </c>
      <c r="G183" s="5"/>
      <c r="H183" s="5"/>
      <c r="I183" s="5"/>
      <c r="J183" s="5"/>
      <c r="K183" s="47"/>
      <c r="L183" s="5"/>
    </row>
    <row r="184" spans="1:12" s="2" customFormat="1" ht="13">
      <c r="A184" s="46" t="s">
        <v>275</v>
      </c>
      <c r="B184" s="34" t="s">
        <v>192</v>
      </c>
      <c r="C184" s="1"/>
      <c r="D184" s="17">
        <f>K46</f>
        <v>1.7543595476053842E+16</v>
      </c>
      <c r="E184" s="1" t="s">
        <v>12</v>
      </c>
      <c r="F184" s="13" t="s">
        <v>281</v>
      </c>
      <c r="G184" s="5"/>
      <c r="H184" s="5"/>
      <c r="I184" s="5"/>
      <c r="J184" s="5"/>
      <c r="K184" s="47"/>
      <c r="L184" s="5"/>
    </row>
    <row r="185" spans="1:12" s="2" customFormat="1" ht="13">
      <c r="A185" s="46" t="s">
        <v>275</v>
      </c>
      <c r="B185" s="34" t="s">
        <v>282</v>
      </c>
      <c r="C185" s="1"/>
      <c r="D185" s="17">
        <f>K51*0.000001</f>
        <v>2.3897294288305425E-7</v>
      </c>
      <c r="E185" s="1" t="s">
        <v>191</v>
      </c>
      <c r="F185" s="13" t="s">
        <v>283</v>
      </c>
      <c r="G185" s="5"/>
      <c r="H185" s="5"/>
      <c r="I185" s="5"/>
      <c r="J185" s="5"/>
      <c r="K185" s="47"/>
      <c r="L185" s="5"/>
    </row>
    <row r="186" spans="1:12" s="2" customFormat="1" ht="13">
      <c r="A186" s="46" t="s">
        <v>275</v>
      </c>
      <c r="B186" s="34" t="s">
        <v>72</v>
      </c>
      <c r="C186" s="1"/>
      <c r="D186" s="17">
        <f>D152</f>
        <v>300000000000</v>
      </c>
      <c r="E186" s="1" t="s">
        <v>67</v>
      </c>
      <c r="F186" s="1" t="s">
        <v>284</v>
      </c>
      <c r="G186" s="5"/>
      <c r="H186" s="5"/>
      <c r="I186" s="5"/>
      <c r="J186" s="5"/>
      <c r="K186" s="47"/>
      <c r="L186" s="5"/>
    </row>
    <row r="187" spans="1:12" s="2" customFormat="1" ht="13">
      <c r="A187" s="46" t="s">
        <v>285</v>
      </c>
      <c r="B187" s="34" t="s">
        <v>286</v>
      </c>
      <c r="C187" s="1"/>
      <c r="D187" s="18">
        <f>K59</f>
        <v>4.8184827393719836</v>
      </c>
      <c r="E187" s="1" t="s">
        <v>230</v>
      </c>
      <c r="F187" s="13" t="s">
        <v>287</v>
      </c>
      <c r="G187" s="5"/>
      <c r="H187" s="5"/>
      <c r="I187" s="5"/>
      <c r="J187" s="5"/>
      <c r="K187" s="47"/>
      <c r="L187" s="5"/>
    </row>
    <row r="188" spans="1:12" s="2" customFormat="1" ht="13">
      <c r="A188" s="46" t="s">
        <v>285</v>
      </c>
      <c r="B188" s="34" t="s">
        <v>288</v>
      </c>
      <c r="C188" s="1"/>
      <c r="D188" s="18">
        <f>D121*2</f>
        <v>1056.9714526477692</v>
      </c>
      <c r="E188" s="1" t="s">
        <v>47</v>
      </c>
      <c r="F188" s="1" t="s">
        <v>289</v>
      </c>
      <c r="G188" s="5"/>
      <c r="H188" s="5"/>
      <c r="I188" s="5"/>
      <c r="J188" s="5"/>
      <c r="K188" s="47"/>
      <c r="L188" s="5"/>
    </row>
    <row r="189" spans="1:12" s="2" customFormat="1" ht="13">
      <c r="A189" s="46" t="s">
        <v>285</v>
      </c>
      <c r="B189" s="49" t="s">
        <v>290</v>
      </c>
      <c r="C189" s="1"/>
      <c r="D189" s="36">
        <v>1.9999999999999999E-7</v>
      </c>
      <c r="E189" s="1" t="s">
        <v>191</v>
      </c>
      <c r="F189" s="13" t="s">
        <v>291</v>
      </c>
      <c r="G189" s="5"/>
      <c r="H189" s="5"/>
      <c r="I189" s="5"/>
      <c r="J189" s="5"/>
      <c r="K189" s="47"/>
      <c r="L189" s="5"/>
    </row>
    <row r="190" spans="1:12" s="2" customFormat="1" ht="13">
      <c r="A190" s="46" t="s">
        <v>285</v>
      </c>
      <c r="B190" s="34" t="s">
        <v>292</v>
      </c>
      <c r="C190" s="1"/>
      <c r="D190" s="17">
        <f ca="1">D182</f>
        <v>1.8449878568168823E-7</v>
      </c>
      <c r="E190" s="1" t="s">
        <v>191</v>
      </c>
      <c r="F190" s="13" t="s">
        <v>293</v>
      </c>
      <c r="G190" s="5"/>
      <c r="H190" s="5"/>
      <c r="I190" s="5"/>
      <c r="J190" s="5"/>
      <c r="K190" s="47"/>
      <c r="L190" s="5"/>
    </row>
    <row r="191" spans="1:12" s="2" customFormat="1" ht="13">
      <c r="A191" s="46" t="s">
        <v>285</v>
      </c>
      <c r="B191" s="49" t="s">
        <v>294</v>
      </c>
      <c r="C191" s="1"/>
      <c r="D191" s="18">
        <v>5</v>
      </c>
      <c r="E191" s="1"/>
      <c r="F191" s="13" t="s">
        <v>295</v>
      </c>
      <c r="G191" s="5"/>
      <c r="H191" s="5"/>
      <c r="I191" s="5"/>
      <c r="J191" s="5"/>
      <c r="K191" s="47"/>
      <c r="L191" s="5"/>
    </row>
    <row r="192" spans="1:12" s="2" customFormat="1" ht="13">
      <c r="A192" s="46" t="s">
        <v>285</v>
      </c>
      <c r="B192" s="49" t="s">
        <v>296</v>
      </c>
      <c r="C192" s="1"/>
      <c r="D192" s="17">
        <v>5E+20</v>
      </c>
      <c r="E192" s="1" t="s">
        <v>297</v>
      </c>
      <c r="F192" s="13" t="s">
        <v>298</v>
      </c>
      <c r="G192" s="5"/>
      <c r="H192" s="5"/>
      <c r="I192" s="5"/>
      <c r="J192" s="5"/>
      <c r="K192" s="47"/>
      <c r="L192" s="5"/>
    </row>
    <row r="193" spans="1:12" s="2" customFormat="1" ht="13">
      <c r="A193" s="46" t="s">
        <v>299</v>
      </c>
      <c r="B193" s="34" t="s">
        <v>178</v>
      </c>
      <c r="C193" s="1"/>
      <c r="D193" s="18">
        <f ca="1">K64</f>
        <v>1082.5506722851767</v>
      </c>
      <c r="E193" s="1" t="s">
        <v>300</v>
      </c>
      <c r="F193" s="13" t="s">
        <v>301</v>
      </c>
      <c r="G193" s="5"/>
      <c r="H193" s="5"/>
      <c r="I193" s="5"/>
      <c r="J193" s="5"/>
      <c r="K193" s="47"/>
      <c r="L193" s="5"/>
    </row>
    <row r="194" spans="1:12" s="2" customFormat="1" ht="13">
      <c r="A194" s="46" t="s">
        <v>299</v>
      </c>
      <c r="B194" s="34" t="s">
        <v>189</v>
      </c>
      <c r="C194" s="1"/>
      <c r="D194" s="17">
        <f>K75</f>
        <v>135312031475.45657</v>
      </c>
      <c r="E194" s="1" t="s">
        <v>110</v>
      </c>
      <c r="F194" s="13" t="s">
        <v>302</v>
      </c>
      <c r="G194" s="5"/>
      <c r="H194" s="5"/>
      <c r="I194" s="5"/>
      <c r="J194" s="5"/>
      <c r="K194" s="47"/>
      <c r="L194" s="5"/>
    </row>
    <row r="195" spans="1:12" s="2" customFormat="1" ht="13">
      <c r="A195" s="46" t="s">
        <v>299</v>
      </c>
      <c r="B195" s="34" t="s">
        <v>303</v>
      </c>
      <c r="C195" s="1"/>
      <c r="D195" s="17">
        <f>K75</f>
        <v>135312031475.45657</v>
      </c>
      <c r="E195" s="1" t="s">
        <v>304</v>
      </c>
      <c r="F195" s="13" t="s">
        <v>305</v>
      </c>
      <c r="G195" s="5"/>
      <c r="H195" s="5"/>
      <c r="I195" s="5"/>
      <c r="J195" s="5"/>
      <c r="K195" s="47"/>
      <c r="L195" s="5"/>
    </row>
    <row r="196" spans="1:12" s="2" customFormat="1" ht="13">
      <c r="A196" s="46" t="s">
        <v>299</v>
      </c>
      <c r="B196" s="34" t="s">
        <v>180</v>
      </c>
      <c r="C196" s="1"/>
      <c r="D196" s="17">
        <f>D109</f>
        <v>3.9654813128217576E-4</v>
      </c>
      <c r="E196" s="1" t="s">
        <v>181</v>
      </c>
      <c r="F196" s="13" t="s">
        <v>306</v>
      </c>
      <c r="G196" s="5"/>
      <c r="H196" s="5"/>
      <c r="I196" s="5"/>
      <c r="J196" s="5"/>
      <c r="K196" s="47"/>
      <c r="L196" s="5"/>
    </row>
    <row r="197" spans="1:12" s="2" customFormat="1" ht="13">
      <c r="A197" s="46" t="s">
        <v>299</v>
      </c>
      <c r="B197" s="34" t="s">
        <v>183</v>
      </c>
      <c r="C197" s="1"/>
      <c r="D197" s="24">
        <v>0.5</v>
      </c>
      <c r="E197" s="1"/>
      <c r="F197" s="13" t="s">
        <v>307</v>
      </c>
      <c r="G197" s="5"/>
      <c r="H197" s="5"/>
      <c r="I197" s="5"/>
      <c r="J197" s="1"/>
      <c r="K197" s="50"/>
      <c r="L197" s="1"/>
    </row>
    <row r="198" spans="1:12" s="2" customFormat="1" ht="13">
      <c r="A198" s="46" t="s">
        <v>299</v>
      </c>
      <c r="B198" s="34" t="s">
        <v>168</v>
      </c>
      <c r="C198" s="1"/>
      <c r="D198" s="18">
        <f>K74</f>
        <v>0.92415732240438286</v>
      </c>
      <c r="E198" s="1" t="s">
        <v>230</v>
      </c>
      <c r="F198" s="51" t="s">
        <v>169</v>
      </c>
      <c r="G198" s="1"/>
      <c r="H198" s="1"/>
      <c r="I198" s="1"/>
      <c r="J198" s="1"/>
      <c r="K198" s="50"/>
      <c r="L198" s="1"/>
    </row>
    <row r="199" spans="1:12" s="2" customFormat="1" ht="13">
      <c r="A199" s="46" t="s">
        <v>299</v>
      </c>
      <c r="B199" s="34" t="s">
        <v>185</v>
      </c>
      <c r="C199" s="1"/>
      <c r="D199" s="17">
        <f ca="1">D111</f>
        <v>1.2554511157211642E-10</v>
      </c>
      <c r="E199" s="1" t="s">
        <v>171</v>
      </c>
      <c r="F199" s="13" t="s">
        <v>308</v>
      </c>
      <c r="G199" s="1"/>
      <c r="H199" s="1"/>
      <c r="I199" s="1"/>
      <c r="J199" s="1"/>
      <c r="K199" s="50"/>
      <c r="L199" s="1"/>
    </row>
    <row r="200" spans="1:12" s="2" customFormat="1" ht="13">
      <c r="A200" s="46" t="s">
        <v>299</v>
      </c>
      <c r="B200" s="34" t="s">
        <v>187</v>
      </c>
      <c r="C200" s="1"/>
      <c r="D200" s="24">
        <v>0.5</v>
      </c>
      <c r="E200" s="1"/>
      <c r="F200" s="13" t="s">
        <v>309</v>
      </c>
      <c r="G200" s="1"/>
      <c r="H200" s="1"/>
      <c r="I200" s="1"/>
      <c r="J200" s="1"/>
      <c r="K200" s="50"/>
      <c r="L200" s="1"/>
    </row>
    <row r="201" spans="1:12" s="2" customFormat="1" ht="13">
      <c r="A201" s="46" t="s">
        <v>299</v>
      </c>
      <c r="B201" s="34" t="s">
        <v>310</v>
      </c>
      <c r="C201" s="1"/>
      <c r="D201" s="18">
        <f>K74</f>
        <v>0.92415732240438286</v>
      </c>
      <c r="E201" s="1" t="s">
        <v>230</v>
      </c>
      <c r="F201" s="51" t="s">
        <v>311</v>
      </c>
      <c r="G201" s="1"/>
      <c r="H201" s="1"/>
      <c r="I201" s="1"/>
      <c r="J201" s="1"/>
      <c r="K201" s="50"/>
      <c r="L201" s="1"/>
    </row>
    <row r="202" spans="1:12" s="2" customFormat="1" ht="13">
      <c r="A202" s="46" t="s">
        <v>312</v>
      </c>
      <c r="B202" s="34" t="s">
        <v>313</v>
      </c>
      <c r="C202" s="1"/>
      <c r="D202" s="17">
        <f ca="1">D153</f>
        <v>3.3962536468285174E-10</v>
      </c>
      <c r="E202" s="1" t="s">
        <v>171</v>
      </c>
      <c r="F202" s="13" t="s">
        <v>314</v>
      </c>
      <c r="G202" s="1"/>
      <c r="H202" s="1"/>
      <c r="I202" s="1"/>
      <c r="J202" s="1"/>
      <c r="K202" s="50"/>
      <c r="L202" s="1"/>
    </row>
    <row r="203" spans="1:12" s="2" customFormat="1" ht="13">
      <c r="A203" s="46" t="s">
        <v>312</v>
      </c>
      <c r="B203" s="34" t="s">
        <v>315</v>
      </c>
      <c r="C203" s="1"/>
      <c r="D203" s="17">
        <f ca="1">D154</f>
        <v>3.3962536468285174E-10</v>
      </c>
      <c r="E203" s="1" t="s">
        <v>171</v>
      </c>
      <c r="F203" s="13" t="s">
        <v>316</v>
      </c>
      <c r="G203" s="1"/>
      <c r="H203" s="1"/>
      <c r="I203" s="1"/>
      <c r="J203" s="1"/>
      <c r="K203" s="50"/>
      <c r="L203" s="1"/>
    </row>
    <row r="204" spans="1:12" s="2" customFormat="1" ht="13">
      <c r="A204" s="52" t="s">
        <v>312</v>
      </c>
      <c r="B204" s="53" t="s">
        <v>317</v>
      </c>
      <c r="C204" s="54"/>
      <c r="D204" s="17">
        <f>D155</f>
        <v>5.7524999999999995E-10</v>
      </c>
      <c r="E204" s="54" t="s">
        <v>171</v>
      </c>
      <c r="F204" s="55" t="s">
        <v>318</v>
      </c>
      <c r="G204" s="54"/>
      <c r="H204" s="54"/>
      <c r="I204" s="54"/>
      <c r="J204" s="54"/>
      <c r="K204" s="56"/>
      <c r="L204" s="1"/>
    </row>
    <row r="205" spans="1:12" s="2" customFormat="1" ht="13">
      <c r="A205" s="5"/>
      <c r="B205" s="5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s="2" customFormat="1" ht="13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6"/>
  <sheetViews>
    <sheetView zoomScale="220" zoomScaleNormal="220" workbookViewId="0">
      <selection activeCell="C8" sqref="C8"/>
    </sheetView>
  </sheetViews>
  <sheetFormatPr baseColWidth="10" defaultColWidth="8.83203125" defaultRowHeight="15"/>
  <cols>
    <col min="3" max="3" width="44.33203125" customWidth="1"/>
  </cols>
  <sheetData>
    <row r="3" spans="2:3">
      <c r="B3" s="58" t="s">
        <v>327</v>
      </c>
      <c r="C3" s="58"/>
    </row>
    <row r="4" spans="2:3">
      <c r="B4" s="57" t="s">
        <v>322</v>
      </c>
      <c r="C4" s="57" t="s">
        <v>326</v>
      </c>
    </row>
    <row r="5" spans="2:3">
      <c r="B5" s="57" t="s">
        <v>323</v>
      </c>
      <c r="C5" s="57" t="s">
        <v>324</v>
      </c>
    </row>
    <row r="6" spans="2:3">
      <c r="B6" s="57" t="s">
        <v>322</v>
      </c>
      <c r="C6" s="57" t="s">
        <v>325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 L=0.12 0.1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HoangTrang</dc:creator>
  <cp:lastModifiedBy>Steve Dang</cp:lastModifiedBy>
  <dcterms:created xsi:type="dcterms:W3CDTF">2014-07-29T15:08:15Z</dcterms:created>
  <dcterms:modified xsi:type="dcterms:W3CDTF">2024-02-15T14:18:45Z</dcterms:modified>
</cp:coreProperties>
</file>