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028"/>
  <workbookPr/>
  <mc:AlternateContent xmlns:mc="http://schemas.openxmlformats.org/markup-compatibility/2006">
    <mc:Choice Requires="x15">
      <x15ac:absPath xmlns:x15ac="http://schemas.microsoft.com/office/spreadsheetml/2010/11/ac" url="D:\a\ls1\clk\"/>
    </mc:Choice>
  </mc:AlternateContent>
  <xr:revisionPtr revIDLastSave="0" documentId="13_ncr:1_{E86E9B42-C64D-4AD5-B369-6C5D92D8AA69}" xr6:coauthVersionLast="47" xr6:coauthVersionMax="47" xr10:uidLastSave="{00000000-0000-0000-0000-000000000000}"/>
  <bookViews>
    <workbookView xWindow="3285" yWindow="2175" windowWidth="28800" windowHeight="15435" xr2:uid="{00000000-000D-0000-FFFF-FFFF00000000}"/>
  </bookViews>
  <sheets>
    <sheet name="in" sheetId="1" r:id="rId1"/>
    <sheet name="位段定义" sheetId="5" r:id="rId2"/>
    <sheet name="自动生成代码" sheetId="3" r:id="rId3"/>
  </sheets>
  <definedNames>
    <definedName name="_xlnm._FilterDatabase" localSheetId="0" hidden="1">in!$G$34:$K$41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14" i="3" l="1"/>
  <c r="I14" i="3" s="1"/>
  <c r="I30" i="3" s="1"/>
  <c r="I24" i="3"/>
  <c r="I23" i="3"/>
  <c r="I34" i="3"/>
  <c r="M13" i="5"/>
  <c r="M14" i="5"/>
  <c r="M15" i="5"/>
  <c r="M16" i="5"/>
  <c r="M17" i="5"/>
  <c r="M18" i="5"/>
  <c r="M19" i="5"/>
  <c r="M20" i="5"/>
  <c r="M21" i="5"/>
  <c r="M22" i="5"/>
  <c r="M25" i="5"/>
  <c r="M4" i="5"/>
  <c r="M5" i="5"/>
  <c r="M6" i="5"/>
  <c r="M7" i="5"/>
  <c r="M8" i="5"/>
  <c r="M9" i="5"/>
  <c r="M10" i="5"/>
  <c r="I37" i="3"/>
  <c r="I39" i="3"/>
  <c r="H28" i="3"/>
  <c r="I35" i="3" s="1"/>
  <c r="H29" i="3"/>
  <c r="I36" i="3" s="1"/>
  <c r="H5" i="3"/>
  <c r="I41" i="3"/>
  <c r="I45" i="3"/>
  <c r="I40" i="3"/>
  <c r="C10" i="1"/>
  <c r="R9" i="1"/>
  <c r="J4" i="5"/>
  <c r="K4" i="5"/>
  <c r="J5" i="5"/>
  <c r="K5" i="5"/>
  <c r="J6" i="5"/>
  <c r="K6" i="5"/>
  <c r="J7" i="5"/>
  <c r="K7" i="5"/>
  <c r="J8" i="5"/>
  <c r="K8" i="5"/>
  <c r="J9" i="5"/>
  <c r="K9" i="5"/>
  <c r="J10" i="5"/>
  <c r="K10" i="5"/>
  <c r="J13" i="5"/>
  <c r="K13" i="5"/>
  <c r="J14" i="5"/>
  <c r="K14" i="5"/>
  <c r="J15" i="5"/>
  <c r="K15" i="5"/>
  <c r="J16" i="5"/>
  <c r="K16" i="5"/>
  <c r="J17" i="5"/>
  <c r="K17" i="5"/>
  <c r="J18" i="5"/>
  <c r="K18" i="5"/>
  <c r="J19" i="5"/>
  <c r="K19" i="5"/>
  <c r="J20" i="5"/>
  <c r="K20" i="5"/>
  <c r="J21" i="5"/>
  <c r="K21" i="5"/>
  <c r="J22" i="5"/>
  <c r="K22" i="5"/>
  <c r="J25" i="5"/>
  <c r="K25" i="5"/>
  <c r="G17" i="3"/>
  <c r="H35" i="3"/>
  <c r="T26" i="1" l="1"/>
  <c r="T27" i="1"/>
  <c r="T28" i="1"/>
  <c r="T25" i="1"/>
  <c r="H21" i="3" l="1"/>
  <c r="H40" i="3"/>
  <c r="H45" i="3"/>
  <c r="H44" i="3"/>
  <c r="H41" i="3"/>
  <c r="H36" i="3"/>
  <c r="H34" i="3"/>
  <c r="M6" i="1" l="1"/>
  <c r="T6" i="1" s="1"/>
  <c r="I21" i="3" s="1"/>
  <c r="I48" i="3" l="1"/>
  <c r="H48" i="1"/>
  <c r="J48" i="1" s="1"/>
  <c r="K48" i="1" s="1"/>
  <c r="H49" i="1"/>
  <c r="J49" i="1" s="1"/>
  <c r="K49" i="1" s="1"/>
  <c r="J41" i="1"/>
  <c r="K41" i="1" s="1"/>
  <c r="Q43" i="1"/>
  <c r="R49" i="1"/>
  <c r="R50" i="1"/>
  <c r="R48" i="1"/>
  <c r="J30" i="1"/>
  <c r="H50" i="1" s="1"/>
  <c r="R51" i="1"/>
  <c r="Q36" i="1"/>
  <c r="Q39" i="1"/>
  <c r="J36" i="1"/>
  <c r="K36" i="1" s="1"/>
  <c r="J39" i="1"/>
  <c r="K39" i="1" s="1"/>
  <c r="J40" i="1"/>
  <c r="K40" i="1" s="1"/>
  <c r="J35" i="1"/>
  <c r="K35" i="1" s="1"/>
  <c r="M72" i="1"/>
  <c r="M73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0" i="1" l="1"/>
  <c r="K50" i="1" s="1"/>
  <c r="J59" i="1" l="1"/>
  <c r="D6" i="1"/>
  <c r="D11" i="1" s="1"/>
  <c r="H38" i="1" l="1"/>
  <c r="J38" i="1" s="1"/>
  <c r="K59" i="1"/>
  <c r="H13" i="3"/>
  <c r="I13" i="3" s="1"/>
  <c r="I29" i="3" s="1"/>
  <c r="O10" i="1"/>
  <c r="T10" i="1" s="1"/>
  <c r="M30" i="1"/>
  <c r="H37" i="1"/>
  <c r="C21" i="1" l="1"/>
  <c r="J21" i="3"/>
  <c r="K38" i="1"/>
  <c r="G51" i="3" l="1"/>
  <c r="G32" i="3"/>
  <c r="M25" i="1"/>
  <c r="M18" i="1"/>
  <c r="J19" i="1"/>
  <c r="J37" i="1"/>
  <c r="J43" i="1" s="1"/>
  <c r="K43" i="1" l="1"/>
  <c r="H12" i="3"/>
  <c r="I12" i="3" s="1"/>
  <c r="I28" i="3" s="1"/>
  <c r="K37" i="1"/>
</calcChain>
</file>

<file path=xl/sharedStrings.xml><?xml version="1.0" encoding="utf-8"?>
<sst xmlns="http://schemas.openxmlformats.org/spreadsheetml/2006/main" count="158" uniqueCount="117">
  <si>
    <t>OSC</t>
    <phoneticPr fontId="1" type="noConversion"/>
  </si>
  <si>
    <t>PLL</t>
    <phoneticPr fontId="1" type="noConversion"/>
  </si>
  <si>
    <t>XTAL</t>
    <phoneticPr fontId="1" type="noConversion"/>
  </si>
  <si>
    <t>CPU</t>
    <phoneticPr fontId="1" type="noConversion"/>
  </si>
  <si>
    <t>div_sdram</t>
    <phoneticPr fontId="1" type="noConversion"/>
  </si>
  <si>
    <t>SDRAM</t>
    <phoneticPr fontId="1" type="noConversion"/>
  </si>
  <si>
    <t>MHz</t>
    <phoneticPr fontId="1" type="noConversion"/>
  </si>
  <si>
    <t>START_FREQ</t>
    <phoneticPr fontId="1" type="noConversion"/>
  </si>
  <si>
    <t>CLK_DIV_PARAM</t>
    <phoneticPr fontId="1" type="noConversion"/>
  </si>
  <si>
    <t>pix_div</t>
    <phoneticPr fontId="1" type="noConversion"/>
  </si>
  <si>
    <t>cam_div</t>
    <phoneticPr fontId="1" type="noConversion"/>
  </si>
  <si>
    <t>cpu_div</t>
    <phoneticPr fontId="1" type="noConversion"/>
  </si>
  <si>
    <t>cpu_div</t>
    <phoneticPr fontId="1" type="noConversion"/>
  </si>
  <si>
    <t>DC</t>
    <phoneticPr fontId="1" type="noConversion"/>
  </si>
  <si>
    <t>CAMERA</t>
    <phoneticPr fontId="1" type="noConversion"/>
  </si>
  <si>
    <t>CPU</t>
    <phoneticPr fontId="1" type="noConversion"/>
  </si>
  <si>
    <t>MHz</t>
    <phoneticPr fontId="1" type="noConversion"/>
  </si>
  <si>
    <t>START_FREQ</t>
  </si>
  <si>
    <t>PLL_VALID</t>
  </si>
  <si>
    <t>Reserved</t>
  </si>
  <si>
    <t>FRAC_N</t>
  </si>
  <si>
    <t>M_PLL</t>
  </si>
  <si>
    <t>RST_TIME</t>
  </si>
  <si>
    <t>SDRAM_DIV</t>
  </si>
  <si>
    <t>高位</t>
    <phoneticPr fontId="1" type="noConversion"/>
  </si>
  <si>
    <t>低位</t>
    <phoneticPr fontId="1" type="noConversion"/>
  </si>
  <si>
    <t>缺省值</t>
    <phoneticPr fontId="1" type="noConversion"/>
  </si>
  <si>
    <t>数值</t>
    <phoneticPr fontId="1" type="noConversion"/>
  </si>
  <si>
    <t>十六进制</t>
    <phoneticPr fontId="1" type="noConversion"/>
  </si>
  <si>
    <t>配置值</t>
    <phoneticPr fontId="1" type="noConversion"/>
  </si>
  <si>
    <t>CLK_DIV_PARAM</t>
    <phoneticPr fontId="1" type="noConversion"/>
  </si>
  <si>
    <t>PIX_DIV</t>
    <phoneticPr fontId="1" type="noConversion"/>
  </si>
  <si>
    <t>CAM_DIV</t>
    <phoneticPr fontId="1" type="noConversion"/>
  </si>
  <si>
    <t>CPU_DIV</t>
    <phoneticPr fontId="1" type="noConversion"/>
  </si>
  <si>
    <t>PIX_DIV_VALID</t>
    <phoneticPr fontId="1" type="noConversion"/>
  </si>
  <si>
    <t>PIX_SEL</t>
    <phoneticPr fontId="1" type="noConversion"/>
  </si>
  <si>
    <t>CAM_DIV_VALID</t>
    <phoneticPr fontId="1" type="noConversion"/>
  </si>
  <si>
    <t>CAM_SEL</t>
    <phoneticPr fontId="1" type="noConversion"/>
  </si>
  <si>
    <t>CPU_DIV_VALID</t>
    <phoneticPr fontId="1" type="noConversion"/>
  </si>
  <si>
    <t>CPU_SEL</t>
    <phoneticPr fontId="1" type="noConversion"/>
  </si>
  <si>
    <t>Reserved</t>
    <phoneticPr fontId="1" type="noConversion"/>
  </si>
  <si>
    <t>FRAC_N[23:16]</t>
    <phoneticPr fontId="1" type="noConversion"/>
  </si>
  <si>
    <t>M_PLL[15:8]</t>
    <phoneticPr fontId="1" type="noConversion"/>
  </si>
  <si>
    <t>dhu@hodcarrier.org</t>
    <phoneticPr fontId="1" type="noConversion"/>
  </si>
  <si>
    <t>3：3分频</t>
    <phoneticPr fontId="1" type="noConversion"/>
  </si>
  <si>
    <t>2：3分频</t>
    <phoneticPr fontId="1" type="noConversion"/>
  </si>
  <si>
    <t>1：4分频</t>
    <phoneticPr fontId="1" type="noConversion"/>
  </si>
  <si>
    <t>0x24</t>
    <phoneticPr fontId="1" type="noConversion"/>
  </si>
  <si>
    <r>
      <t>00-</t>
    </r>
    <r>
      <rPr>
        <sz val="9"/>
        <color theme="1"/>
        <rFont val="宋体"/>
        <family val="2"/>
        <charset val="134"/>
      </rPr>
      <t>表示</t>
    </r>
    <r>
      <rPr>
        <sz val="9"/>
        <color theme="1"/>
        <rFont val="Courier New"/>
        <family val="3"/>
      </rPr>
      <t>2</t>
    </r>
    <r>
      <rPr>
        <sz val="9"/>
        <color theme="1"/>
        <rFont val="宋体"/>
        <family val="2"/>
        <charset val="134"/>
      </rPr>
      <t>分频</t>
    </r>
    <phoneticPr fontId="1" type="noConversion"/>
  </si>
  <si>
    <t>li</t>
    <phoneticPr fontId="1" type="noConversion"/>
  </si>
  <si>
    <t>sw</t>
    <phoneticPr fontId="1" type="noConversion"/>
  </si>
  <si>
    <t>sw</t>
    <phoneticPr fontId="1" type="noConversion"/>
  </si>
  <si>
    <t>ori</t>
    <phoneticPr fontId="1" type="noConversion"/>
  </si>
  <si>
    <t>*/</t>
    <phoneticPr fontId="1" type="noConversion"/>
  </si>
  <si>
    <r>
      <t>APB</t>
    </r>
    <r>
      <rPr>
        <sz val="9"/>
        <color theme="1"/>
        <rFont val="Arial Black"/>
        <family val="2"/>
      </rPr>
      <t>(SDRAM)</t>
    </r>
    <phoneticPr fontId="1" type="noConversion"/>
  </si>
  <si>
    <t>函数名</t>
    <phoneticPr fontId="1" type="noConversion"/>
  </si>
  <si>
    <t>基地址</t>
    <phoneticPr fontId="1" type="noConversion"/>
  </si>
  <si>
    <t>变量1</t>
    <phoneticPr fontId="1" type="noConversion"/>
  </si>
  <si>
    <t>变量2</t>
    <phoneticPr fontId="1" type="noConversion"/>
  </si>
  <si>
    <t>li</t>
    <phoneticPr fontId="1" type="noConversion"/>
  </si>
  <si>
    <t>v0,</t>
    <phoneticPr fontId="1" type="noConversion"/>
  </si>
  <si>
    <t>jr</t>
    <phoneticPr fontId="1" type="noConversion"/>
  </si>
  <si>
    <t>ra</t>
    <phoneticPr fontId="1" type="noConversion"/>
  </si>
  <si>
    <t>nop</t>
    <phoneticPr fontId="1" type="noConversion"/>
  </si>
  <si>
    <t>SPI</t>
    <phoneticPr fontId="1" type="noConversion"/>
  </si>
  <si>
    <t>CPU</t>
    <phoneticPr fontId="1" type="noConversion"/>
  </si>
  <si>
    <t>#ifndef</t>
    <phoneticPr fontId="1" type="noConversion"/>
  </si>
  <si>
    <t>CONFIG_SKIP_LOWLEVEL_INIT</t>
    <phoneticPr fontId="1" type="noConversion"/>
  </si>
  <si>
    <t>/* CONFIG_SKIP_LOWLEVEL_INIT */</t>
    <phoneticPr fontId="1" type="noConversion"/>
  </si>
  <si>
    <t>li</t>
    <phoneticPr fontId="1" type="noConversion"/>
  </si>
  <si>
    <t>/* CLK:</t>
    <phoneticPr fontId="1" type="noConversion"/>
  </si>
  <si>
    <t>cpu_throt</t>
    <phoneticPr fontId="1" type="noConversion"/>
  </si>
  <si>
    <t>0xbfe78000</t>
    <phoneticPr fontId="1" type="noConversion"/>
  </si>
  <si>
    <t>base address</t>
    <phoneticPr fontId="1" type="noConversion"/>
  </si>
  <si>
    <t>#define</t>
  </si>
  <si>
    <t>NAND_BASE</t>
  </si>
  <si>
    <t>CLK_DIV_PARAM</t>
  </si>
  <si>
    <t>/*</t>
    <phoneticPr fontId="1" type="noConversion"/>
  </si>
  <si>
    <t xml:space="preserve"> */</t>
    <phoneticPr fontId="1" type="noConversion"/>
  </si>
  <si>
    <r>
      <rPr>
        <sz val="14"/>
        <color rgb="FFFF0000"/>
        <rFont val="Arial Black"/>
        <family val="2"/>
      </rPr>
      <t>Loongson</t>
    </r>
    <r>
      <rPr>
        <sz val="14"/>
        <color theme="1"/>
        <rFont val="Arial Black"/>
        <family val="2"/>
      </rPr>
      <t xml:space="preserve"> LS1C300 Clock</t>
    </r>
    <phoneticPr fontId="1" type="noConversion"/>
  </si>
  <si>
    <t>name</t>
    <phoneticPr fontId="1" type="noConversion"/>
  </si>
  <si>
    <t>#define</t>
    <phoneticPr fontId="1" type="noConversion"/>
  </si>
  <si>
    <t>cpu_throt</t>
  </si>
  <si>
    <t>CPU_SEL</t>
  </si>
  <si>
    <t>CPU_DIV_VALID</t>
  </si>
  <si>
    <t>CAM_SEL</t>
  </si>
  <si>
    <t>CAM_DIV_VALID</t>
  </si>
  <si>
    <t>PIX_SEL</t>
  </si>
  <si>
    <t>PIX_DIV_VALID</t>
  </si>
  <si>
    <t>CPU_DIV</t>
  </si>
  <si>
    <t>CAM_DIV</t>
  </si>
  <si>
    <t>PIX_DIV</t>
  </si>
  <si>
    <t>CPU_SEL</t>
    <phoneticPr fontId="1" type="noConversion"/>
  </si>
  <si>
    <t>#define</t>
    <phoneticPr fontId="1" type="noConversion"/>
  </si>
  <si>
    <t>0x1</t>
    <phoneticPr fontId="1" type="noConversion"/>
  </si>
  <si>
    <t>#define</t>
    <phoneticPr fontId="1" type="noConversion"/>
  </si>
  <si>
    <t>t0</t>
    <phoneticPr fontId="1" type="noConversion"/>
  </si>
  <si>
    <t>t2</t>
    <phoneticPr fontId="1" type="noConversion"/>
  </si>
  <si>
    <t>t1</t>
    <phoneticPr fontId="1" type="noConversion"/>
  </si>
  <si>
    <t>任务</t>
    <phoneticPr fontId="1" type="noConversion"/>
  </si>
  <si>
    <t>配置CPU，内存，SPI的时钟。</t>
    <phoneticPr fontId="1" type="noConversion"/>
  </si>
  <si>
    <t>CFG_CPU_THROT</t>
    <phoneticPr fontId="1" type="noConversion"/>
  </si>
  <si>
    <t>CPU_THROT</t>
    <phoneticPr fontId="1" type="noConversion"/>
  </si>
  <si>
    <t>0x8030</t>
    <phoneticPr fontId="1" type="noConversion"/>
  </si>
  <si>
    <t>0x8034</t>
    <phoneticPr fontId="1" type="noConversion"/>
  </si>
  <si>
    <t>0xc010</t>
    <phoneticPr fontId="1" type="noConversion"/>
  </si>
  <si>
    <t>li</t>
    <phoneticPr fontId="1" type="noConversion"/>
  </si>
  <si>
    <t>t3,</t>
    <phoneticPr fontId="1" type="noConversion"/>
  </si>
  <si>
    <t>sw</t>
    <phoneticPr fontId="1" type="noConversion"/>
  </si>
  <si>
    <t>/* generated */</t>
    <phoneticPr fontId="1" type="noConversion"/>
  </si>
  <si>
    <t xml:space="preserve">  nop</t>
    <phoneticPr fontId="1" type="noConversion"/>
  </si>
  <si>
    <t>#endif</t>
    <phoneticPr fontId="1" type="noConversion"/>
  </si>
  <si>
    <t>0xbfe70000</t>
    <phoneticPr fontId="1" type="noConversion"/>
  </si>
  <si>
    <t>0xc010</t>
    <phoneticPr fontId="1" type="noConversion"/>
  </si>
  <si>
    <t>ls1c300_pll_init</t>
    <phoneticPr fontId="1" type="noConversion"/>
  </si>
  <si>
    <t>3：3分频</t>
  </si>
  <si>
    <t>0：2分频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</si>
</sst>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 Black"/>
      <family val="2"/>
    </font>
    <font>
      <sz val="9"/>
      <color theme="1"/>
      <name val="Courier New"/>
      <family val="3"/>
    </font>
    <font>
      <sz val="11"/>
      <color rgb="FFFF0000"/>
      <name val="Arial Black"/>
      <family val="2"/>
    </font>
    <font>
      <sz val="11"/>
      <color rgb="FF0070C0"/>
      <name val="Arial Black"/>
      <family val="2"/>
    </font>
    <font>
      <sz val="14"/>
      <color theme="1"/>
      <name val="Arial Black"/>
      <family val="2"/>
    </font>
    <font>
      <sz val="11"/>
      <color theme="1"/>
      <name val="Source Code Pro Black"/>
      <family val="3"/>
    </font>
    <font>
      <sz val="11"/>
      <color theme="1"/>
      <name val="Courier New"/>
      <family val="3"/>
    </font>
    <font>
      <sz val="9"/>
      <color theme="1"/>
      <name val="宋体"/>
      <family val="2"/>
      <charset val="134"/>
      <scheme val="minor"/>
    </font>
    <font>
      <u/>
      <sz val="11"/>
      <color theme="10"/>
      <name val="宋体"/>
      <family val="2"/>
      <charset val="134"/>
      <scheme val="minor"/>
    </font>
    <font>
      <sz val="11"/>
      <color rgb="FF0070C0"/>
      <name val="Source Code Pro Black"/>
      <family val="3"/>
    </font>
    <font>
      <sz val="9"/>
      <color theme="1"/>
      <name val="宋体"/>
      <family val="2"/>
      <charset val="134"/>
    </font>
    <font>
      <sz val="9"/>
      <color rgb="FF000000"/>
      <name val="宋体"/>
      <family val="3"/>
      <charset val="134"/>
    </font>
    <font>
      <sz val="9"/>
      <color theme="1"/>
      <name val="Arial Black"/>
      <family val="2"/>
    </font>
    <font>
      <sz val="8"/>
      <color theme="1"/>
      <name val="Courier New"/>
      <family val="3"/>
    </font>
    <font>
      <sz val="14"/>
      <color rgb="FFFF0000"/>
      <name val="Arial Black"/>
      <family val="2"/>
    </font>
    <font>
      <sz val="8"/>
      <color theme="1"/>
      <name val="Sitka Text"/>
    </font>
    <font>
      <sz val="8"/>
      <color theme="1"/>
      <name val="Sitka"/>
    </font>
    <font>
      <sz val="9"/>
      <color rgb="FF000000"/>
      <name val="Courier New"/>
      <family val="3"/>
    </font>
    <font>
      <u/>
      <sz val="11"/>
      <color theme="10"/>
      <name val="等线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10" fillId="0" borderId="0" applyNumberFormat="0" applyFill="0" applyBorder="0" applyAlignment="0" applyProtection="0">
      <alignment vertical="center"/>
    </xf>
  </cellStyleXfs>
  <cellXfs count="94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3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0" xfId="0" applyFont="1" applyBorder="1">
      <alignment vertical="center"/>
    </xf>
    <xf numFmtId="0" fontId="0" fillId="0" borderId="0" xfId="0" applyBorder="1">
      <alignment vertical="center"/>
    </xf>
    <xf numFmtId="0" fontId="2" fillId="0" borderId="5" xfId="0" applyFont="1" applyBorder="1">
      <alignment vertical="center"/>
    </xf>
    <xf numFmtId="0" fontId="2" fillId="0" borderId="6" xfId="0" applyFont="1" applyBorder="1">
      <alignment vertical="center"/>
    </xf>
    <xf numFmtId="0" fontId="3" fillId="0" borderId="0" xfId="0" applyFont="1" applyBorder="1" applyAlignment="1">
      <alignment horizontal="left" vertical="center"/>
    </xf>
    <xf numFmtId="0" fontId="5" fillId="0" borderId="4" xfId="0" applyFont="1" applyBorder="1">
      <alignment vertical="center"/>
    </xf>
    <xf numFmtId="0" fontId="5" fillId="2" borderId="1" xfId="0" applyFont="1" applyFill="1" applyBorder="1">
      <alignment vertical="center"/>
    </xf>
    <xf numFmtId="0" fontId="2" fillId="2" borderId="2" xfId="0" applyFont="1" applyFill="1" applyBorder="1">
      <alignment vertical="center"/>
    </xf>
    <xf numFmtId="0" fontId="5" fillId="0" borderId="0" xfId="0" applyFont="1" applyBorder="1">
      <alignment vertical="center"/>
    </xf>
    <xf numFmtId="0" fontId="2" fillId="0" borderId="8" xfId="0" applyFont="1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2" fillId="0" borderId="10" xfId="0" applyFont="1" applyBorder="1">
      <alignment vertical="center"/>
    </xf>
    <xf numFmtId="0" fontId="0" fillId="0" borderId="11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2" fillId="0" borderId="15" xfId="0" applyFont="1" applyBorder="1">
      <alignment vertical="center"/>
    </xf>
    <xf numFmtId="0" fontId="2" fillId="0" borderId="16" xfId="0" applyFont="1" applyBorder="1">
      <alignment vertical="center"/>
    </xf>
    <xf numFmtId="0" fontId="0" fillId="0" borderId="16" xfId="0" applyBorder="1">
      <alignment vertical="center"/>
    </xf>
    <xf numFmtId="0" fontId="0" fillId="0" borderId="17" xfId="0" applyBorder="1">
      <alignment vertical="center"/>
    </xf>
    <xf numFmtId="0" fontId="2" fillId="0" borderId="18" xfId="0" applyFont="1" applyBorder="1">
      <alignment vertical="center"/>
    </xf>
    <xf numFmtId="0" fontId="0" fillId="0" borderId="19" xfId="0" applyBorder="1">
      <alignment vertical="center"/>
    </xf>
    <xf numFmtId="0" fontId="2" fillId="0" borderId="19" xfId="0" applyFont="1" applyBorder="1">
      <alignment vertical="center"/>
    </xf>
    <xf numFmtId="0" fontId="2" fillId="0" borderId="20" xfId="0" applyFont="1" applyBorder="1">
      <alignment vertical="center"/>
    </xf>
    <xf numFmtId="0" fontId="2" fillId="0" borderId="21" xfId="0" applyFont="1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4" fillId="0" borderId="0" xfId="0" applyFont="1" applyBorder="1">
      <alignment vertical="center"/>
    </xf>
    <xf numFmtId="0" fontId="6" fillId="0" borderId="0" xfId="0" applyFont="1">
      <alignment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7" fillId="0" borderId="23" xfId="0" applyFont="1" applyBorder="1">
      <alignment vertical="center"/>
    </xf>
    <xf numFmtId="0" fontId="0" fillId="0" borderId="23" xfId="0" applyBorder="1">
      <alignment vertical="center"/>
    </xf>
    <xf numFmtId="0" fontId="3" fillId="0" borderId="23" xfId="0" applyFont="1" applyBorder="1">
      <alignment vertical="center"/>
    </xf>
    <xf numFmtId="0" fontId="9" fillId="0" borderId="23" xfId="0" applyFont="1" applyBorder="1">
      <alignment vertical="center"/>
    </xf>
    <xf numFmtId="0" fontId="10" fillId="0" borderId="0" xfId="1">
      <alignment vertical="center"/>
    </xf>
    <xf numFmtId="0" fontId="11" fillId="0" borderId="23" xfId="0" applyFont="1" applyBorder="1">
      <alignment vertical="center"/>
    </xf>
    <xf numFmtId="0" fontId="0" fillId="6" borderId="23" xfId="0" applyFill="1" applyBorder="1">
      <alignment vertical="center"/>
    </xf>
    <xf numFmtId="0" fontId="7" fillId="3" borderId="23" xfId="0" applyFont="1" applyFill="1" applyBorder="1">
      <alignment vertical="center"/>
    </xf>
    <xf numFmtId="0" fontId="0" fillId="3" borderId="23" xfId="0" applyFill="1" applyBorder="1">
      <alignment vertical="center"/>
    </xf>
    <xf numFmtId="0" fontId="7" fillId="6" borderId="23" xfId="0" applyFont="1" applyFill="1" applyBorder="1">
      <alignment vertical="center"/>
    </xf>
    <xf numFmtId="0" fontId="3" fillId="6" borderId="23" xfId="0" applyFont="1" applyFill="1" applyBorder="1">
      <alignment vertical="center"/>
    </xf>
    <xf numFmtId="0" fontId="3" fillId="0" borderId="23" xfId="0" applyFont="1" applyBorder="1" applyAlignment="1">
      <alignment horizontal="left" vertical="center"/>
    </xf>
    <xf numFmtId="0" fontId="5" fillId="0" borderId="23" xfId="0" applyFont="1" applyBorder="1">
      <alignment vertical="center"/>
    </xf>
    <xf numFmtId="0" fontId="2" fillId="0" borderId="7" xfId="0" applyFont="1" applyBorder="1">
      <alignment vertical="center"/>
    </xf>
    <xf numFmtId="0" fontId="0" fillId="0" borderId="10" xfId="0" applyBorder="1">
      <alignment vertical="center"/>
    </xf>
    <xf numFmtId="0" fontId="0" fillId="0" borderId="12" xfId="0" applyBorder="1">
      <alignment vertical="center"/>
    </xf>
    <xf numFmtId="0" fontId="3" fillId="0" borderId="23" xfId="0" applyFont="1" applyBorder="1" applyAlignment="1">
      <alignment horizontal="right" vertical="center"/>
    </xf>
    <xf numFmtId="0" fontId="3" fillId="3" borderId="23" xfId="0" applyFont="1" applyFill="1" applyBorder="1">
      <alignment vertical="center"/>
    </xf>
    <xf numFmtId="0" fontId="3" fillId="5" borderId="23" xfId="0" applyFont="1" applyFill="1" applyBorder="1">
      <alignment vertical="center"/>
    </xf>
    <xf numFmtId="0" fontId="3" fillId="2" borderId="23" xfId="0" applyFont="1" applyFill="1" applyBorder="1">
      <alignment vertical="center"/>
    </xf>
    <xf numFmtId="0" fontId="2" fillId="0" borderId="23" xfId="0" applyFont="1" applyBorder="1">
      <alignment vertical="center"/>
    </xf>
    <xf numFmtId="0" fontId="2" fillId="4" borderId="4" xfId="0" applyFont="1" applyFill="1" applyBorder="1">
      <alignment vertical="center"/>
    </xf>
    <xf numFmtId="0" fontId="3" fillId="0" borderId="23" xfId="0" applyFont="1" applyFill="1" applyBorder="1" applyAlignment="1">
      <alignment horizontal="right" vertical="center"/>
    </xf>
    <xf numFmtId="0" fontId="0" fillId="0" borderId="24" xfId="0" applyBorder="1">
      <alignment vertical="center"/>
    </xf>
    <xf numFmtId="0" fontId="0" fillId="0" borderId="2" xfId="0" applyBorder="1">
      <alignment vertical="center"/>
    </xf>
    <xf numFmtId="0" fontId="0" fillId="0" borderId="26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4" fillId="0" borderId="1" xfId="0" applyFont="1" applyBorder="1">
      <alignment vertical="center"/>
    </xf>
    <xf numFmtId="0" fontId="2" fillId="0" borderId="24" xfId="0" applyFont="1" applyBorder="1">
      <alignment vertical="center"/>
    </xf>
    <xf numFmtId="0" fontId="2" fillId="0" borderId="25" xfId="0" applyFont="1" applyBorder="1">
      <alignment vertical="center"/>
    </xf>
    <xf numFmtId="0" fontId="2" fillId="0" borderId="26" xfId="0" applyFont="1" applyBorder="1">
      <alignment vertical="center"/>
    </xf>
    <xf numFmtId="0" fontId="2" fillId="0" borderId="27" xfId="0" applyFont="1" applyBorder="1">
      <alignment vertical="center"/>
    </xf>
    <xf numFmtId="0" fontId="2" fillId="0" borderId="28" xfId="0" applyFont="1" applyBorder="1">
      <alignment vertical="center"/>
    </xf>
    <xf numFmtId="0" fontId="0" fillId="7" borderId="0" xfId="0" applyFill="1">
      <alignment vertical="center"/>
    </xf>
    <xf numFmtId="0" fontId="2" fillId="0" borderId="30" xfId="0" applyFont="1" applyBorder="1">
      <alignment vertical="center"/>
    </xf>
    <xf numFmtId="0" fontId="5" fillId="0" borderId="6" xfId="0" applyFont="1" applyBorder="1">
      <alignment vertical="center"/>
    </xf>
    <xf numFmtId="0" fontId="2" fillId="0" borderId="31" xfId="0" applyFont="1" applyBorder="1">
      <alignment vertical="center"/>
    </xf>
    <xf numFmtId="0" fontId="15" fillId="8" borderId="32" xfId="0" applyFont="1" applyFill="1" applyBorder="1">
      <alignment vertical="center"/>
    </xf>
    <xf numFmtId="0" fontId="15" fillId="8" borderId="33" xfId="0" applyFont="1" applyFill="1" applyBorder="1">
      <alignment vertical="center"/>
    </xf>
    <xf numFmtId="0" fontId="15" fillId="8" borderId="34" xfId="0" applyFont="1" applyFill="1" applyBorder="1">
      <alignment vertical="center"/>
    </xf>
    <xf numFmtId="0" fontId="15" fillId="8" borderId="35" xfId="0" applyFont="1" applyFill="1" applyBorder="1">
      <alignment vertical="center"/>
    </xf>
    <xf numFmtId="0" fontId="15" fillId="8" borderId="0" xfId="0" applyFont="1" applyFill="1" applyBorder="1">
      <alignment vertical="center"/>
    </xf>
    <xf numFmtId="0" fontId="15" fillId="8" borderId="36" xfId="0" applyFont="1" applyFill="1" applyBorder="1">
      <alignment vertical="center"/>
    </xf>
    <xf numFmtId="0" fontId="15" fillId="8" borderId="37" xfId="0" applyFont="1" applyFill="1" applyBorder="1">
      <alignment vertical="center"/>
    </xf>
    <xf numFmtId="0" fontId="15" fillId="8" borderId="38" xfId="0" applyFont="1" applyFill="1" applyBorder="1">
      <alignment vertical="center"/>
    </xf>
    <xf numFmtId="0" fontId="15" fillId="8" borderId="39" xfId="0" applyFont="1" applyFill="1" applyBorder="1">
      <alignment vertical="center"/>
    </xf>
    <xf numFmtId="0" fontId="17" fillId="0" borderId="0" xfId="0" applyFont="1">
      <alignment vertical="center"/>
    </xf>
    <xf numFmtId="0" fontId="18" fillId="0" borderId="0" xfId="0" applyFont="1">
      <alignment vertical="center"/>
    </xf>
    <xf numFmtId="0" fontId="3" fillId="0" borderId="0" xfId="0" applyFont="1">
      <alignment vertical="center"/>
    </xf>
    <xf numFmtId="0" fontId="19" fillId="0" borderId="23" xfId="0" applyFont="1" applyBorder="1" applyAlignment="1">
      <alignment vertical="center" wrapText="1"/>
    </xf>
    <xf numFmtId="0" fontId="3" fillId="0" borderId="40" xfId="0" applyFont="1" applyBorder="1">
      <alignment vertical="center"/>
    </xf>
    <xf numFmtId="0" fontId="3" fillId="9" borderId="23" xfId="0" applyFont="1" applyFill="1" applyBorder="1">
      <alignment vertical="center"/>
    </xf>
    <xf numFmtId="0" fontId="15" fillId="3" borderId="35" xfId="0" applyFont="1" applyFill="1" applyBorder="1">
      <alignment vertical="center"/>
    </xf>
    <xf numFmtId="0" fontId="15" fillId="0" borderId="35" xfId="0" applyFont="1" applyFill="1" applyBorder="1">
      <alignment vertical="center"/>
    </xf>
    <xf numFmtId="0" fontId="3" fillId="10" borderId="23" xfId="0" applyFont="1" applyFill="1" applyBorder="1">
      <alignment vertical="center"/>
    </xf>
    <xf numFmtId="0" fontId="0" fillId="10" borderId="0" xfId="0" applyFill="1">
      <alignment vertical="center"/>
    </xf>
    <xf numFmtId="0" fontId="0" fillId="0" borderId="0" xfId="0" applyFill="1" applyBorder="1">
      <alignment vertical="center"/>
    </xf>
    <xf numFmtId="0" fontId="20" fillId="0" borderId="0" xfId="1" applyFont="1">
      <alignment vertical="center"/>
    </xf>
  </cellXfs>
  <cellStyles count="2">
    <cellStyle name="常规" xfId="0" builtinId="0"/>
    <cellStyle name="超链接" xfId="1" builtinId="8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Spin" dx="16" fmlaLink="$B$6" max="33" min="25" page="10" val="25"/>
</file>

<file path=xl/ctrlProps/ctrlProp10.xml><?xml version="1.0" encoding="utf-8"?>
<formControlPr xmlns="http://schemas.microsoft.com/office/spreadsheetml/2009/9/main" objectType="Spin" dx="16" fmlaLink="$J$6" max="127" min="1" page="10"/>
</file>

<file path=xl/ctrlProps/ctrlProp11.xml><?xml version="1.0" encoding="utf-8"?>
<formControlPr xmlns="http://schemas.microsoft.com/office/spreadsheetml/2009/9/main" objectType="Spin" dx="16" fmlaLink="$J$18" max="127" min="1" page="10" val="33"/>
</file>

<file path=xl/ctrlProps/ctrlProp12.xml><?xml version="1.0" encoding="utf-8"?>
<formControlPr xmlns="http://schemas.microsoft.com/office/spreadsheetml/2009/9/main" objectType="CheckBox" checked="Checked" fmlaLink="$F$50" lockText="1" noThreeD="1"/>
</file>

<file path=xl/ctrlProps/ctrlProp13.xml><?xml version="1.0" encoding="utf-8"?>
<formControlPr xmlns="http://schemas.microsoft.com/office/spreadsheetml/2009/9/main" objectType="CheckBox" fmlaLink="$F$49" lockText="1" noThreeD="1"/>
</file>

<file path=xl/ctrlProps/ctrlProp14.xml><?xml version="1.0" encoding="utf-8"?>
<formControlPr xmlns="http://schemas.microsoft.com/office/spreadsheetml/2009/9/main" objectType="CheckBox" fmlaLink="$F$48" lockText="1" noThreeD="1"/>
</file>

<file path=xl/ctrlProps/ctrlProp15.xml><?xml version="1.0" encoding="utf-8"?>
<formControlPr xmlns="http://schemas.microsoft.com/office/spreadsheetml/2009/9/main" objectType="Spin" dx="16" fmlaLink="$R$5" max="15" page="10" val="15"/>
</file>

<file path=xl/ctrlProps/ctrlProp16.xml><?xml version="1.0" encoding="utf-8"?>
<formControlPr xmlns="http://schemas.microsoft.com/office/spreadsheetml/2009/9/main" objectType="Spin" dx="16" fmlaLink="$R$10" max="11" page="10"/>
</file>

<file path=xl/ctrlProps/ctrlProp2.xml><?xml version="1.0" encoding="utf-8"?>
<formControlPr xmlns="http://schemas.microsoft.com/office/spreadsheetml/2009/9/main" objectType="Spin" dx="16" fmlaLink="$G$6" inc="6" max="825" min="1" page="10" val="264"/>
</file>

<file path=xl/ctrlProps/ctrlProp3.xml><?xml version="1.0" encoding="utf-8"?>
<formControlPr xmlns="http://schemas.microsoft.com/office/spreadsheetml/2009/9/main" objectType="Spin" dx="16" fmlaLink="$J$6" max="128" min="1" page="10"/>
</file>

<file path=xl/ctrlProps/ctrlProp4.xml><?xml version="1.0" encoding="utf-8"?>
<formControlPr xmlns="http://schemas.microsoft.com/office/spreadsheetml/2009/9/main" objectType="Spin" dx="16" fmlaLink="$M$10" max="4" min="2" page="10" val="2"/>
</file>

<file path=xl/ctrlProps/ctrlProp5.xml><?xml version="1.0" encoding="utf-8"?>
<formControlPr xmlns="http://schemas.microsoft.com/office/spreadsheetml/2009/9/main" objectType="Spin" dx="16" fmlaLink="$J$18" max="127" min="1" noThreeD="1" page="10" val="33"/>
</file>

<file path=xl/ctrlProps/ctrlProp6.xml><?xml version="1.0" encoding="utf-8"?>
<formControlPr xmlns="http://schemas.microsoft.com/office/spreadsheetml/2009/9/main" objectType="Spin" dx="16" fmlaLink="$J$25" max="127" min="1" noThreeD="1" page="10" val="33"/>
</file>

<file path=xl/ctrlProps/ctrlProp7.xml><?xml version="1.0" encoding="utf-8"?>
<formControlPr xmlns="http://schemas.microsoft.com/office/spreadsheetml/2009/9/main" objectType="Spin" dx="16" fmlaLink="$J$6" max="127" min="1" noThreeD="1" page="10"/>
</file>

<file path=xl/ctrlProps/ctrlProp8.xml><?xml version="1.0" encoding="utf-8"?>
<formControlPr xmlns="http://schemas.microsoft.com/office/spreadsheetml/2009/9/main" objectType="Spin" dx="16" fmlaLink="$J$6" max="127" page="10"/>
</file>

<file path=xl/ctrlProps/ctrlProp9.xml><?xml version="1.0" encoding="utf-8"?>
<formControlPr xmlns="http://schemas.microsoft.com/office/spreadsheetml/2009/9/main" objectType="Spin" dx="16" fmlaLink="$J$25" max="127" min="1" page="10" val="33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4</xdr:row>
      <xdr:rowOff>123825</xdr:rowOff>
    </xdr:from>
    <xdr:to>
      <xdr:col>2</xdr:col>
      <xdr:colOff>666750</xdr:colOff>
      <xdr:row>4</xdr:row>
      <xdr:rowOff>123825</xdr:rowOff>
    </xdr:to>
    <xdr:cxnSp macro="">
      <xdr:nvCxnSpPr>
        <xdr:cNvPr id="3" name="直接箭头连接符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>
          <a:off x="1390650" y="2895600"/>
          <a:ext cx="6477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447675</xdr:colOff>
          <xdr:row>4</xdr:row>
          <xdr:rowOff>228600</xdr:rowOff>
        </xdr:from>
        <xdr:to>
          <xdr:col>0</xdr:col>
          <xdr:colOff>638175</xdr:colOff>
          <xdr:row>5</xdr:row>
          <xdr:rowOff>228600</xdr:rowOff>
        </xdr:to>
        <xdr:sp macro="" textlink="">
          <xdr:nvSpPr>
            <xdr:cNvPr id="1025" name="Spinne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3</xdr:col>
      <xdr:colOff>981075</xdr:colOff>
      <xdr:row>4</xdr:row>
      <xdr:rowOff>114300</xdr:rowOff>
    </xdr:from>
    <xdr:to>
      <xdr:col>6</xdr:col>
      <xdr:colOff>9525</xdr:colOff>
      <xdr:row>4</xdr:row>
      <xdr:rowOff>114300</xdr:rowOff>
    </xdr:to>
    <xdr:cxnSp macro="">
      <xdr:nvCxnSpPr>
        <xdr:cNvPr id="5" name="直接箭头连接符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3038475" y="2886075"/>
          <a:ext cx="733425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485775</xdr:colOff>
          <xdr:row>5</xdr:row>
          <xdr:rowOff>0</xdr:rowOff>
        </xdr:from>
        <xdr:to>
          <xdr:col>6</xdr:col>
          <xdr:colOff>0</xdr:colOff>
          <xdr:row>5</xdr:row>
          <xdr:rowOff>228600</xdr:rowOff>
        </xdr:to>
        <xdr:sp macro="" textlink="">
          <xdr:nvSpPr>
            <xdr:cNvPr id="1026" name="Spinner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10</xdr:col>
      <xdr:colOff>695325</xdr:colOff>
      <xdr:row>92</xdr:row>
      <xdr:rowOff>152400</xdr:rowOff>
    </xdr:from>
    <xdr:to>
      <xdr:col>20</xdr:col>
      <xdr:colOff>497285</xdr:colOff>
      <xdr:row>128</xdr:row>
      <xdr:rowOff>123058</xdr:rowOff>
    </xdr:to>
    <xdr:pic>
      <xdr:nvPicPr>
        <xdr:cNvPr id="19" name="图片 18">
          <a:extLst>
            <a:ext uri="{FF2B5EF4-FFF2-40B4-BE49-F238E27FC236}">
              <a16:creationId xmlns:a16="http://schemas.microsoft.com/office/drawing/2014/main" id="{00000000-0008-0000-0000-00001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867650" y="18449925"/>
          <a:ext cx="7574360" cy="6142858"/>
        </a:xfrm>
        <a:prstGeom prst="rect">
          <a:avLst/>
        </a:prstGeom>
      </xdr:spPr>
    </xdr:pic>
    <xdr:clientData/>
  </xdr:twoCellAnchor>
  <xdr:twoCellAnchor>
    <xdr:from>
      <xdr:col>13</xdr:col>
      <xdr:colOff>28575</xdr:colOff>
      <xdr:row>9</xdr:row>
      <xdr:rowOff>0</xdr:rowOff>
    </xdr:from>
    <xdr:to>
      <xdr:col>14</xdr:col>
      <xdr:colOff>9525</xdr:colOff>
      <xdr:row>9</xdr:row>
      <xdr:rowOff>0</xdr:rowOff>
    </xdr:to>
    <xdr:cxnSp macro="">
      <xdr:nvCxnSpPr>
        <xdr:cNvPr id="13" name="直接箭头连接符 12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CxnSpPr/>
      </xdr:nvCxnSpPr>
      <xdr:spPr>
        <a:xfrm>
          <a:off x="9277350" y="3486150"/>
          <a:ext cx="6667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942975</xdr:colOff>
      <xdr:row>4</xdr:row>
      <xdr:rowOff>133350</xdr:rowOff>
    </xdr:from>
    <xdr:to>
      <xdr:col>11</xdr:col>
      <xdr:colOff>666750</xdr:colOff>
      <xdr:row>4</xdr:row>
      <xdr:rowOff>133350</xdr:rowOff>
    </xdr:to>
    <xdr:cxnSp macro="">
      <xdr:nvCxnSpPr>
        <xdr:cNvPr id="18" name="直接箭头连接符 17">
          <a:extLst>
            <a:ext uri="{FF2B5EF4-FFF2-40B4-BE49-F238E27FC236}">
              <a16:creationId xmlns:a16="http://schemas.microsoft.com/office/drawing/2014/main" id="{00000000-0008-0000-0000-000012000000}"/>
            </a:ext>
          </a:extLst>
        </xdr:cNvPr>
        <xdr:cNvCxnSpPr/>
      </xdr:nvCxnSpPr>
      <xdr:spPr>
        <a:xfrm>
          <a:off x="6762750" y="2981325"/>
          <a:ext cx="13716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485775</xdr:colOff>
          <xdr:row>5</xdr:row>
          <xdr:rowOff>0</xdr:rowOff>
        </xdr:from>
        <xdr:to>
          <xdr:col>8</xdr:col>
          <xdr:colOff>676275</xdr:colOff>
          <xdr:row>5</xdr:row>
          <xdr:rowOff>228600</xdr:rowOff>
        </xdr:to>
        <xdr:sp macro="" textlink="">
          <xdr:nvSpPr>
            <xdr:cNvPr id="1030" name="Spinner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485775</xdr:colOff>
          <xdr:row>9</xdr:row>
          <xdr:rowOff>0</xdr:rowOff>
        </xdr:from>
        <xdr:to>
          <xdr:col>11</xdr:col>
          <xdr:colOff>676275</xdr:colOff>
          <xdr:row>9</xdr:row>
          <xdr:rowOff>228600</xdr:rowOff>
        </xdr:to>
        <xdr:sp macro="" textlink="">
          <xdr:nvSpPr>
            <xdr:cNvPr id="1031" name="Spinner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10</xdr:col>
      <xdr:colOff>9525</xdr:colOff>
      <xdr:row>5</xdr:row>
      <xdr:rowOff>123825</xdr:rowOff>
    </xdr:from>
    <xdr:to>
      <xdr:col>12</xdr:col>
      <xdr:colOff>0</xdr:colOff>
      <xdr:row>8</xdr:row>
      <xdr:rowOff>133350</xdr:rowOff>
    </xdr:to>
    <xdr:cxnSp macro="">
      <xdr:nvCxnSpPr>
        <xdr:cNvPr id="35" name="肘形连接符 34">
          <a:extLst>
            <a:ext uri="{FF2B5EF4-FFF2-40B4-BE49-F238E27FC236}">
              <a16:creationId xmlns:a16="http://schemas.microsoft.com/office/drawing/2014/main" id="{00000000-0008-0000-0000-000023000000}"/>
            </a:ext>
          </a:extLst>
        </xdr:cNvPr>
        <xdr:cNvCxnSpPr/>
      </xdr:nvCxnSpPr>
      <xdr:spPr>
        <a:xfrm>
          <a:off x="8162925" y="2857500"/>
          <a:ext cx="1362075" cy="742950"/>
        </a:xfrm>
        <a:prstGeom prst="bentConnector3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0</xdr:colOff>
      <xdr:row>4</xdr:row>
      <xdr:rowOff>114300</xdr:rowOff>
    </xdr:from>
    <xdr:to>
      <xdr:col>9</xdr:col>
      <xdr:colOff>0</xdr:colOff>
      <xdr:row>4</xdr:row>
      <xdr:rowOff>114300</xdr:rowOff>
    </xdr:to>
    <xdr:cxnSp macro="">
      <xdr:nvCxnSpPr>
        <xdr:cNvPr id="40" name="直接箭头连接符 39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CxnSpPr/>
      </xdr:nvCxnSpPr>
      <xdr:spPr>
        <a:xfrm>
          <a:off x="4448175" y="2962275"/>
          <a:ext cx="13716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457200</xdr:colOff>
          <xdr:row>17</xdr:row>
          <xdr:rowOff>9525</xdr:rowOff>
        </xdr:from>
        <xdr:to>
          <xdr:col>8</xdr:col>
          <xdr:colOff>676275</xdr:colOff>
          <xdr:row>18</xdr:row>
          <xdr:rowOff>0</xdr:rowOff>
        </xdr:to>
        <xdr:sp macro="" textlink="">
          <xdr:nvSpPr>
            <xdr:cNvPr id="1034" name="Spinner 10" hidden="1">
              <a:extLst>
                <a:ext uri="{63B3BB69-23CF-44E3-9099-C40C66FF867C}">
                  <a14:compatExt spid="_x0000_s1034"/>
                </a:ext>
                <a:ext uri="{FF2B5EF4-FFF2-40B4-BE49-F238E27FC236}">
                  <a16:creationId xmlns:a16="http://schemas.microsoft.com/office/drawing/2014/main" id="{00000000-0008-0000-0000-00000A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0</xdr:colOff>
          <xdr:row>23</xdr:row>
          <xdr:rowOff>238125</xdr:rowOff>
        </xdr:from>
        <xdr:to>
          <xdr:col>8</xdr:col>
          <xdr:colOff>0</xdr:colOff>
          <xdr:row>24</xdr:row>
          <xdr:rowOff>228600</xdr:rowOff>
        </xdr:to>
        <xdr:sp macro="" textlink="">
          <xdr:nvSpPr>
            <xdr:cNvPr id="1035" name="Spinner 11" hidden="1">
              <a:extLst>
                <a:ext uri="{63B3BB69-23CF-44E3-9099-C40C66FF867C}">
                  <a14:compatExt spid="_x0000_s1035"/>
                </a:ext>
                <a:ext uri="{FF2B5EF4-FFF2-40B4-BE49-F238E27FC236}">
                  <a16:creationId xmlns:a16="http://schemas.microsoft.com/office/drawing/2014/main" id="{00000000-0008-0000-0000-00000B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8</xdr:col>
          <xdr:colOff>495300</xdr:colOff>
          <xdr:row>29</xdr:row>
          <xdr:rowOff>9525</xdr:rowOff>
        </xdr:from>
        <xdr:to>
          <xdr:col>8</xdr:col>
          <xdr:colOff>1085850</xdr:colOff>
          <xdr:row>30</xdr:row>
          <xdr:rowOff>0</xdr:rowOff>
        </xdr:to>
        <xdr:sp macro="" textlink="">
          <xdr:nvSpPr>
            <xdr:cNvPr id="1036" name="Spinner 12" hidden="1">
              <a:extLst>
                <a:ext uri="{63B3BB69-23CF-44E3-9099-C40C66FF867C}">
                  <a14:compatExt spid="_x0000_s1036"/>
                </a:ext>
                <a:ext uri="{FF2B5EF4-FFF2-40B4-BE49-F238E27FC236}">
                  <a16:creationId xmlns:a16="http://schemas.microsoft.com/office/drawing/2014/main" id="{00000000-0008-0000-0000-00000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3</xdr:col>
      <xdr:colOff>9525</xdr:colOff>
      <xdr:row>16</xdr:row>
      <xdr:rowOff>133352</xdr:rowOff>
    </xdr:from>
    <xdr:to>
      <xdr:col>8</xdr:col>
      <xdr:colOff>0</xdr:colOff>
      <xdr:row>19</xdr:row>
      <xdr:rowOff>38100</xdr:rowOff>
    </xdr:to>
    <xdr:cxnSp macro="">
      <xdr:nvCxnSpPr>
        <xdr:cNvPr id="16" name="肘形连接符 15">
          <a:extLst>
            <a:ext uri="{FF2B5EF4-FFF2-40B4-BE49-F238E27FC236}">
              <a16:creationId xmlns:a16="http://schemas.microsoft.com/office/drawing/2014/main" id="{00000000-0008-0000-0000-000010000000}"/>
            </a:ext>
          </a:extLst>
        </xdr:cNvPr>
        <xdr:cNvCxnSpPr/>
      </xdr:nvCxnSpPr>
      <xdr:spPr>
        <a:xfrm flipV="1">
          <a:off x="2266950" y="4010027"/>
          <a:ext cx="3762375" cy="619123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0</xdr:colOff>
      <xdr:row>19</xdr:row>
      <xdr:rowOff>133350</xdr:rowOff>
    </xdr:from>
    <xdr:to>
      <xdr:col>8</xdr:col>
      <xdr:colOff>0</xdr:colOff>
      <xdr:row>23</xdr:row>
      <xdr:rowOff>123825</xdr:rowOff>
    </xdr:to>
    <xdr:cxnSp macro="">
      <xdr:nvCxnSpPr>
        <xdr:cNvPr id="23" name="肘形连接符 22">
          <a:extLst>
            <a:ext uri="{FF2B5EF4-FFF2-40B4-BE49-F238E27FC236}">
              <a16:creationId xmlns:a16="http://schemas.microsoft.com/office/drawing/2014/main" id="{00000000-0008-0000-0000-000017000000}"/>
            </a:ext>
          </a:extLst>
        </xdr:cNvPr>
        <xdr:cNvCxnSpPr/>
      </xdr:nvCxnSpPr>
      <xdr:spPr>
        <a:xfrm>
          <a:off x="2257425" y="4724400"/>
          <a:ext cx="3771900" cy="942975"/>
        </a:xfrm>
        <a:prstGeom prst="bentConnector3">
          <a:avLst>
            <a:gd name="adj1" fmla="val 50000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16</xdr:row>
      <xdr:rowOff>123825</xdr:rowOff>
    </xdr:from>
    <xdr:to>
      <xdr:col>12</xdr:col>
      <xdr:colOff>0</xdr:colOff>
      <xdr:row>16</xdr:row>
      <xdr:rowOff>123825</xdr:rowOff>
    </xdr:to>
    <xdr:cxnSp macro="">
      <xdr:nvCxnSpPr>
        <xdr:cNvPr id="33" name="直接箭头连接符 32">
          <a:extLst>
            <a:ext uri="{FF2B5EF4-FFF2-40B4-BE49-F238E27FC236}">
              <a16:creationId xmlns:a16="http://schemas.microsoft.com/office/drawing/2014/main" id="{00000000-0008-0000-0000-000021000000}"/>
            </a:ext>
          </a:extLst>
        </xdr:cNvPr>
        <xdr:cNvCxnSpPr/>
      </xdr:nvCxnSpPr>
      <xdr:spPr>
        <a:xfrm>
          <a:off x="7600950" y="4429125"/>
          <a:ext cx="13716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0</xdr:colOff>
      <xdr:row>23</xdr:row>
      <xdr:rowOff>123825</xdr:rowOff>
    </xdr:from>
    <xdr:to>
      <xdr:col>12</xdr:col>
      <xdr:colOff>0</xdr:colOff>
      <xdr:row>23</xdr:row>
      <xdr:rowOff>123825</xdr:rowOff>
    </xdr:to>
    <xdr:cxnSp macro="">
      <xdr:nvCxnSpPr>
        <xdr:cNvPr id="36" name="直接箭头连接符 35">
          <a:extLst>
            <a:ext uri="{FF2B5EF4-FFF2-40B4-BE49-F238E27FC236}">
              <a16:creationId xmlns:a16="http://schemas.microsoft.com/office/drawing/2014/main" id="{00000000-0008-0000-0000-000024000000}"/>
            </a:ext>
          </a:extLst>
        </xdr:cNvPr>
        <xdr:cNvCxnSpPr/>
      </xdr:nvCxnSpPr>
      <xdr:spPr>
        <a:xfrm>
          <a:off x="7600950" y="6096000"/>
          <a:ext cx="13716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13</xdr:col>
      <xdr:colOff>9525</xdr:colOff>
      <xdr:row>4</xdr:row>
      <xdr:rowOff>114300</xdr:rowOff>
    </xdr:from>
    <xdr:to>
      <xdr:col>17</xdr:col>
      <xdr:colOff>19050</xdr:colOff>
      <xdr:row>4</xdr:row>
      <xdr:rowOff>114300</xdr:rowOff>
    </xdr:to>
    <xdr:cxnSp macro="">
      <xdr:nvCxnSpPr>
        <xdr:cNvPr id="38" name="直接箭头连接符 37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CxnSpPr/>
      </xdr:nvCxnSpPr>
      <xdr:spPr>
        <a:xfrm>
          <a:off x="9867900" y="838200"/>
          <a:ext cx="36385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 editAs="oneCell">
    <xdr:from>
      <xdr:col>1</xdr:col>
      <xdr:colOff>9525</xdr:colOff>
      <xdr:row>107</xdr:row>
      <xdr:rowOff>123825</xdr:rowOff>
    </xdr:from>
    <xdr:to>
      <xdr:col>9</xdr:col>
      <xdr:colOff>542159</xdr:colOff>
      <xdr:row>130</xdr:row>
      <xdr:rowOff>161428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95325" y="20993100"/>
          <a:ext cx="6133334" cy="3980953"/>
        </a:xfrm>
        <a:prstGeom prst="rect">
          <a:avLst/>
        </a:prstGeom>
      </xdr:spPr>
    </xdr:pic>
    <xdr:clientData/>
  </xdr:twoCellAnchor>
  <xdr:twoCellAnchor>
    <xdr:from>
      <xdr:col>3</xdr:col>
      <xdr:colOff>9525</xdr:colOff>
      <xdr:row>20</xdr:row>
      <xdr:rowOff>19050</xdr:rowOff>
    </xdr:from>
    <xdr:to>
      <xdr:col>9</xdr:col>
      <xdr:colOff>9525</xdr:colOff>
      <xdr:row>28</xdr:row>
      <xdr:rowOff>123825</xdr:rowOff>
    </xdr:to>
    <xdr:cxnSp macro="">
      <xdr:nvCxnSpPr>
        <xdr:cNvPr id="9" name="肘形连接符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>
          <a:off x="2266950" y="4848225"/>
          <a:ext cx="3771900" cy="2009775"/>
        </a:xfrm>
        <a:prstGeom prst="bentConnector3">
          <a:avLst>
            <a:gd name="adj1" fmla="val 39646"/>
          </a:avLst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9524</xdr:colOff>
      <xdr:row>28</xdr:row>
      <xdr:rowOff>114300</xdr:rowOff>
    </xdr:from>
    <xdr:to>
      <xdr:col>11</xdr:col>
      <xdr:colOff>684449</xdr:colOff>
      <xdr:row>28</xdr:row>
      <xdr:rowOff>114300</xdr:rowOff>
    </xdr:to>
    <xdr:cxnSp macro="">
      <xdr:nvCxnSpPr>
        <xdr:cNvPr id="22" name="直接箭头连接符 21">
          <a:extLst>
            <a:ext uri="{FF2B5EF4-FFF2-40B4-BE49-F238E27FC236}">
              <a16:creationId xmlns:a16="http://schemas.microsoft.com/office/drawing/2014/main" id="{00000000-0008-0000-0000-000016000000}"/>
            </a:ext>
          </a:extLst>
        </xdr:cNvPr>
        <xdr:cNvCxnSpPr/>
      </xdr:nvCxnSpPr>
      <xdr:spPr>
        <a:xfrm>
          <a:off x="6924674" y="6848475"/>
          <a:ext cx="16560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485775</xdr:colOff>
          <xdr:row>5</xdr:row>
          <xdr:rowOff>0</xdr:rowOff>
        </xdr:from>
        <xdr:to>
          <xdr:col>7</xdr:col>
          <xdr:colOff>676275</xdr:colOff>
          <xdr:row>5</xdr:row>
          <xdr:rowOff>228600</xdr:rowOff>
        </xdr:to>
        <xdr:sp macro="" textlink="">
          <xdr:nvSpPr>
            <xdr:cNvPr id="1045" name="Spinner 21" hidden="1">
              <a:extLst>
                <a:ext uri="{63B3BB69-23CF-44E3-9099-C40C66FF867C}">
                  <a14:compatExt spid="_x0000_s1045"/>
                </a:ext>
                <a:ext uri="{FF2B5EF4-FFF2-40B4-BE49-F238E27FC236}">
                  <a16:creationId xmlns:a16="http://schemas.microsoft.com/office/drawing/2014/main" id="{00000000-0008-0000-0000-00001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10</xdr:col>
      <xdr:colOff>38100</xdr:colOff>
      <xdr:row>18</xdr:row>
      <xdr:rowOff>123825</xdr:rowOff>
    </xdr:from>
    <xdr:to>
      <xdr:col>11</xdr:col>
      <xdr:colOff>676275</xdr:colOff>
      <xdr:row>18</xdr:row>
      <xdr:rowOff>123825</xdr:rowOff>
    </xdr:to>
    <xdr:cxnSp macro="">
      <xdr:nvCxnSpPr>
        <xdr:cNvPr id="28" name="直接箭头连接符 27">
          <a:extLst>
            <a:ext uri="{FF2B5EF4-FFF2-40B4-BE49-F238E27FC236}">
              <a16:creationId xmlns:a16="http://schemas.microsoft.com/office/drawing/2014/main" id="{00000000-0008-0000-0000-00001C000000}"/>
            </a:ext>
          </a:extLst>
        </xdr:cNvPr>
        <xdr:cNvCxnSpPr/>
      </xdr:nvCxnSpPr>
      <xdr:spPr>
        <a:xfrm flipH="1">
          <a:off x="7210425" y="4476750"/>
          <a:ext cx="16192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485775</xdr:colOff>
          <xdr:row>24</xdr:row>
          <xdr:rowOff>0</xdr:rowOff>
        </xdr:from>
        <xdr:to>
          <xdr:col>7</xdr:col>
          <xdr:colOff>676275</xdr:colOff>
          <xdr:row>24</xdr:row>
          <xdr:rowOff>228600</xdr:rowOff>
        </xdr:to>
        <xdr:sp macro="" textlink="">
          <xdr:nvSpPr>
            <xdr:cNvPr id="1052" name="Spinner 28" hidden="1">
              <a:extLst>
                <a:ext uri="{63B3BB69-23CF-44E3-9099-C40C66FF867C}">
                  <a14:compatExt spid="_x0000_s1052"/>
                </a:ext>
                <a:ext uri="{FF2B5EF4-FFF2-40B4-BE49-F238E27FC236}">
                  <a16:creationId xmlns:a16="http://schemas.microsoft.com/office/drawing/2014/main" id="{00000000-0008-0000-0000-00001C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485775</xdr:colOff>
          <xdr:row>29</xdr:row>
          <xdr:rowOff>0</xdr:rowOff>
        </xdr:from>
        <xdr:to>
          <xdr:col>7</xdr:col>
          <xdr:colOff>676275</xdr:colOff>
          <xdr:row>29</xdr:row>
          <xdr:rowOff>228600</xdr:rowOff>
        </xdr:to>
        <xdr:sp macro="" textlink="">
          <xdr:nvSpPr>
            <xdr:cNvPr id="1053" name="Spinner 29" hidden="1">
              <a:extLst>
                <a:ext uri="{63B3BB69-23CF-44E3-9099-C40C66FF867C}">
                  <a14:compatExt spid="_x0000_s1053"/>
                </a:ext>
                <a:ext uri="{FF2B5EF4-FFF2-40B4-BE49-F238E27FC236}">
                  <a16:creationId xmlns:a16="http://schemas.microsoft.com/office/drawing/2014/main" id="{00000000-0008-0000-0000-00001D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7</xdr:col>
          <xdr:colOff>485775</xdr:colOff>
          <xdr:row>17</xdr:row>
          <xdr:rowOff>0</xdr:rowOff>
        </xdr:from>
        <xdr:to>
          <xdr:col>7</xdr:col>
          <xdr:colOff>676275</xdr:colOff>
          <xdr:row>17</xdr:row>
          <xdr:rowOff>228600</xdr:rowOff>
        </xdr:to>
        <xdr:sp macro="" textlink="">
          <xdr:nvSpPr>
            <xdr:cNvPr id="1054" name="Spinner 30" hidden="1">
              <a:extLst>
                <a:ext uri="{63B3BB69-23CF-44E3-9099-C40C66FF867C}">
                  <a14:compatExt spid="_x0000_s1054"/>
                </a:ext>
                <a:ext uri="{FF2B5EF4-FFF2-40B4-BE49-F238E27FC236}">
                  <a16:creationId xmlns:a16="http://schemas.microsoft.com/office/drawing/2014/main" id="{00000000-0008-0000-0000-00001E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49</xdr:row>
          <xdr:rowOff>19050</xdr:rowOff>
        </xdr:from>
        <xdr:to>
          <xdr:col>7</xdr:col>
          <xdr:colOff>0</xdr:colOff>
          <xdr:row>50</xdr:row>
          <xdr:rowOff>0</xdr:rowOff>
        </xdr:to>
        <xdr:sp macro="" textlink="">
          <xdr:nvSpPr>
            <xdr:cNvPr id="1056" name="Check Box 32" hidden="1">
              <a:extLst>
                <a:ext uri="{63B3BB69-23CF-44E3-9099-C40C66FF867C}">
                  <a14:compatExt spid="_x0000_s1056"/>
                </a:ext>
                <a:ext uri="{FF2B5EF4-FFF2-40B4-BE49-F238E27FC236}">
                  <a16:creationId xmlns:a16="http://schemas.microsoft.com/office/drawing/2014/main" id="{00000000-0008-0000-0000-000020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有效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48</xdr:row>
          <xdr:rowOff>19050</xdr:rowOff>
        </xdr:from>
        <xdr:to>
          <xdr:col>7</xdr:col>
          <xdr:colOff>0</xdr:colOff>
          <xdr:row>49</xdr:row>
          <xdr:rowOff>0</xdr:rowOff>
        </xdr:to>
        <xdr:sp macro="" textlink="">
          <xdr:nvSpPr>
            <xdr:cNvPr id="1058" name="Check Box 34" hidden="1">
              <a:extLst>
                <a:ext uri="{63B3BB69-23CF-44E3-9099-C40C66FF867C}">
                  <a14:compatExt spid="_x0000_s1058"/>
                </a:ext>
                <a:ext uri="{FF2B5EF4-FFF2-40B4-BE49-F238E27FC236}">
                  <a16:creationId xmlns:a16="http://schemas.microsoft.com/office/drawing/2014/main" id="{00000000-0008-0000-0000-00002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有效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295275</xdr:colOff>
          <xdr:row>47</xdr:row>
          <xdr:rowOff>19050</xdr:rowOff>
        </xdr:from>
        <xdr:to>
          <xdr:col>7</xdr:col>
          <xdr:colOff>0</xdr:colOff>
          <xdr:row>48</xdr:row>
          <xdr:rowOff>0</xdr:rowOff>
        </xdr:to>
        <xdr:sp macro="" textlink="">
          <xdr:nvSpPr>
            <xdr:cNvPr id="1059" name="Check Box 35" hidden="1">
              <a:extLst>
                <a:ext uri="{63B3BB69-23CF-44E3-9099-C40C66FF867C}">
                  <a14:compatExt spid="_x0000_s1059"/>
                </a:ext>
                <a:ext uri="{FF2B5EF4-FFF2-40B4-BE49-F238E27FC236}">
                  <a16:creationId xmlns:a16="http://schemas.microsoft.com/office/drawing/2014/main" id="{00000000-0008-0000-0000-00002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zh-CN" altLang="en-US" sz="900" b="0" i="0" u="none" strike="noStrike" baseline="0">
                  <a:solidFill>
                    <a:srgbClr val="000000"/>
                  </a:solidFill>
                  <a:latin typeface="宋体"/>
                  <a:ea typeface="宋体"/>
                </a:rPr>
                <a:t>有效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485775</xdr:colOff>
          <xdr:row>5</xdr:row>
          <xdr:rowOff>0</xdr:rowOff>
        </xdr:from>
        <xdr:to>
          <xdr:col>16</xdr:col>
          <xdr:colOff>676275</xdr:colOff>
          <xdr:row>5</xdr:row>
          <xdr:rowOff>228600</xdr:rowOff>
        </xdr:to>
        <xdr:sp macro="" textlink="">
          <xdr:nvSpPr>
            <xdr:cNvPr id="1060" name="Spinner 36" hidden="1">
              <a:extLst>
                <a:ext uri="{63B3BB69-23CF-44E3-9099-C40C66FF867C}">
                  <a14:compatExt spid="_x0000_s1060"/>
                </a:ext>
                <a:ext uri="{FF2B5EF4-FFF2-40B4-BE49-F238E27FC236}">
                  <a16:creationId xmlns:a16="http://schemas.microsoft.com/office/drawing/2014/main" id="{00000000-0008-0000-0000-00002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18</xdr:col>
      <xdr:colOff>0</xdr:colOff>
      <xdr:row>4</xdr:row>
      <xdr:rowOff>123825</xdr:rowOff>
    </xdr:from>
    <xdr:to>
      <xdr:col>19</xdr:col>
      <xdr:colOff>19050</xdr:colOff>
      <xdr:row>4</xdr:row>
      <xdr:rowOff>123825</xdr:rowOff>
    </xdr:to>
    <xdr:cxnSp macro="">
      <xdr:nvCxnSpPr>
        <xdr:cNvPr id="34" name="直接箭头连接符 33">
          <a:extLst>
            <a:ext uri="{FF2B5EF4-FFF2-40B4-BE49-F238E27FC236}">
              <a16:creationId xmlns:a16="http://schemas.microsoft.com/office/drawing/2014/main" id="{00000000-0008-0000-0000-000022000000}"/>
            </a:ext>
          </a:extLst>
        </xdr:cNvPr>
        <xdr:cNvCxnSpPr/>
      </xdr:nvCxnSpPr>
      <xdr:spPr>
        <a:xfrm>
          <a:off x="13420725" y="1133475"/>
          <a:ext cx="7048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866775</xdr:colOff>
      <xdr:row>8</xdr:row>
      <xdr:rowOff>228600</xdr:rowOff>
    </xdr:from>
    <xdr:to>
      <xdr:col>17</xdr:col>
      <xdr:colOff>0</xdr:colOff>
      <xdr:row>8</xdr:row>
      <xdr:rowOff>228600</xdr:rowOff>
    </xdr:to>
    <xdr:cxnSp macro="">
      <xdr:nvCxnSpPr>
        <xdr:cNvPr id="37" name="直接箭头连接符 36">
          <a:extLst>
            <a:ext uri="{FF2B5EF4-FFF2-40B4-BE49-F238E27FC236}">
              <a16:creationId xmlns:a16="http://schemas.microsoft.com/office/drawing/2014/main" id="{00000000-0008-0000-0000-000025000000}"/>
            </a:ext>
          </a:extLst>
        </xdr:cNvPr>
        <xdr:cNvCxnSpPr/>
      </xdr:nvCxnSpPr>
      <xdr:spPr>
        <a:xfrm>
          <a:off x="11277600" y="2200275"/>
          <a:ext cx="139065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19050</xdr:colOff>
      <xdr:row>8</xdr:row>
      <xdr:rowOff>228600</xdr:rowOff>
    </xdr:from>
    <xdr:to>
      <xdr:col>18</xdr:col>
      <xdr:colOff>666750</xdr:colOff>
      <xdr:row>8</xdr:row>
      <xdr:rowOff>228600</xdr:rowOff>
    </xdr:to>
    <xdr:cxnSp macro="">
      <xdr:nvCxnSpPr>
        <xdr:cNvPr id="39" name="直接箭头连接符 38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CxnSpPr/>
      </xdr:nvCxnSpPr>
      <xdr:spPr>
        <a:xfrm>
          <a:off x="13439775" y="2200275"/>
          <a:ext cx="647700" cy="0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16</xdr:col>
          <xdr:colOff>485775</xdr:colOff>
          <xdr:row>9</xdr:row>
          <xdr:rowOff>0</xdr:rowOff>
        </xdr:from>
        <xdr:to>
          <xdr:col>16</xdr:col>
          <xdr:colOff>676275</xdr:colOff>
          <xdr:row>9</xdr:row>
          <xdr:rowOff>228600</xdr:rowOff>
        </xdr:to>
        <xdr:sp macro="" textlink="">
          <xdr:nvSpPr>
            <xdr:cNvPr id="1061" name="Spinner 37" hidden="1">
              <a:extLst>
                <a:ext uri="{63B3BB69-23CF-44E3-9099-C40C66FF867C}">
                  <a14:compatExt spid="_x0000_s1061"/>
                </a:ext>
                <a:ext uri="{FF2B5EF4-FFF2-40B4-BE49-F238E27FC236}">
                  <a16:creationId xmlns:a16="http://schemas.microsoft.com/office/drawing/2014/main" id="{00000000-0008-0000-0000-00002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 editAs="oneCell">
    <xdr:from>
      <xdr:col>16</xdr:col>
      <xdr:colOff>323850</xdr:colOff>
      <xdr:row>16</xdr:row>
      <xdr:rowOff>161925</xdr:rowOff>
    </xdr:from>
    <xdr:to>
      <xdr:col>22</xdr:col>
      <xdr:colOff>618546</xdr:colOff>
      <xdr:row>19</xdr:row>
      <xdr:rowOff>152312</xdr:rowOff>
    </xdr:to>
    <xdr:pic>
      <xdr:nvPicPr>
        <xdr:cNvPr id="4" name="图片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2306300" y="4057650"/>
          <a:ext cx="4628571" cy="70476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lnDef>
      <a:spPr>
        <a:ln>
          <a:tailEnd type="arrow"/>
        </a:ln>
      </a:spPr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3.xml"/><Relationship Id="rId13" Type="http://schemas.openxmlformats.org/officeDocument/2006/relationships/ctrlProp" Target="../ctrlProps/ctrlProp8.xml"/><Relationship Id="rId18" Type="http://schemas.openxmlformats.org/officeDocument/2006/relationships/ctrlProp" Target="../ctrlProps/ctrlProp13.xml"/><Relationship Id="rId3" Type="http://schemas.openxmlformats.org/officeDocument/2006/relationships/printerSettings" Target="../printerSettings/printerSettings1.bin"/><Relationship Id="rId21" Type="http://schemas.openxmlformats.org/officeDocument/2006/relationships/ctrlProp" Target="../ctrlProps/ctrlProp16.xml"/><Relationship Id="rId7" Type="http://schemas.openxmlformats.org/officeDocument/2006/relationships/ctrlProp" Target="../ctrlProps/ctrlProp2.xml"/><Relationship Id="rId12" Type="http://schemas.openxmlformats.org/officeDocument/2006/relationships/ctrlProp" Target="../ctrlProps/ctrlProp7.xml"/><Relationship Id="rId17" Type="http://schemas.openxmlformats.org/officeDocument/2006/relationships/ctrlProp" Target="../ctrlProps/ctrlProp12.xml"/><Relationship Id="rId2" Type="http://schemas.openxmlformats.org/officeDocument/2006/relationships/hyperlink" Target="mailto:dhu@hodcarrier.org" TargetMode="External"/><Relationship Id="rId16" Type="http://schemas.openxmlformats.org/officeDocument/2006/relationships/ctrlProp" Target="../ctrlProps/ctrlProp11.xml"/><Relationship Id="rId20" Type="http://schemas.openxmlformats.org/officeDocument/2006/relationships/ctrlProp" Target="../ctrlProps/ctrlProp15.xml"/><Relationship Id="rId1" Type="http://schemas.openxmlformats.org/officeDocument/2006/relationships/hyperlink" Target="mailto:dhu@hodcarrier.org" TargetMode="External"/><Relationship Id="rId6" Type="http://schemas.openxmlformats.org/officeDocument/2006/relationships/ctrlProp" Target="../ctrlProps/ctrlProp1.xml"/><Relationship Id="rId11" Type="http://schemas.openxmlformats.org/officeDocument/2006/relationships/ctrlProp" Target="../ctrlProps/ctrlProp6.xml"/><Relationship Id="rId5" Type="http://schemas.openxmlformats.org/officeDocument/2006/relationships/vmlDrawing" Target="../drawings/vmlDrawing1.vml"/><Relationship Id="rId15" Type="http://schemas.openxmlformats.org/officeDocument/2006/relationships/ctrlProp" Target="../ctrlProps/ctrlProp10.xml"/><Relationship Id="rId10" Type="http://schemas.openxmlformats.org/officeDocument/2006/relationships/ctrlProp" Target="../ctrlProps/ctrlProp5.xml"/><Relationship Id="rId19" Type="http://schemas.openxmlformats.org/officeDocument/2006/relationships/ctrlProp" Target="../ctrlProps/ctrlProp14.xml"/><Relationship Id="rId4" Type="http://schemas.openxmlformats.org/officeDocument/2006/relationships/drawing" Target="../drawings/drawing1.xml"/><Relationship Id="rId9" Type="http://schemas.openxmlformats.org/officeDocument/2006/relationships/ctrlProp" Target="../ctrlProps/ctrlProp4.xml"/><Relationship Id="rId14" Type="http://schemas.openxmlformats.org/officeDocument/2006/relationships/ctrlProp" Target="../ctrlProps/ctrlProp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4"/>
  <sheetViews>
    <sheetView tabSelected="1" zoomScaleNormal="100" workbookViewId="0">
      <selection activeCell="B2" sqref="B2"/>
    </sheetView>
  </sheetViews>
  <sheetFormatPr defaultRowHeight="13.5"/>
  <cols>
    <col min="2" max="2" width="11.625" customWidth="1"/>
    <col min="3" max="3" width="12.375" customWidth="1"/>
    <col min="4" max="4" width="11.625" customWidth="1"/>
    <col min="5" max="6" width="8.625" customWidth="1"/>
    <col min="7" max="7" width="11.625" customWidth="1"/>
    <col min="9" max="9" width="14.375" hidden="1" customWidth="1"/>
    <col min="10" max="10" width="11.625" customWidth="1"/>
    <col min="11" max="11" width="12.875" customWidth="1"/>
    <col min="13" max="13" width="11.625" customWidth="1"/>
    <col min="15" max="15" width="11.625" customWidth="1"/>
    <col min="18" max="18" width="9.875" customWidth="1"/>
    <col min="20" max="20" width="11" customWidth="1"/>
  </cols>
  <sheetData>
    <row r="1" spans="2:20" ht="22.5">
      <c r="B1" s="32" t="s">
        <v>79</v>
      </c>
    </row>
    <row r="2" spans="2:20" ht="18.75">
      <c r="B2" s="93" t="s">
        <v>43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2:20" ht="18.75">
      <c r="B3" s="1"/>
      <c r="C3" s="1"/>
      <c r="D3" s="1"/>
      <c r="E3" s="1"/>
      <c r="F3" s="63" t="s">
        <v>7</v>
      </c>
      <c r="G3" s="64"/>
      <c r="H3" s="64"/>
      <c r="I3" s="64"/>
      <c r="J3" s="64"/>
      <c r="K3" s="64"/>
      <c r="L3" s="64"/>
      <c r="M3" s="58"/>
      <c r="N3" s="58"/>
      <c r="O3" s="58"/>
      <c r="P3" s="59"/>
    </row>
    <row r="4" spans="2:20" ht="19.5" thickBot="1">
      <c r="B4" s="1"/>
      <c r="C4" s="1"/>
      <c r="D4" s="1"/>
      <c r="E4" s="1"/>
      <c r="F4" s="65"/>
      <c r="G4" s="4"/>
      <c r="H4" s="4"/>
      <c r="I4" s="20"/>
      <c r="J4" s="21"/>
      <c r="K4" s="21"/>
      <c r="L4" s="21"/>
      <c r="M4" s="22"/>
      <c r="N4" s="23"/>
      <c r="O4" s="5"/>
      <c r="P4" s="60"/>
      <c r="R4" s="1" t="s">
        <v>71</v>
      </c>
    </row>
    <row r="5" spans="2:20" ht="18.75">
      <c r="B5" s="6" t="s">
        <v>2</v>
      </c>
      <c r="C5" s="1"/>
      <c r="D5" s="6" t="s">
        <v>0</v>
      </c>
      <c r="E5" s="4"/>
      <c r="F5" s="65"/>
      <c r="G5" s="6" t="s">
        <v>1</v>
      </c>
      <c r="H5" s="4"/>
      <c r="I5" s="24"/>
      <c r="J5" s="6" t="s">
        <v>12</v>
      </c>
      <c r="K5" s="4"/>
      <c r="L5" s="4"/>
      <c r="M5" s="6" t="s">
        <v>3</v>
      </c>
      <c r="N5" s="25"/>
      <c r="O5" s="5"/>
      <c r="P5" s="60"/>
      <c r="R5" s="6">
        <v>15</v>
      </c>
      <c r="T5" s="6" t="s">
        <v>65</v>
      </c>
    </row>
    <row r="6" spans="2:20" ht="19.5" thickBot="1">
      <c r="B6" s="7">
        <v>24</v>
      </c>
      <c r="C6" s="1" t="s">
        <v>6</v>
      </c>
      <c r="D6" s="71">
        <f>B6</f>
        <v>24</v>
      </c>
      <c r="E6" s="12"/>
      <c r="F6" s="65"/>
      <c r="G6" s="7">
        <v>264</v>
      </c>
      <c r="H6" s="4"/>
      <c r="I6" s="24"/>
      <c r="J6" s="7">
        <v>1</v>
      </c>
      <c r="K6" s="4"/>
      <c r="L6" s="4"/>
      <c r="M6" s="71">
        <f>G6/IF(J6, J6, 1)</f>
        <v>264</v>
      </c>
      <c r="N6" s="26" t="s">
        <v>6</v>
      </c>
      <c r="O6" s="5"/>
      <c r="P6" s="60"/>
      <c r="R6" s="70">
        <v>16</v>
      </c>
      <c r="T6" s="71">
        <f>M6*(R5+1)/R6</f>
        <v>264</v>
      </c>
    </row>
    <row r="7" spans="2:20" ht="18.75">
      <c r="B7" s="1"/>
      <c r="C7" s="1"/>
      <c r="D7" s="1"/>
      <c r="E7" s="1"/>
      <c r="F7" s="65"/>
      <c r="G7" s="4"/>
      <c r="H7" s="4"/>
      <c r="I7" s="27"/>
      <c r="J7" s="28"/>
      <c r="K7" s="28"/>
      <c r="L7" s="28"/>
      <c r="M7" s="29"/>
      <c r="N7" s="30"/>
      <c r="O7" s="5"/>
      <c r="P7" s="60"/>
    </row>
    <row r="8" spans="2:20" ht="19.5" thickBot="1">
      <c r="B8" s="1"/>
      <c r="C8" s="1"/>
      <c r="D8" s="8"/>
      <c r="E8" s="8"/>
      <c r="F8" s="65"/>
      <c r="G8" s="4"/>
      <c r="H8" s="4"/>
      <c r="I8" s="4"/>
      <c r="J8" s="4"/>
      <c r="K8" s="4"/>
      <c r="L8" s="4"/>
      <c r="M8" s="5"/>
      <c r="N8" s="5"/>
      <c r="O8" s="5"/>
      <c r="P8" s="60"/>
    </row>
    <row r="9" spans="2:20" ht="18.75">
      <c r="B9" s="1"/>
      <c r="C9" s="1"/>
      <c r="D9" s="8"/>
      <c r="E9" s="8"/>
      <c r="F9" s="65"/>
      <c r="G9" s="4"/>
      <c r="H9" s="4"/>
      <c r="I9" s="4"/>
      <c r="J9" s="4"/>
      <c r="K9" s="4"/>
      <c r="L9" s="4"/>
      <c r="M9" s="2" t="s">
        <v>4</v>
      </c>
      <c r="N9" s="4"/>
      <c r="O9" s="2" t="s">
        <v>5</v>
      </c>
      <c r="P9" s="60"/>
      <c r="R9" s="72" t="str">
        <f>"(" &amp; 2^(R10+1)&amp; ")"</f>
        <v>(4)</v>
      </c>
      <c r="T9" s="2" t="s">
        <v>64</v>
      </c>
    </row>
    <row r="10" spans="2:20" ht="19.5" thickBot="1">
      <c r="B10" s="1"/>
      <c r="C10" s="10">
        <f>G6*4/B6</f>
        <v>44</v>
      </c>
      <c r="D10" s="11"/>
      <c r="E10" s="1"/>
      <c r="F10" s="65"/>
      <c r="G10" s="4"/>
      <c r="H10" s="4"/>
      <c r="I10" s="4"/>
      <c r="J10" s="4"/>
      <c r="K10" s="4"/>
      <c r="L10" s="4"/>
      <c r="M10" s="3">
        <v>2</v>
      </c>
      <c r="N10" s="4"/>
      <c r="O10" s="9">
        <f>M6/M10</f>
        <v>132</v>
      </c>
      <c r="P10" s="66" t="s">
        <v>6</v>
      </c>
      <c r="R10" s="7">
        <v>1</v>
      </c>
      <c r="T10" s="9">
        <f>O10/(2^(1+R10))</f>
        <v>33</v>
      </c>
    </row>
    <row r="11" spans="2:20" ht="18.75">
      <c r="B11" s="1"/>
      <c r="C11" s="46" t="s">
        <v>42</v>
      </c>
      <c r="D11" s="47" t="str">
        <f>DEC2HEX((G6*4)/D6,2)</f>
        <v>2C</v>
      </c>
      <c r="E11" s="1"/>
      <c r="F11" s="67"/>
      <c r="G11" s="68"/>
      <c r="H11" s="68"/>
      <c r="I11" s="68"/>
      <c r="J11" s="68"/>
      <c r="K11" s="61"/>
      <c r="L11" s="61"/>
      <c r="M11" s="61"/>
      <c r="N11" s="61"/>
      <c r="O11" s="61"/>
      <c r="P11" s="62"/>
    </row>
    <row r="12" spans="2:20" ht="18.75">
      <c r="B12" s="1"/>
      <c r="C12" s="46" t="s">
        <v>41</v>
      </c>
      <c r="D12" s="47"/>
      <c r="E12" s="1"/>
      <c r="F12" s="1"/>
      <c r="G12" s="1"/>
      <c r="H12" s="1"/>
      <c r="I12" s="1"/>
      <c r="J12" s="1"/>
    </row>
    <row r="13" spans="2:20" ht="18.75">
      <c r="B13" s="4"/>
      <c r="C13" s="8"/>
      <c r="D13" s="1"/>
      <c r="E13" s="1"/>
      <c r="F13" s="1"/>
      <c r="G13" s="1"/>
      <c r="H13" s="1"/>
      <c r="I13" s="1"/>
      <c r="J13" s="1"/>
      <c r="K13" s="1"/>
      <c r="L13" s="1"/>
    </row>
    <row r="14" spans="2:20" ht="18.75">
      <c r="B14" s="4"/>
      <c r="C14" s="4"/>
      <c r="D14" s="4"/>
      <c r="E14" s="48"/>
      <c r="F14" s="13"/>
      <c r="G14" s="13"/>
      <c r="H14" s="13"/>
      <c r="I14" s="13"/>
      <c r="J14" s="14"/>
      <c r="K14" s="14"/>
      <c r="L14" s="14"/>
      <c r="M14" s="14"/>
      <c r="N14" s="15"/>
    </row>
    <row r="15" spans="2:20" ht="18.75">
      <c r="B15" s="1"/>
      <c r="C15" s="4"/>
      <c r="D15" s="4"/>
      <c r="E15" s="16"/>
      <c r="F15" s="31" t="s">
        <v>8</v>
      </c>
      <c r="G15" s="4"/>
      <c r="H15" s="4"/>
      <c r="I15" s="4"/>
      <c r="J15" s="5"/>
      <c r="K15" s="5"/>
      <c r="L15" s="5"/>
      <c r="M15" s="5"/>
      <c r="N15" s="17"/>
    </row>
    <row r="16" spans="2:20" ht="18.75">
      <c r="B16" s="1"/>
      <c r="C16" s="4"/>
      <c r="D16" s="4"/>
      <c r="E16" s="16"/>
      <c r="F16" s="4"/>
      <c r="G16" s="4"/>
      <c r="H16" s="4"/>
      <c r="I16" s="4"/>
      <c r="J16" s="5"/>
      <c r="K16" s="5"/>
      <c r="L16" s="5"/>
      <c r="M16" s="5"/>
      <c r="N16" s="17"/>
    </row>
    <row r="17" spans="3:20" ht="18.75">
      <c r="C17" s="5"/>
      <c r="D17" s="5"/>
      <c r="E17" s="49"/>
      <c r="F17" s="5"/>
      <c r="G17" s="5"/>
      <c r="H17" s="5"/>
      <c r="I17" s="4"/>
      <c r="J17" s="2" t="s">
        <v>9</v>
      </c>
      <c r="K17" s="4"/>
      <c r="L17" s="4"/>
      <c r="M17" s="2" t="s">
        <v>13</v>
      </c>
      <c r="N17" s="17"/>
    </row>
    <row r="18" spans="3:20" ht="18.75">
      <c r="C18" s="5"/>
      <c r="D18" s="5"/>
      <c r="E18" s="49"/>
      <c r="F18" s="5"/>
      <c r="G18" s="5"/>
      <c r="H18" s="5"/>
      <c r="I18" s="4"/>
      <c r="J18" s="3">
        <v>33</v>
      </c>
      <c r="K18" s="4"/>
      <c r="L18" s="4"/>
      <c r="M18" s="3">
        <f>C21/IF(J18, J18, 1)</f>
        <v>4</v>
      </c>
      <c r="N18" s="17"/>
    </row>
    <row r="19" spans="3:20" ht="18.75">
      <c r="C19" s="5"/>
      <c r="D19" s="5"/>
      <c r="E19" s="49"/>
      <c r="F19" s="5"/>
      <c r="G19" s="5"/>
      <c r="H19" s="5"/>
      <c r="I19" s="4"/>
      <c r="J19" s="55">
        <f>C21/M19</f>
        <v>132</v>
      </c>
      <c r="K19" s="4"/>
      <c r="L19" s="4"/>
      <c r="M19" s="55">
        <v>1</v>
      </c>
      <c r="N19" s="17"/>
    </row>
    <row r="20" spans="3:20" ht="18.75">
      <c r="C20" s="2" t="s">
        <v>54</v>
      </c>
      <c r="D20" s="4"/>
      <c r="E20" s="49"/>
      <c r="F20" s="5"/>
      <c r="G20" s="4"/>
      <c r="H20" s="4"/>
      <c r="I20" s="4"/>
      <c r="J20" s="4"/>
      <c r="K20" s="4"/>
      <c r="L20" s="4"/>
      <c r="M20" s="4"/>
      <c r="N20" s="17"/>
    </row>
    <row r="21" spans="3:20" ht="18.75">
      <c r="C21" s="56">
        <f>O10</f>
        <v>132</v>
      </c>
      <c r="D21" s="4" t="s">
        <v>16</v>
      </c>
      <c r="E21" s="16"/>
      <c r="F21" s="5"/>
      <c r="G21" s="4"/>
      <c r="H21" s="4"/>
      <c r="I21" s="4"/>
      <c r="J21" s="4"/>
      <c r="K21" s="4"/>
      <c r="L21" s="4"/>
      <c r="M21" s="4"/>
      <c r="N21" s="17"/>
    </row>
    <row r="22" spans="3:20" ht="18.75">
      <c r="C22" s="5"/>
      <c r="D22" s="5"/>
      <c r="E22" s="49"/>
      <c r="F22" s="5"/>
      <c r="G22" s="5"/>
      <c r="H22" s="5"/>
      <c r="I22" s="4"/>
      <c r="J22" s="4"/>
      <c r="K22" s="4"/>
      <c r="L22" s="4"/>
      <c r="M22" s="4"/>
      <c r="N22" s="17"/>
    </row>
    <row r="23" spans="3:20" ht="18.75">
      <c r="C23" s="5"/>
      <c r="D23" s="5"/>
      <c r="E23" s="49"/>
      <c r="F23" s="5"/>
      <c r="G23" s="5"/>
      <c r="H23" s="5"/>
      <c r="I23" s="4"/>
      <c r="J23" s="4"/>
      <c r="K23" s="4"/>
      <c r="L23" s="4"/>
      <c r="M23" s="4"/>
      <c r="N23" s="17"/>
    </row>
    <row r="24" spans="3:20" ht="18.75">
      <c r="C24" s="5"/>
      <c r="D24" s="5"/>
      <c r="E24" s="49"/>
      <c r="F24" s="5"/>
      <c r="G24" s="5"/>
      <c r="H24" s="5"/>
      <c r="I24" s="4"/>
      <c r="J24" s="2" t="s">
        <v>10</v>
      </c>
      <c r="K24" s="4"/>
      <c r="L24" s="4"/>
      <c r="M24" s="2" t="s">
        <v>14</v>
      </c>
      <c r="N24" s="17"/>
    </row>
    <row r="25" spans="3:20" ht="18.75">
      <c r="C25" s="5"/>
      <c r="D25" s="5"/>
      <c r="E25" s="49"/>
      <c r="F25" s="5"/>
      <c r="G25" s="5"/>
      <c r="H25" s="5"/>
      <c r="I25" s="4"/>
      <c r="J25" s="3">
        <v>33</v>
      </c>
      <c r="K25" s="4"/>
      <c r="L25" s="4"/>
      <c r="M25" s="3">
        <f>C21/IF(J25, J25, 1)</f>
        <v>4</v>
      </c>
      <c r="N25" s="17"/>
      <c r="S25">
        <v>1</v>
      </c>
      <c r="T25">
        <f>133*S25</f>
        <v>133</v>
      </c>
    </row>
    <row r="26" spans="3:20" ht="18.75">
      <c r="C26" s="5"/>
      <c r="D26" s="5"/>
      <c r="E26" s="49"/>
      <c r="F26" s="5"/>
      <c r="G26" s="5"/>
      <c r="H26" s="5"/>
      <c r="I26" s="4"/>
      <c r="J26" s="4"/>
      <c r="K26" s="4"/>
      <c r="L26" s="4"/>
      <c r="M26" s="4"/>
      <c r="N26" s="17"/>
      <c r="S26">
        <v>2</v>
      </c>
      <c r="T26">
        <f t="shared" ref="T26:T28" si="0">133*S26</f>
        <v>266</v>
      </c>
    </row>
    <row r="27" spans="3:20" ht="18.75">
      <c r="C27" s="5"/>
      <c r="D27" s="5"/>
      <c r="E27" s="49"/>
      <c r="F27" s="5"/>
      <c r="G27" s="5"/>
      <c r="H27" s="5"/>
      <c r="I27" s="4"/>
      <c r="J27" s="4"/>
      <c r="K27" s="4"/>
      <c r="L27" s="4"/>
      <c r="M27" s="4"/>
      <c r="N27" s="17"/>
      <c r="S27">
        <v>3</v>
      </c>
      <c r="T27">
        <f t="shared" si="0"/>
        <v>399</v>
      </c>
    </row>
    <row r="28" spans="3:20" ht="18.75">
      <c r="C28" s="5"/>
      <c r="D28" s="5"/>
      <c r="E28" s="49"/>
      <c r="F28" s="5"/>
      <c r="G28" s="5"/>
      <c r="H28" s="5"/>
      <c r="I28" s="4"/>
      <c r="J28" s="4"/>
      <c r="K28" s="4"/>
      <c r="L28" s="4"/>
      <c r="M28" s="4"/>
      <c r="N28" s="17"/>
      <c r="S28">
        <v>4</v>
      </c>
      <c r="T28">
        <f t="shared" si="0"/>
        <v>532</v>
      </c>
    </row>
    <row r="29" spans="3:20" ht="18.75">
      <c r="C29" s="5"/>
      <c r="D29" s="5"/>
      <c r="E29" s="49"/>
      <c r="F29" s="5"/>
      <c r="G29" s="5"/>
      <c r="H29" s="5"/>
      <c r="I29" s="4"/>
      <c r="J29" s="2" t="s">
        <v>11</v>
      </c>
      <c r="K29" s="4"/>
      <c r="L29" s="4"/>
      <c r="M29" s="2" t="s">
        <v>15</v>
      </c>
      <c r="N29" s="17"/>
    </row>
    <row r="30" spans="3:20" ht="18.75">
      <c r="C30" s="5"/>
      <c r="D30" s="5"/>
      <c r="E30" s="49"/>
      <c r="F30" s="5"/>
      <c r="G30" s="5"/>
      <c r="H30" s="5"/>
      <c r="I30" s="4"/>
      <c r="J30" s="56">
        <f>J6</f>
        <v>1</v>
      </c>
      <c r="K30" s="4"/>
      <c r="L30" s="4"/>
      <c r="M30" s="3">
        <f>M6</f>
        <v>264</v>
      </c>
      <c r="N30" s="17"/>
    </row>
    <row r="31" spans="3:20">
      <c r="C31" s="5"/>
      <c r="D31" s="5"/>
      <c r="E31" s="50"/>
      <c r="F31" s="18"/>
      <c r="G31" s="18"/>
      <c r="H31" s="18"/>
      <c r="I31" s="18"/>
      <c r="J31" s="18"/>
      <c r="K31" s="18"/>
      <c r="L31" s="18"/>
      <c r="M31" s="18"/>
      <c r="N31" s="19"/>
    </row>
    <row r="34" spans="1:19" ht="15">
      <c r="B34" s="40" t="s">
        <v>17</v>
      </c>
      <c r="C34" s="36"/>
      <c r="D34" s="36" t="s">
        <v>24</v>
      </c>
      <c r="E34" s="36" t="s">
        <v>25</v>
      </c>
      <c r="F34" s="36"/>
      <c r="G34" s="36" t="s">
        <v>26</v>
      </c>
      <c r="H34" s="36" t="s">
        <v>29</v>
      </c>
      <c r="I34" s="36"/>
      <c r="J34" s="36" t="s">
        <v>27</v>
      </c>
      <c r="K34" s="36" t="s">
        <v>28</v>
      </c>
    </row>
    <row r="35" spans="1:19" ht="15">
      <c r="B35" s="35" t="s">
        <v>18</v>
      </c>
      <c r="C35" s="36"/>
      <c r="D35" s="37">
        <v>31</v>
      </c>
      <c r="E35" s="37">
        <v>31</v>
      </c>
      <c r="F35" s="37"/>
      <c r="G35" s="37">
        <v>1</v>
      </c>
      <c r="H35" s="37">
        <v>1</v>
      </c>
      <c r="I35" s="37"/>
      <c r="J35" s="37">
        <f>VALUE(H35)*2^E35</f>
        <v>2147483648</v>
      </c>
      <c r="K35" s="51" t="str">
        <f>DEC2HEX(J35)</f>
        <v>80000000</v>
      </c>
      <c r="P35" s="36"/>
      <c r="Q35" s="36">
        <v>1</v>
      </c>
      <c r="R35" s="36">
        <v>0</v>
      </c>
      <c r="S35" s="36"/>
    </row>
    <row r="36" spans="1:19" ht="15">
      <c r="B36" s="35" t="s">
        <v>19</v>
      </c>
      <c r="C36" s="36"/>
      <c r="D36" s="37">
        <v>30</v>
      </c>
      <c r="E36" s="37">
        <v>24</v>
      </c>
      <c r="F36" s="37"/>
      <c r="G36" s="37">
        <v>1</v>
      </c>
      <c r="H36" s="53">
        <v>0</v>
      </c>
      <c r="I36" s="37"/>
      <c r="J36" s="37">
        <f t="shared" ref="J36:J40" si="1">VALUE(H36)*2^E36</f>
        <v>0</v>
      </c>
      <c r="K36" s="51" t="str">
        <f t="shared" ref="K36:K41" si="2">DEC2HEX(J36)</f>
        <v>0</v>
      </c>
      <c r="P36" s="36">
        <v>0</v>
      </c>
      <c r="Q36" s="36">
        <f>2^(D36-E36+1)-1</f>
        <v>127</v>
      </c>
      <c r="R36" s="36"/>
      <c r="S36" s="36"/>
    </row>
    <row r="37" spans="1:19" ht="15">
      <c r="B37" s="44" t="s">
        <v>20</v>
      </c>
      <c r="C37" s="41"/>
      <c r="D37" s="45">
        <v>23</v>
      </c>
      <c r="E37" s="45">
        <v>16</v>
      </c>
      <c r="F37" s="45"/>
      <c r="G37" s="45">
        <v>1</v>
      </c>
      <c r="H37" s="45">
        <f>D12</f>
        <v>0</v>
      </c>
      <c r="I37" s="37"/>
      <c r="J37" s="37">
        <f t="shared" si="1"/>
        <v>0</v>
      </c>
      <c r="K37" s="51" t="str">
        <f t="shared" si="2"/>
        <v>0</v>
      </c>
      <c r="P37" s="36"/>
      <c r="Q37" s="36"/>
      <c r="R37" s="36"/>
      <c r="S37" s="36"/>
    </row>
    <row r="38" spans="1:19" ht="15">
      <c r="B38" s="44" t="s">
        <v>21</v>
      </c>
      <c r="C38" s="41"/>
      <c r="D38" s="45">
        <v>15</v>
      </c>
      <c r="E38" s="45">
        <v>8</v>
      </c>
      <c r="F38" s="45"/>
      <c r="G38" s="45">
        <v>1</v>
      </c>
      <c r="H38" s="45" t="str">
        <f>D11</f>
        <v>2C</v>
      </c>
      <c r="I38" s="37"/>
      <c r="J38" s="37">
        <f>VALUE(HEX2DEC(H38))*2^E38</f>
        <v>11264</v>
      </c>
      <c r="K38" s="51" t="str">
        <f t="shared" si="2"/>
        <v>2C00</v>
      </c>
      <c r="P38" s="36"/>
      <c r="Q38" s="36"/>
      <c r="R38" s="36"/>
      <c r="S38" s="36"/>
    </row>
    <row r="39" spans="1:19" ht="15">
      <c r="B39" s="35" t="s">
        <v>19</v>
      </c>
      <c r="C39" s="36"/>
      <c r="D39" s="37">
        <v>7</v>
      </c>
      <c r="E39" s="37">
        <v>4</v>
      </c>
      <c r="F39" s="37"/>
      <c r="G39" s="37">
        <v>0</v>
      </c>
      <c r="H39" s="53">
        <v>0</v>
      </c>
      <c r="I39" s="37"/>
      <c r="J39" s="37">
        <f t="shared" si="1"/>
        <v>0</v>
      </c>
      <c r="K39" s="51" t="str">
        <f t="shared" si="2"/>
        <v>0</v>
      </c>
      <c r="P39" s="36"/>
      <c r="Q39" s="36">
        <f>2^(D39-E39+1)-1</f>
        <v>15</v>
      </c>
      <c r="R39" s="36">
        <v>0</v>
      </c>
      <c r="S39" s="36"/>
    </row>
    <row r="40" spans="1:19" ht="15">
      <c r="B40" s="35" t="s">
        <v>22</v>
      </c>
      <c r="C40" s="36"/>
      <c r="D40" s="37">
        <v>3</v>
      </c>
      <c r="E40" s="37">
        <v>2</v>
      </c>
      <c r="F40" s="37"/>
      <c r="G40" s="37">
        <v>1</v>
      </c>
      <c r="H40" s="54">
        <v>3</v>
      </c>
      <c r="I40" s="37"/>
      <c r="J40" s="37">
        <f t="shared" si="1"/>
        <v>12</v>
      </c>
      <c r="K40" s="51" t="str">
        <f t="shared" si="2"/>
        <v>C</v>
      </c>
      <c r="P40" s="36"/>
      <c r="Q40" s="36">
        <v>1</v>
      </c>
      <c r="R40" s="36">
        <v>2</v>
      </c>
      <c r="S40" s="36">
        <v>3</v>
      </c>
    </row>
    <row r="41" spans="1:19" ht="15">
      <c r="A41" s="69"/>
      <c r="B41" s="42" t="s">
        <v>23</v>
      </c>
      <c r="C41" s="43"/>
      <c r="D41" s="52">
        <v>1</v>
      </c>
      <c r="E41" s="52">
        <v>0</v>
      </c>
      <c r="F41" s="52"/>
      <c r="G41" s="52">
        <v>1</v>
      </c>
      <c r="H41" s="52" t="s">
        <v>115</v>
      </c>
      <c r="I41" s="37" t="s">
        <v>48</v>
      </c>
      <c r="J41" s="37">
        <f>LEFT(H41, 1)*2^E41</f>
        <v>3</v>
      </c>
      <c r="K41" s="51" t="str">
        <f t="shared" si="2"/>
        <v>3</v>
      </c>
      <c r="P41" s="36" t="s">
        <v>116</v>
      </c>
      <c r="Q41" s="36" t="s">
        <v>46</v>
      </c>
      <c r="R41" s="36" t="s">
        <v>45</v>
      </c>
      <c r="S41" s="36" t="s">
        <v>44</v>
      </c>
    </row>
    <row r="42" spans="1:19" ht="15">
      <c r="B42" s="35"/>
      <c r="C42" s="36"/>
      <c r="D42" s="37"/>
      <c r="E42" s="37"/>
      <c r="F42" s="37"/>
      <c r="G42" s="37"/>
      <c r="H42" s="37"/>
      <c r="I42" s="37"/>
      <c r="J42" s="37"/>
      <c r="K42" s="37"/>
      <c r="P42" s="36"/>
      <c r="Q42" s="36"/>
      <c r="R42" s="36"/>
      <c r="S42" s="36"/>
    </row>
    <row r="43" spans="1:19" ht="15">
      <c r="B43" s="35"/>
      <c r="C43" s="36"/>
      <c r="D43" s="37"/>
      <c r="E43" s="37"/>
      <c r="F43" s="37"/>
      <c r="G43" s="37"/>
      <c r="H43" s="37"/>
      <c r="I43" s="37"/>
      <c r="J43" s="37">
        <f>SUM(J35:J41)</f>
        <v>2147494927</v>
      </c>
      <c r="K43" s="37" t="str">
        <f>"0x" &amp; DEC2HEX(J43,8)</f>
        <v>0x80002C0F</v>
      </c>
      <c r="P43" s="36"/>
      <c r="Q43" s="36" t="str">
        <f>LEFT(Q41,1)</f>
        <v>1</v>
      </c>
      <c r="R43" s="36"/>
      <c r="S43" s="36"/>
    </row>
    <row r="44" spans="1:19" ht="15">
      <c r="B44" s="33"/>
      <c r="D44" s="34"/>
      <c r="E44" s="34"/>
      <c r="F44" s="34"/>
      <c r="G44" s="34"/>
      <c r="H44" s="34"/>
      <c r="I44" s="34"/>
      <c r="J44" s="34"/>
      <c r="K44" s="34"/>
    </row>
    <row r="47" spans="1:19" ht="15">
      <c r="B47" s="40" t="s">
        <v>30</v>
      </c>
      <c r="C47" s="36"/>
      <c r="D47" s="36"/>
      <c r="E47" s="36"/>
      <c r="F47" s="36"/>
      <c r="G47" s="36"/>
      <c r="H47" s="36"/>
      <c r="I47" s="36"/>
      <c r="J47" s="36"/>
      <c r="K47" s="36"/>
    </row>
    <row r="48" spans="1:19" ht="15">
      <c r="B48" s="44" t="s">
        <v>31</v>
      </c>
      <c r="C48" s="41"/>
      <c r="D48" s="45">
        <v>31</v>
      </c>
      <c r="E48" s="45">
        <v>24</v>
      </c>
      <c r="F48" s="45" t="b">
        <v>0</v>
      </c>
      <c r="G48" s="45" t="s">
        <v>47</v>
      </c>
      <c r="H48" s="45">
        <f>J18+IF(F48,128,0)</f>
        <v>33</v>
      </c>
      <c r="I48" s="38"/>
      <c r="J48" s="37">
        <f>H48*2^E48</f>
        <v>553648128</v>
      </c>
      <c r="K48" s="51" t="str">
        <f>DEC2HEX(J48)</f>
        <v>21000000</v>
      </c>
      <c r="Q48">
        <v>0</v>
      </c>
      <c r="R48">
        <f>2^(D48-E48+1)-1</f>
        <v>255</v>
      </c>
    </row>
    <row r="49" spans="1:18" ht="15">
      <c r="B49" s="44" t="s">
        <v>32</v>
      </c>
      <c r="C49" s="41"/>
      <c r="D49" s="45">
        <v>23</v>
      </c>
      <c r="E49" s="45">
        <v>16</v>
      </c>
      <c r="F49" s="45" t="b">
        <v>0</v>
      </c>
      <c r="G49" s="45" t="s">
        <v>47</v>
      </c>
      <c r="H49" s="45">
        <f>J25+IF(F49, 128, 0)</f>
        <v>33</v>
      </c>
      <c r="I49" s="38"/>
      <c r="J49" s="37">
        <f t="shared" ref="J49:J57" si="3">H49*2^E49</f>
        <v>2162688</v>
      </c>
      <c r="K49" s="51" t="str">
        <f t="shared" ref="K49:K57" si="4">DEC2HEX(J49)</f>
        <v>210000</v>
      </c>
      <c r="Q49">
        <v>0</v>
      </c>
      <c r="R49">
        <f t="shared" ref="R49:R50" si="5">2^(D49-E49+1)-1</f>
        <v>255</v>
      </c>
    </row>
    <row r="50" spans="1:18" ht="15">
      <c r="A50" s="69"/>
      <c r="B50" s="44" t="s">
        <v>33</v>
      </c>
      <c r="C50" s="41"/>
      <c r="D50" s="45">
        <v>15</v>
      </c>
      <c r="E50" s="45">
        <v>8</v>
      </c>
      <c r="F50" s="45" t="b">
        <v>1</v>
      </c>
      <c r="G50" s="45" t="s">
        <v>47</v>
      </c>
      <c r="H50" s="45">
        <f>J30+IF(F50, 128, 0)</f>
        <v>129</v>
      </c>
      <c r="I50" s="38"/>
      <c r="J50" s="37">
        <f t="shared" si="3"/>
        <v>33024</v>
      </c>
      <c r="K50" s="51" t="str">
        <f t="shared" si="4"/>
        <v>8100</v>
      </c>
      <c r="Q50">
        <v>0</v>
      </c>
      <c r="R50">
        <f t="shared" si="5"/>
        <v>255</v>
      </c>
    </row>
    <row r="51" spans="1:18" ht="15">
      <c r="B51" s="35" t="s">
        <v>40</v>
      </c>
      <c r="C51" s="36"/>
      <c r="D51" s="37">
        <v>7</v>
      </c>
      <c r="E51" s="37">
        <v>6</v>
      </c>
      <c r="F51" s="37"/>
      <c r="G51" s="37"/>
      <c r="H51" s="52">
        <v>0</v>
      </c>
      <c r="I51" s="38"/>
      <c r="J51" s="37">
        <f t="shared" si="3"/>
        <v>0</v>
      </c>
      <c r="K51" s="51" t="str">
        <f t="shared" si="4"/>
        <v>0</v>
      </c>
      <c r="Q51">
        <v>0</v>
      </c>
      <c r="R51">
        <f>(D51-E51+1)^2-1</f>
        <v>3</v>
      </c>
    </row>
    <row r="52" spans="1:18" ht="15">
      <c r="B52" s="35" t="s">
        <v>34</v>
      </c>
      <c r="C52" s="36"/>
      <c r="D52" s="37">
        <v>5</v>
      </c>
      <c r="E52" s="37">
        <v>5</v>
      </c>
      <c r="F52" s="37"/>
      <c r="G52" s="37"/>
      <c r="H52" s="52">
        <v>0</v>
      </c>
      <c r="I52" s="38"/>
      <c r="J52" s="37">
        <f t="shared" si="3"/>
        <v>0</v>
      </c>
      <c r="K52" s="51" t="str">
        <f t="shared" si="4"/>
        <v>0</v>
      </c>
      <c r="Q52">
        <v>0</v>
      </c>
      <c r="R52">
        <v>1</v>
      </c>
    </row>
    <row r="53" spans="1:18" ht="15">
      <c r="B53" s="42" t="s">
        <v>35</v>
      </c>
      <c r="C53" s="43"/>
      <c r="D53" s="52">
        <v>4</v>
      </c>
      <c r="E53" s="52">
        <v>4</v>
      </c>
      <c r="F53" s="52"/>
      <c r="G53" s="52"/>
      <c r="H53" s="52">
        <v>0</v>
      </c>
      <c r="I53" s="38"/>
      <c r="J53" s="37">
        <f t="shared" si="3"/>
        <v>0</v>
      </c>
      <c r="K53" s="51" t="str">
        <f t="shared" si="4"/>
        <v>0</v>
      </c>
      <c r="Q53">
        <v>0</v>
      </c>
      <c r="R53">
        <v>1</v>
      </c>
    </row>
    <row r="54" spans="1:18" ht="15">
      <c r="B54" s="35" t="s">
        <v>36</v>
      </c>
      <c r="C54" s="36"/>
      <c r="D54" s="37">
        <v>3</v>
      </c>
      <c r="E54" s="37">
        <v>3</v>
      </c>
      <c r="F54" s="37"/>
      <c r="G54" s="37"/>
      <c r="H54" s="52">
        <v>0</v>
      </c>
      <c r="I54" s="38"/>
      <c r="J54" s="37">
        <f t="shared" si="3"/>
        <v>0</v>
      </c>
      <c r="K54" s="51" t="str">
        <f t="shared" si="4"/>
        <v>0</v>
      </c>
      <c r="Q54">
        <v>0</v>
      </c>
      <c r="R54">
        <v>1</v>
      </c>
    </row>
    <row r="55" spans="1:18" ht="15">
      <c r="B55" s="42" t="s">
        <v>37</v>
      </c>
      <c r="C55" s="43"/>
      <c r="D55" s="52">
        <v>2</v>
      </c>
      <c r="E55" s="52">
        <v>2</v>
      </c>
      <c r="F55" s="52"/>
      <c r="G55" s="52"/>
      <c r="H55" s="52">
        <v>0</v>
      </c>
      <c r="I55" s="38"/>
      <c r="J55" s="37">
        <f t="shared" si="3"/>
        <v>0</v>
      </c>
      <c r="K55" s="51" t="str">
        <f t="shared" si="4"/>
        <v>0</v>
      </c>
      <c r="Q55">
        <v>0</v>
      </c>
      <c r="R55">
        <v>1</v>
      </c>
    </row>
    <row r="56" spans="1:18" ht="15">
      <c r="A56" s="69"/>
      <c r="B56" s="35" t="s">
        <v>38</v>
      </c>
      <c r="C56" s="36"/>
      <c r="D56" s="37">
        <v>1</v>
      </c>
      <c r="E56" s="37">
        <v>1</v>
      </c>
      <c r="F56" s="37"/>
      <c r="G56" s="37"/>
      <c r="H56" s="52">
        <v>1</v>
      </c>
      <c r="I56" s="38"/>
      <c r="J56" s="37">
        <f t="shared" si="3"/>
        <v>2</v>
      </c>
      <c r="K56" s="51" t="str">
        <f t="shared" si="4"/>
        <v>2</v>
      </c>
      <c r="M56" s="36"/>
      <c r="Q56">
        <v>0</v>
      </c>
      <c r="R56">
        <v>1</v>
      </c>
    </row>
    <row r="57" spans="1:18" ht="15">
      <c r="A57" s="69"/>
      <c r="B57" s="42" t="s">
        <v>39</v>
      </c>
      <c r="C57" s="43"/>
      <c r="D57" s="52">
        <v>0</v>
      </c>
      <c r="E57" s="52">
        <v>0</v>
      </c>
      <c r="F57" s="52"/>
      <c r="G57" s="52"/>
      <c r="H57" s="52">
        <v>0</v>
      </c>
      <c r="I57" s="38"/>
      <c r="J57" s="37">
        <f t="shared" si="3"/>
        <v>0</v>
      </c>
      <c r="K57" s="51" t="str">
        <f t="shared" si="4"/>
        <v>0</v>
      </c>
      <c r="Q57">
        <v>0</v>
      </c>
      <c r="R57">
        <v>1</v>
      </c>
    </row>
    <row r="58" spans="1:18" ht="15">
      <c r="B58" s="35"/>
      <c r="C58" s="36"/>
      <c r="D58" s="36"/>
      <c r="E58" s="36"/>
      <c r="F58" s="36"/>
      <c r="G58" s="36"/>
      <c r="H58" s="36"/>
      <c r="I58" s="36"/>
      <c r="J58" s="37"/>
      <c r="K58" s="37"/>
    </row>
    <row r="59" spans="1:18" ht="15">
      <c r="B59" s="35"/>
      <c r="C59" s="36"/>
      <c r="D59" s="36"/>
      <c r="E59" s="36"/>
      <c r="F59" s="36"/>
      <c r="G59" s="36"/>
      <c r="H59" s="36"/>
      <c r="I59" s="36"/>
      <c r="J59" s="37">
        <f>SUM(J48:J57)</f>
        <v>555843842</v>
      </c>
      <c r="K59" s="57" t="str">
        <f>"0x" &amp; DEC2HEX(J59, 8)</f>
        <v>0x21218102</v>
      </c>
    </row>
    <row r="63" spans="1:18">
      <c r="L63" s="36"/>
    </row>
    <row r="72" spans="13:13">
      <c r="M72">
        <f>66666666/115200</f>
        <v>578.70369791666667</v>
      </c>
    </row>
    <row r="73" spans="13:13">
      <c r="M73" t="str">
        <f>DEC2HEX(M72,8)</f>
        <v>00000242</v>
      </c>
    </row>
    <row r="104" spans="1:1">
      <c r="A104" s="39" t="s">
        <v>43</v>
      </c>
    </row>
  </sheetData>
  <autoFilter ref="G34:K41" xr:uid="{00000000-0009-0000-0000-000000000000}"/>
  <phoneticPr fontId="1" type="noConversion"/>
  <conditionalFormatting sqref="T6">
    <cfRule type="cellIs" dxfId="2" priority="3" operator="greaterThan">
      <formula>300</formula>
    </cfRule>
  </conditionalFormatting>
  <conditionalFormatting sqref="C10">
    <cfRule type="cellIs" dxfId="1" priority="2" operator="greaterThan">
      <formula>100</formula>
    </cfRule>
  </conditionalFormatting>
  <conditionalFormatting sqref="O10">
    <cfRule type="cellIs" dxfId="0" priority="1" operator="greaterThan">
      <formula>133</formula>
    </cfRule>
  </conditionalFormatting>
  <dataValidations count="7">
    <dataValidation type="list" allowBlank="1" showInputMessage="1" showErrorMessage="1" sqref="H52:H57" xr:uid="{00000000-0002-0000-0000-000000000000}">
      <formula1>$Q$57:$R$57</formula1>
    </dataValidation>
    <dataValidation type="list" allowBlank="1" showInputMessage="1" showErrorMessage="1" sqref="H51" xr:uid="{00000000-0002-0000-0000-000001000000}">
      <formula1>$Q$51:$R$51</formula1>
    </dataValidation>
    <dataValidation type="list" allowBlank="1" showInputMessage="1" showErrorMessage="1" sqref="H41" xr:uid="{00000000-0002-0000-0000-000002000000}">
      <formula1>$P$41:$S$41</formula1>
    </dataValidation>
    <dataValidation type="list" allowBlank="1" showInputMessage="1" showErrorMessage="1" sqref="H35" xr:uid="{00000000-0002-0000-0000-000003000000}">
      <formula1>$Q$35:$R$35</formula1>
    </dataValidation>
    <dataValidation type="list" allowBlank="1" showInputMessage="1" showErrorMessage="1" sqref="H36" xr:uid="{00000000-0002-0000-0000-000004000000}">
      <formula1>$P$36:$Q$36</formula1>
    </dataValidation>
    <dataValidation type="list" allowBlank="1" showInputMessage="1" showErrorMessage="1" sqref="H40" xr:uid="{00000000-0002-0000-0000-000005000000}">
      <formula1>$Q$40:$S$40</formula1>
    </dataValidation>
    <dataValidation type="list" allowBlank="1" showInputMessage="1" showErrorMessage="1" sqref="H39" xr:uid="{00000000-0002-0000-0000-000006000000}">
      <formula1>$Q$39:$R$39</formula1>
    </dataValidation>
  </dataValidations>
  <hyperlinks>
    <hyperlink ref="A104" r:id="rId1" xr:uid="{00000000-0004-0000-0000-000000000000}"/>
    <hyperlink ref="B2" r:id="rId2" xr:uid="{C4E4880A-5837-4D59-8863-0FDC44FB3D1F}"/>
  </hyperlinks>
  <pageMargins left="0.7" right="0.7" top="0.75" bottom="0.75" header="0.3" footer="0.3"/>
  <pageSetup paperSize="11" orientation="portrait" r:id="rId3"/>
  <drawing r:id="rId4"/>
  <legacyDrawing r:id="rId5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6" name="Spinner 1">
              <controlPr defaultSize="0" autoPict="0">
                <anchor moveWithCells="1" sizeWithCells="1">
                  <from>
                    <xdr:col>0</xdr:col>
                    <xdr:colOff>447675</xdr:colOff>
                    <xdr:row>4</xdr:row>
                    <xdr:rowOff>228600</xdr:rowOff>
                  </from>
                  <to>
                    <xdr:col>0</xdr:col>
                    <xdr:colOff>638175</xdr:colOff>
                    <xdr:row>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7" name="Spinner 2">
              <controlPr defaultSize="0" autoPict="0">
                <anchor moveWithCells="1" sizeWithCells="1">
                  <from>
                    <xdr:col>5</xdr:col>
                    <xdr:colOff>485775</xdr:colOff>
                    <xdr:row>5</xdr:row>
                    <xdr:rowOff>0</xdr:rowOff>
                  </from>
                  <to>
                    <xdr:col>6</xdr:col>
                    <xdr:colOff>0</xdr:colOff>
                    <xdr:row>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0" r:id="rId8" name="Spinner 6">
              <controlPr defaultSize="0" autoPict="0">
                <anchor moveWithCells="1" sizeWithCells="1">
                  <from>
                    <xdr:col>8</xdr:col>
                    <xdr:colOff>485775</xdr:colOff>
                    <xdr:row>5</xdr:row>
                    <xdr:rowOff>0</xdr:rowOff>
                  </from>
                  <to>
                    <xdr:col>8</xdr:col>
                    <xdr:colOff>676275</xdr:colOff>
                    <xdr:row>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1" r:id="rId9" name="Spinner 7">
              <controlPr defaultSize="0" autoPict="0">
                <anchor moveWithCells="1" sizeWithCells="1">
                  <from>
                    <xdr:col>11</xdr:col>
                    <xdr:colOff>485775</xdr:colOff>
                    <xdr:row>9</xdr:row>
                    <xdr:rowOff>0</xdr:rowOff>
                  </from>
                  <to>
                    <xdr:col>11</xdr:col>
                    <xdr:colOff>676275</xdr:colOff>
                    <xdr:row>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4" r:id="rId10" name="Spinner 10">
              <controlPr defaultSize="0" autoPict="0">
                <anchor moveWithCells="1" sizeWithCells="1">
                  <from>
                    <xdr:col>8</xdr:col>
                    <xdr:colOff>457200</xdr:colOff>
                    <xdr:row>17</xdr:row>
                    <xdr:rowOff>9525</xdr:rowOff>
                  </from>
                  <to>
                    <xdr:col>8</xdr:col>
                    <xdr:colOff>676275</xdr:colOff>
                    <xdr:row>18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5" r:id="rId11" name="Spinner 11">
              <controlPr defaultSize="0" autoPict="0">
                <anchor moveWithCells="1" sizeWithCells="1">
                  <from>
                    <xdr:col>8</xdr:col>
                    <xdr:colOff>0</xdr:colOff>
                    <xdr:row>23</xdr:row>
                    <xdr:rowOff>238125</xdr:rowOff>
                  </from>
                  <to>
                    <xdr:col>8</xdr:col>
                    <xdr:colOff>0</xdr:colOff>
                    <xdr:row>24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36" r:id="rId12" name="Spinner 12">
              <controlPr defaultSize="0" autoPict="0">
                <anchor moveWithCells="1" sizeWithCells="1">
                  <from>
                    <xdr:col>8</xdr:col>
                    <xdr:colOff>495300</xdr:colOff>
                    <xdr:row>29</xdr:row>
                    <xdr:rowOff>9525</xdr:rowOff>
                  </from>
                  <to>
                    <xdr:col>8</xdr:col>
                    <xdr:colOff>1085850</xdr:colOff>
                    <xdr:row>30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45" r:id="rId13" name="Spinner 21">
              <controlPr defaultSize="0" autoPict="0">
                <anchor moveWithCells="1" sizeWithCells="1">
                  <from>
                    <xdr:col>7</xdr:col>
                    <xdr:colOff>485775</xdr:colOff>
                    <xdr:row>5</xdr:row>
                    <xdr:rowOff>0</xdr:rowOff>
                  </from>
                  <to>
                    <xdr:col>7</xdr:col>
                    <xdr:colOff>676275</xdr:colOff>
                    <xdr:row>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2" r:id="rId14" name="Spinner 28">
              <controlPr defaultSize="0" autoPict="0">
                <anchor moveWithCells="1" sizeWithCells="1">
                  <from>
                    <xdr:col>7</xdr:col>
                    <xdr:colOff>485775</xdr:colOff>
                    <xdr:row>24</xdr:row>
                    <xdr:rowOff>0</xdr:rowOff>
                  </from>
                  <to>
                    <xdr:col>7</xdr:col>
                    <xdr:colOff>676275</xdr:colOff>
                    <xdr:row>24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3" r:id="rId15" name="Spinner 29">
              <controlPr defaultSize="0" autoPict="0">
                <anchor moveWithCells="1" sizeWithCells="1">
                  <from>
                    <xdr:col>7</xdr:col>
                    <xdr:colOff>485775</xdr:colOff>
                    <xdr:row>29</xdr:row>
                    <xdr:rowOff>0</xdr:rowOff>
                  </from>
                  <to>
                    <xdr:col>7</xdr:col>
                    <xdr:colOff>676275</xdr:colOff>
                    <xdr:row>29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4" r:id="rId16" name="Spinner 30">
              <controlPr defaultSize="0" autoPict="0">
                <anchor moveWithCells="1" sizeWithCells="1">
                  <from>
                    <xdr:col>7</xdr:col>
                    <xdr:colOff>485775</xdr:colOff>
                    <xdr:row>17</xdr:row>
                    <xdr:rowOff>0</xdr:rowOff>
                  </from>
                  <to>
                    <xdr:col>7</xdr:col>
                    <xdr:colOff>676275</xdr:colOff>
                    <xdr:row>17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6" r:id="rId17" name="Check Box 32">
              <controlPr defaultSize="0" autoFill="0" autoLine="0" autoPict="0">
                <anchor moveWithCells="1">
                  <from>
                    <xdr:col>6</xdr:col>
                    <xdr:colOff>295275</xdr:colOff>
                    <xdr:row>49</xdr:row>
                    <xdr:rowOff>19050</xdr:rowOff>
                  </from>
                  <to>
                    <xdr:col>7</xdr:col>
                    <xdr:colOff>0</xdr:colOff>
                    <xdr:row>50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8" r:id="rId18" name="Check Box 34">
              <controlPr defaultSize="0" autoFill="0" autoLine="0" autoPict="0">
                <anchor moveWithCells="1">
                  <from>
                    <xdr:col>6</xdr:col>
                    <xdr:colOff>295275</xdr:colOff>
                    <xdr:row>48</xdr:row>
                    <xdr:rowOff>19050</xdr:rowOff>
                  </from>
                  <to>
                    <xdr:col>7</xdr:col>
                    <xdr:colOff>0</xdr:colOff>
                    <xdr:row>49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59" r:id="rId19" name="Check Box 35">
              <controlPr defaultSize="0" autoFill="0" autoLine="0" autoPict="0">
                <anchor moveWithCells="1">
                  <from>
                    <xdr:col>6</xdr:col>
                    <xdr:colOff>295275</xdr:colOff>
                    <xdr:row>47</xdr:row>
                    <xdr:rowOff>19050</xdr:rowOff>
                  </from>
                  <to>
                    <xdr:col>7</xdr:col>
                    <xdr:colOff>0</xdr:colOff>
                    <xdr:row>48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0" r:id="rId20" name="Spinner 36">
              <controlPr defaultSize="0" autoPict="0">
                <anchor moveWithCells="1" sizeWithCells="1">
                  <from>
                    <xdr:col>16</xdr:col>
                    <xdr:colOff>485775</xdr:colOff>
                    <xdr:row>5</xdr:row>
                    <xdr:rowOff>0</xdr:rowOff>
                  </from>
                  <to>
                    <xdr:col>16</xdr:col>
                    <xdr:colOff>676275</xdr:colOff>
                    <xdr:row>5</xdr:row>
                    <xdr:rowOff>228600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61" r:id="rId21" name="Spinner 37">
              <controlPr defaultSize="0" autoPict="0">
                <anchor moveWithCells="1" sizeWithCells="1">
                  <from>
                    <xdr:col>16</xdr:col>
                    <xdr:colOff>485775</xdr:colOff>
                    <xdr:row>9</xdr:row>
                    <xdr:rowOff>0</xdr:rowOff>
                  </from>
                  <to>
                    <xdr:col>16</xdr:col>
                    <xdr:colOff>676275</xdr:colOff>
                    <xdr:row>9</xdr:row>
                    <xdr:rowOff>228600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BC6FB-D3EB-407E-9B0E-870A862FCE8D}">
  <dimension ref="C2:M26"/>
  <sheetViews>
    <sheetView workbookViewId="0">
      <selection activeCell="D49" sqref="D49"/>
    </sheetView>
  </sheetViews>
  <sheetFormatPr defaultRowHeight="13.5"/>
  <cols>
    <col min="3" max="3" width="15.875" style="84" customWidth="1"/>
    <col min="4" max="4" width="9" style="84"/>
    <col min="5" max="6" width="3.625" style="84" customWidth="1"/>
    <col min="7" max="8" width="9" style="84"/>
    <col min="9" max="9" width="10.5" style="84" customWidth="1"/>
    <col min="10" max="10" width="15.875" style="84" customWidth="1"/>
    <col min="11" max="11" width="17.75" style="84" customWidth="1"/>
    <col min="12" max="12" width="11.125" customWidth="1"/>
    <col min="13" max="13" width="12.625" customWidth="1"/>
  </cols>
  <sheetData>
    <row r="2" spans="3:13" ht="14.25" thickBot="1"/>
    <row r="3" spans="3:13">
      <c r="H3" s="73"/>
      <c r="I3" s="74"/>
      <c r="J3" s="74"/>
      <c r="K3" s="75"/>
    </row>
    <row r="4" spans="3:13">
      <c r="C4" s="87" t="s">
        <v>18</v>
      </c>
      <c r="D4" s="87"/>
      <c r="E4" s="87"/>
      <c r="F4" s="87">
        <v>31</v>
      </c>
      <c r="G4" s="86"/>
      <c r="H4" s="76"/>
      <c r="I4" s="77" t="s">
        <v>81</v>
      </c>
      <c r="J4" s="77" t="str">
        <f t="shared" ref="J4:J10" si="0">UPPER(C4)</f>
        <v>PLL_VALID</v>
      </c>
      <c r="K4" s="78" t="str">
        <f t="shared" ref="K4:K10" si="1">IF(E4="","BIT("&amp;F4&amp;")","GENMASK("&amp;E4&amp;","&amp; F4 &amp; ")")</f>
        <v>BIT(31)</v>
      </c>
      <c r="M4" t="str">
        <f t="shared" ref="M4:M9" si="2">"("&amp;VALUE(L4)&amp;"&lt;&lt;"&amp;F4&amp;")"</f>
        <v>(0&lt;&lt;31)</v>
      </c>
    </row>
    <row r="5" spans="3:13">
      <c r="C5" s="87" t="s">
        <v>19</v>
      </c>
      <c r="D5" s="87"/>
      <c r="E5" s="87">
        <v>30</v>
      </c>
      <c r="F5" s="87">
        <v>24</v>
      </c>
      <c r="G5" s="86"/>
      <c r="H5" s="76"/>
      <c r="I5" s="77" t="s">
        <v>81</v>
      </c>
      <c r="J5" s="77" t="str">
        <f t="shared" si="0"/>
        <v>RESERVED</v>
      </c>
      <c r="K5" s="78" t="str">
        <f t="shared" si="1"/>
        <v>GENMASK(30,24)</v>
      </c>
      <c r="M5" t="str">
        <f t="shared" si="2"/>
        <v>(0&lt;&lt;24)</v>
      </c>
    </row>
    <row r="6" spans="3:13">
      <c r="C6" s="87" t="s">
        <v>20</v>
      </c>
      <c r="D6" s="87"/>
      <c r="E6" s="87">
        <v>23</v>
      </c>
      <c r="F6" s="87">
        <v>16</v>
      </c>
      <c r="G6" s="86"/>
      <c r="H6" s="76"/>
      <c r="I6" s="77" t="s">
        <v>81</v>
      </c>
      <c r="J6" s="77" t="str">
        <f t="shared" si="0"/>
        <v>FRAC_N</v>
      </c>
      <c r="K6" s="78" t="str">
        <f t="shared" si="1"/>
        <v>GENMASK(23,16)</v>
      </c>
      <c r="M6" t="str">
        <f t="shared" si="2"/>
        <v>(0&lt;&lt;16)</v>
      </c>
    </row>
    <row r="7" spans="3:13">
      <c r="C7" s="87" t="s">
        <v>21</v>
      </c>
      <c r="D7" s="87"/>
      <c r="E7" s="87">
        <v>15</v>
      </c>
      <c r="F7" s="87">
        <v>8</v>
      </c>
      <c r="G7" s="86"/>
      <c r="H7" s="76"/>
      <c r="I7" s="77" t="s">
        <v>81</v>
      </c>
      <c r="J7" s="77" t="str">
        <f t="shared" si="0"/>
        <v>M_PLL</v>
      </c>
      <c r="K7" s="78" t="str">
        <f t="shared" si="1"/>
        <v>GENMASK(15,8)</v>
      </c>
      <c r="M7" t="str">
        <f t="shared" si="2"/>
        <v>(0&lt;&lt;8)</v>
      </c>
    </row>
    <row r="8" spans="3:13">
      <c r="C8" s="87" t="s">
        <v>19</v>
      </c>
      <c r="D8" s="87"/>
      <c r="E8" s="87">
        <v>7</v>
      </c>
      <c r="F8" s="87">
        <v>4</v>
      </c>
      <c r="G8" s="86"/>
      <c r="H8" s="76"/>
      <c r="I8" s="77" t="s">
        <v>81</v>
      </c>
      <c r="J8" s="77" t="str">
        <f t="shared" si="0"/>
        <v>RESERVED</v>
      </c>
      <c r="K8" s="78" t="str">
        <f t="shared" si="1"/>
        <v>GENMASK(7,4)</v>
      </c>
      <c r="M8" t="str">
        <f t="shared" si="2"/>
        <v>(0&lt;&lt;4)</v>
      </c>
    </row>
    <row r="9" spans="3:13">
      <c r="C9" s="87" t="s">
        <v>22</v>
      </c>
      <c r="D9" s="87"/>
      <c r="E9" s="87">
        <v>3</v>
      </c>
      <c r="F9" s="87">
        <v>2</v>
      </c>
      <c r="G9" s="86"/>
      <c r="H9" s="76"/>
      <c r="I9" s="77" t="s">
        <v>81</v>
      </c>
      <c r="J9" s="77" t="str">
        <f t="shared" si="0"/>
        <v>RST_TIME</v>
      </c>
      <c r="K9" s="78" t="str">
        <f t="shared" si="1"/>
        <v>GENMASK(3,2)</v>
      </c>
      <c r="M9" t="str">
        <f t="shared" si="2"/>
        <v>(0&lt;&lt;2)</v>
      </c>
    </row>
    <row r="10" spans="3:13">
      <c r="C10" s="45" t="s">
        <v>23</v>
      </c>
      <c r="D10" s="45"/>
      <c r="E10" s="45">
        <v>1</v>
      </c>
      <c r="F10" s="45">
        <v>0</v>
      </c>
      <c r="G10" s="86"/>
      <c r="H10" s="76"/>
      <c r="I10" s="77" t="s">
        <v>81</v>
      </c>
      <c r="J10" s="77" t="str">
        <f t="shared" si="0"/>
        <v>SDRAM_DIV</v>
      </c>
      <c r="K10" s="78" t="str">
        <f t="shared" si="1"/>
        <v>GENMASK(1,0)</v>
      </c>
      <c r="M10" t="str">
        <f>"("&amp;VALUE(L10)&amp;"&lt;&lt;"&amp;F10&amp;")"</f>
        <v>(0&lt;&lt;0)</v>
      </c>
    </row>
    <row r="11" spans="3:13">
      <c r="C11" s="37"/>
      <c r="D11" s="37"/>
      <c r="E11" s="37"/>
      <c r="F11" s="37"/>
      <c r="G11" s="86"/>
      <c r="H11" s="76"/>
      <c r="I11" s="77"/>
      <c r="J11" s="77"/>
      <c r="K11" s="78"/>
    </row>
    <row r="12" spans="3:13">
      <c r="C12" s="37"/>
      <c r="D12" s="37"/>
      <c r="E12" s="37"/>
      <c r="F12" s="37"/>
      <c r="G12" s="86"/>
      <c r="H12" s="76"/>
      <c r="I12" s="77"/>
      <c r="J12" s="77"/>
      <c r="K12" s="78"/>
    </row>
    <row r="13" spans="3:13">
      <c r="C13" s="37" t="s">
        <v>91</v>
      </c>
      <c r="D13" s="37"/>
      <c r="E13" s="37">
        <v>31</v>
      </c>
      <c r="F13" s="37">
        <v>24</v>
      </c>
      <c r="G13" s="86"/>
      <c r="H13" s="76"/>
      <c r="I13" s="77" t="s">
        <v>81</v>
      </c>
      <c r="J13" s="77" t="str">
        <f t="shared" ref="J13:J22" si="3">UPPER(C13)</f>
        <v>PIX_DIV</v>
      </c>
      <c r="K13" s="78" t="str">
        <f t="shared" ref="K13:K22" si="4">IF(E13="","BIT("&amp;F13&amp;")","GENMASK("&amp;E13&amp;","&amp; F13 &amp; ")")</f>
        <v>GENMASK(31,24)</v>
      </c>
      <c r="M13" t="str">
        <f t="shared" ref="M13:M25" si="5">"("&amp;VALUE(L13)&amp;"&lt;&lt;"&amp;F13&amp;")"</f>
        <v>(0&lt;&lt;24)</v>
      </c>
    </row>
    <row r="14" spans="3:13">
      <c r="C14" s="37" t="s">
        <v>90</v>
      </c>
      <c r="D14" s="37"/>
      <c r="E14" s="37">
        <v>23</v>
      </c>
      <c r="F14" s="37">
        <v>16</v>
      </c>
      <c r="G14" s="86"/>
      <c r="H14" s="76"/>
      <c r="I14" s="77" t="s">
        <v>81</v>
      </c>
      <c r="J14" s="77" t="str">
        <f t="shared" si="3"/>
        <v>CAM_DIV</v>
      </c>
      <c r="K14" s="78" t="str">
        <f t="shared" si="4"/>
        <v>GENMASK(23,16)</v>
      </c>
      <c r="M14" t="str">
        <f t="shared" si="5"/>
        <v>(0&lt;&lt;16)</v>
      </c>
    </row>
    <row r="15" spans="3:13">
      <c r="C15" s="37" t="s">
        <v>89</v>
      </c>
      <c r="D15" s="37"/>
      <c r="E15" s="37">
        <v>15</v>
      </c>
      <c r="F15" s="37">
        <v>8</v>
      </c>
      <c r="G15" s="86"/>
      <c r="H15" s="76"/>
      <c r="I15" s="77" t="s">
        <v>81</v>
      </c>
      <c r="J15" s="77" t="str">
        <f t="shared" si="3"/>
        <v>CPU_DIV</v>
      </c>
      <c r="K15" s="78" t="str">
        <f t="shared" si="4"/>
        <v>GENMASK(15,8)</v>
      </c>
      <c r="M15" t="str">
        <f t="shared" si="5"/>
        <v>(0&lt;&lt;8)</v>
      </c>
    </row>
    <row r="16" spans="3:13">
      <c r="C16" s="37" t="s">
        <v>19</v>
      </c>
      <c r="D16" s="37"/>
      <c r="E16" s="37">
        <v>7</v>
      </c>
      <c r="F16" s="37">
        <v>6</v>
      </c>
      <c r="G16" s="86"/>
      <c r="H16" s="76"/>
      <c r="I16" s="77" t="s">
        <v>81</v>
      </c>
      <c r="J16" s="77" t="str">
        <f t="shared" si="3"/>
        <v>RESERVED</v>
      </c>
      <c r="K16" s="78" t="str">
        <f t="shared" si="4"/>
        <v>GENMASK(7,6)</v>
      </c>
      <c r="M16" t="str">
        <f t="shared" si="5"/>
        <v>(0&lt;&lt;6)</v>
      </c>
    </row>
    <row r="17" spans="3:13">
      <c r="C17" s="37" t="s">
        <v>88</v>
      </c>
      <c r="D17" s="37"/>
      <c r="E17" s="37"/>
      <c r="F17" s="37">
        <v>5</v>
      </c>
      <c r="G17" s="86"/>
      <c r="H17" s="76"/>
      <c r="I17" s="77" t="s">
        <v>81</v>
      </c>
      <c r="J17" s="77" t="str">
        <f t="shared" si="3"/>
        <v>PIX_DIV_VALID</v>
      </c>
      <c r="K17" s="78" t="str">
        <f t="shared" si="4"/>
        <v>BIT(5)</v>
      </c>
      <c r="M17" t="str">
        <f t="shared" si="5"/>
        <v>(0&lt;&lt;5)</v>
      </c>
    </row>
    <row r="18" spans="3:13">
      <c r="C18" s="37" t="s">
        <v>87</v>
      </c>
      <c r="D18" s="37"/>
      <c r="E18" s="37"/>
      <c r="F18" s="37">
        <v>4</v>
      </c>
      <c r="G18" s="86"/>
      <c r="H18" s="76"/>
      <c r="I18" s="77" t="s">
        <v>81</v>
      </c>
      <c r="J18" s="77" t="str">
        <f t="shared" si="3"/>
        <v>PIX_SEL</v>
      </c>
      <c r="K18" s="78" t="str">
        <f t="shared" si="4"/>
        <v>BIT(4)</v>
      </c>
      <c r="M18" t="str">
        <f t="shared" si="5"/>
        <v>(0&lt;&lt;4)</v>
      </c>
    </row>
    <row r="19" spans="3:13">
      <c r="C19" s="37" t="s">
        <v>86</v>
      </c>
      <c r="D19" s="37"/>
      <c r="E19" s="37"/>
      <c r="F19" s="37">
        <v>3</v>
      </c>
      <c r="G19" s="86"/>
      <c r="H19" s="76"/>
      <c r="I19" s="77" t="s">
        <v>81</v>
      </c>
      <c r="J19" s="77" t="str">
        <f t="shared" si="3"/>
        <v>CAM_DIV_VALID</v>
      </c>
      <c r="K19" s="78" t="str">
        <f t="shared" si="4"/>
        <v>BIT(3)</v>
      </c>
      <c r="M19" t="str">
        <f t="shared" si="5"/>
        <v>(0&lt;&lt;3)</v>
      </c>
    </row>
    <row r="20" spans="3:13">
      <c r="C20" s="37" t="s">
        <v>85</v>
      </c>
      <c r="D20" s="37"/>
      <c r="E20" s="37"/>
      <c r="F20" s="37">
        <v>2</v>
      </c>
      <c r="G20" s="86"/>
      <c r="H20" s="76"/>
      <c r="I20" s="77" t="s">
        <v>81</v>
      </c>
      <c r="J20" s="77" t="str">
        <f t="shared" si="3"/>
        <v>CAM_SEL</v>
      </c>
      <c r="K20" s="78" t="str">
        <f t="shared" si="4"/>
        <v>BIT(2)</v>
      </c>
      <c r="M20" t="str">
        <f t="shared" si="5"/>
        <v>(0&lt;&lt;2)</v>
      </c>
    </row>
    <row r="21" spans="3:13">
      <c r="C21" s="90" t="s">
        <v>84</v>
      </c>
      <c r="D21" s="90"/>
      <c r="E21" s="90"/>
      <c r="F21" s="90">
        <v>1</v>
      </c>
      <c r="G21" s="86"/>
      <c r="H21" s="76"/>
      <c r="I21" s="77" t="s">
        <v>81</v>
      </c>
      <c r="J21" s="77" t="str">
        <f t="shared" si="3"/>
        <v>CPU_DIV_VALID</v>
      </c>
      <c r="K21" s="78" t="str">
        <f t="shared" si="4"/>
        <v>BIT(1)</v>
      </c>
      <c r="M21" s="91" t="str">
        <f t="shared" si="5"/>
        <v>(0&lt;&lt;1)</v>
      </c>
    </row>
    <row r="22" spans="3:13">
      <c r="C22" s="90" t="s">
        <v>83</v>
      </c>
      <c r="D22" s="90"/>
      <c r="E22" s="90"/>
      <c r="F22" s="90">
        <v>0</v>
      </c>
      <c r="G22" s="86"/>
      <c r="H22" s="76"/>
      <c r="I22" s="77" t="s">
        <v>81</v>
      </c>
      <c r="J22" s="77" t="str">
        <f t="shared" si="3"/>
        <v>CPU_SEL</v>
      </c>
      <c r="K22" s="78" t="str">
        <f t="shared" si="4"/>
        <v>BIT(0)</v>
      </c>
      <c r="M22" s="91" t="str">
        <f t="shared" si="5"/>
        <v>(0&lt;&lt;0)</v>
      </c>
    </row>
    <row r="23" spans="3:13">
      <c r="C23" s="37"/>
      <c r="D23" s="37"/>
      <c r="E23" s="37"/>
      <c r="F23" s="37"/>
      <c r="G23" s="86"/>
      <c r="H23" s="76"/>
      <c r="I23" s="77"/>
      <c r="J23" s="77"/>
      <c r="K23" s="78"/>
    </row>
    <row r="24" spans="3:13">
      <c r="C24" s="37"/>
      <c r="D24" s="37"/>
      <c r="E24" s="37"/>
      <c r="F24" s="37"/>
      <c r="G24" s="86"/>
      <c r="H24" s="76"/>
      <c r="I24" s="77"/>
      <c r="J24" s="77"/>
      <c r="K24" s="78"/>
    </row>
    <row r="25" spans="3:13">
      <c r="C25" s="85" t="s">
        <v>82</v>
      </c>
      <c r="D25" s="37"/>
      <c r="E25" s="37">
        <v>3</v>
      </c>
      <c r="F25" s="37">
        <v>0</v>
      </c>
      <c r="G25" s="86"/>
      <c r="H25" s="76"/>
      <c r="I25" s="77" t="s">
        <v>81</v>
      </c>
      <c r="J25" s="77" t="str">
        <f>UPPER(C25)</f>
        <v>CPU_THROT</v>
      </c>
      <c r="K25" s="78" t="str">
        <f>IF(E25="","BIT("&amp;F25&amp;")","GENMASK("&amp;E25&amp;","&amp; F25 &amp; ")")</f>
        <v>GENMASK(3,0)</v>
      </c>
      <c r="M25" t="str">
        <f t="shared" si="5"/>
        <v>(0&lt;&lt;0)</v>
      </c>
    </row>
    <row r="26" spans="3:13" ht="14.25" thickBot="1">
      <c r="H26" s="79"/>
      <c r="I26" s="80"/>
      <c r="J26" s="80"/>
      <c r="K26" s="81"/>
    </row>
  </sheetData>
  <phoneticPr fontId="1" type="noConversion"/>
  <pageMargins left="0.7" right="0.7" top="0.75" bottom="0.75" header="0.3" footer="0.3"/>
  <pageSetup paperSize="11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F4:M56"/>
  <sheetViews>
    <sheetView topLeftCell="A22" workbookViewId="0">
      <selection activeCell="D18" sqref="D18"/>
    </sheetView>
  </sheetViews>
  <sheetFormatPr defaultRowHeight="13.5"/>
  <cols>
    <col min="6" max="6" width="10" customWidth="1"/>
    <col min="8" max="8" width="17.625" customWidth="1"/>
    <col min="9" max="9" width="20.5" customWidth="1"/>
    <col min="10" max="10" width="14.125" customWidth="1"/>
  </cols>
  <sheetData>
    <row r="4" spans="6:13">
      <c r="H4" t="s">
        <v>114</v>
      </c>
    </row>
    <row r="5" spans="6:13">
      <c r="F5" s="83" t="s">
        <v>80</v>
      </c>
      <c r="G5" t="s">
        <v>55</v>
      </c>
      <c r="H5" t="str">
        <f>"ls1c300_pll_init_" &amp; in!G6 &amp; "mhz"</f>
        <v>ls1c300_pll_init_264mhz</v>
      </c>
    </row>
    <row r="6" spans="6:13">
      <c r="G6" t="s">
        <v>99</v>
      </c>
      <c r="H6" t="s">
        <v>100</v>
      </c>
    </row>
    <row r="8" spans="6:13" ht="14.25">
      <c r="F8" s="82" t="s">
        <v>73</v>
      </c>
      <c r="G8" t="s">
        <v>56</v>
      </c>
      <c r="H8" t="s">
        <v>96</v>
      </c>
      <c r="I8" t="s">
        <v>72</v>
      </c>
    </row>
    <row r="9" spans="6:13">
      <c r="G9" t="s">
        <v>57</v>
      </c>
      <c r="H9" t="s">
        <v>97</v>
      </c>
    </row>
    <row r="10" spans="6:13">
      <c r="G10" t="s">
        <v>58</v>
      </c>
      <c r="H10" t="s">
        <v>98</v>
      </c>
    </row>
    <row r="12" spans="6:13">
      <c r="G12" t="s">
        <v>103</v>
      </c>
      <c r="H12">
        <f>in!J43</f>
        <v>2147494927</v>
      </c>
      <c r="I12" t="str">
        <f>"0x" &amp; DEC2HEX(H12,8)</f>
        <v>0x80002C0F</v>
      </c>
    </row>
    <row r="13" spans="6:13">
      <c r="F13" s="5"/>
      <c r="G13" s="5" t="s">
        <v>104</v>
      </c>
      <c r="H13" s="5">
        <f>in!J59</f>
        <v>555843842</v>
      </c>
      <c r="I13" s="5" t="str">
        <f>"0x" &amp; DEC2HEX(H13,8)</f>
        <v>0x21218102</v>
      </c>
      <c r="J13" s="5"/>
      <c r="K13" s="5"/>
      <c r="L13" s="5"/>
      <c r="M13" s="5"/>
    </row>
    <row r="14" spans="6:13" ht="14.25" thickBot="1">
      <c r="F14" s="5"/>
      <c r="G14" s="92" t="s">
        <v>113</v>
      </c>
      <c r="H14" s="5">
        <f>in!R5</f>
        <v>15</v>
      </c>
      <c r="I14" s="5" t="str">
        <f>"0x" &amp; DEC2HEX(H14,1)</f>
        <v>0xF</v>
      </c>
      <c r="J14" s="5"/>
      <c r="K14" s="5"/>
      <c r="L14" s="5"/>
      <c r="M14" s="5"/>
    </row>
    <row r="15" spans="6:13">
      <c r="F15" s="5"/>
      <c r="G15" s="73"/>
      <c r="H15" s="74"/>
      <c r="I15" s="74"/>
      <c r="J15" s="74"/>
      <c r="K15" s="75"/>
      <c r="L15" s="5"/>
      <c r="M15" s="5"/>
    </row>
    <row r="16" spans="6:13">
      <c r="F16" s="5"/>
      <c r="G16" s="76" t="s">
        <v>77</v>
      </c>
      <c r="H16" s="77"/>
      <c r="I16" s="77"/>
      <c r="J16" s="77"/>
      <c r="K16" s="78"/>
      <c r="L16" s="5"/>
      <c r="M16" s="5"/>
    </row>
    <row r="17" spans="6:13">
      <c r="F17" s="5"/>
      <c r="G17" s="76" t="str">
        <f ca="1">" * Copyright (C) 2020-"&amp; YEAR(NOW()) &amp; " Du Huanpeng &lt;dhu@hodcarrier.org&gt;"</f>
        <v xml:space="preserve"> * Copyright (C) 2020-2022 Du Huanpeng &lt;dhu@hodcarrier.org&gt;</v>
      </c>
      <c r="H17" s="77"/>
      <c r="I17" s="77"/>
      <c r="J17" s="77"/>
      <c r="K17" s="78"/>
      <c r="L17" s="5"/>
      <c r="M17" s="5"/>
    </row>
    <row r="18" spans="6:13">
      <c r="F18" s="5"/>
      <c r="G18" s="76" t="s">
        <v>78</v>
      </c>
      <c r="H18" s="77"/>
      <c r="I18" s="77"/>
      <c r="J18" s="77"/>
      <c r="K18" s="78"/>
      <c r="L18" s="5"/>
      <c r="M18" s="5"/>
    </row>
    <row r="19" spans="6:13">
      <c r="F19" s="5"/>
      <c r="G19" s="76"/>
      <c r="H19" s="77"/>
      <c r="I19" s="77"/>
      <c r="J19" s="77"/>
      <c r="K19" s="78"/>
      <c r="L19" s="5"/>
      <c r="M19" s="5"/>
    </row>
    <row r="20" spans="6:13">
      <c r="F20" s="5"/>
      <c r="G20" s="76" t="s">
        <v>109</v>
      </c>
      <c r="H20" s="77"/>
      <c r="I20" s="77"/>
      <c r="J20" s="77"/>
      <c r="K20" s="78"/>
      <c r="L20" s="5"/>
      <c r="M20" s="5"/>
    </row>
    <row r="21" spans="6:13">
      <c r="F21" s="5"/>
      <c r="G21" s="76" t="s">
        <v>70</v>
      </c>
      <c r="H21" s="77" t="str">
        <f>"PLL: " &amp; in!G6 &amp; "MHz"</f>
        <v>PLL: 264MHz</v>
      </c>
      <c r="I21" s="77" t="str">
        <f>"CPU: " &amp; in!T6 &amp; "MHz"</f>
        <v>CPU: 264MHz</v>
      </c>
      <c r="J21" s="77" t="str">
        <f>"SDRAM: " &amp; in!O10 &amp; "MHz"</f>
        <v>SDRAM: 132MHz</v>
      </c>
      <c r="K21" s="78" t="s">
        <v>53</v>
      </c>
      <c r="L21" s="5"/>
      <c r="M21" s="5"/>
    </row>
    <row r="22" spans="6:13">
      <c r="F22" s="5"/>
      <c r="G22" s="76" t="s">
        <v>74</v>
      </c>
      <c r="H22" s="77" t="s">
        <v>75</v>
      </c>
      <c r="I22" s="77" t="s">
        <v>112</v>
      </c>
      <c r="J22" s="77"/>
      <c r="K22" s="78"/>
      <c r="L22" s="5"/>
      <c r="M22" s="5"/>
    </row>
    <row r="23" spans="6:13">
      <c r="F23" s="5"/>
      <c r="G23" s="76" t="s">
        <v>74</v>
      </c>
      <c r="H23" s="77" t="s">
        <v>17</v>
      </c>
      <c r="I23" s="77" t="str">
        <f>G12</f>
        <v>0x8030</v>
      </c>
      <c r="J23" s="77"/>
      <c r="K23" s="78"/>
      <c r="L23" s="5"/>
      <c r="M23" s="5"/>
    </row>
    <row r="24" spans="6:13">
      <c r="F24" s="5"/>
      <c r="G24" s="76" t="s">
        <v>74</v>
      </c>
      <c r="H24" s="77" t="s">
        <v>76</v>
      </c>
      <c r="I24" s="77" t="str">
        <f>G13</f>
        <v>0x8034</v>
      </c>
      <c r="J24" s="77"/>
      <c r="K24" s="78"/>
      <c r="L24" s="5"/>
      <c r="M24" s="5"/>
    </row>
    <row r="25" spans="6:13">
      <c r="F25" s="5"/>
      <c r="G25" s="89" t="s">
        <v>95</v>
      </c>
      <c r="H25" s="77" t="s">
        <v>102</v>
      </c>
      <c r="I25" s="77" t="s">
        <v>105</v>
      </c>
      <c r="J25" s="77"/>
      <c r="K25" s="78"/>
      <c r="L25" s="5"/>
      <c r="M25" s="5"/>
    </row>
    <row r="26" spans="6:13">
      <c r="F26" s="5"/>
      <c r="G26" s="88" t="s">
        <v>93</v>
      </c>
      <c r="H26" s="77" t="s">
        <v>92</v>
      </c>
      <c r="I26" s="77" t="s">
        <v>94</v>
      </c>
      <c r="J26" s="77"/>
      <c r="K26" s="78"/>
      <c r="L26" s="5"/>
      <c r="M26" s="5"/>
    </row>
    <row r="27" spans="6:13">
      <c r="F27" s="5"/>
      <c r="G27" s="76"/>
      <c r="H27" s="77"/>
      <c r="I27" s="77"/>
      <c r="J27" s="77"/>
      <c r="K27" s="78"/>
      <c r="L27" s="5"/>
      <c r="M27" s="5"/>
    </row>
    <row r="28" spans="6:13">
      <c r="F28" s="5"/>
      <c r="G28" s="76" t="s">
        <v>95</v>
      </c>
      <c r="H28" s="77" t="str">
        <f>"CFG_"&amp;H23</f>
        <v>CFG_START_FREQ</v>
      </c>
      <c r="I28" s="77" t="str">
        <f>I12</f>
        <v>0x80002C0F</v>
      </c>
      <c r="J28" s="77"/>
      <c r="K28" s="78"/>
      <c r="L28" s="5"/>
      <c r="M28" s="5"/>
    </row>
    <row r="29" spans="6:13">
      <c r="F29" s="5"/>
      <c r="G29" s="76" t="s">
        <v>95</v>
      </c>
      <c r="H29" s="77" t="str">
        <f>"CFG_"&amp;H24</f>
        <v>CFG_CLK_DIV_PARAM</v>
      </c>
      <c r="I29" s="77" t="str">
        <f>I13</f>
        <v>0x21218102</v>
      </c>
      <c r="J29" s="77"/>
      <c r="K29" s="78"/>
      <c r="L29" s="5"/>
      <c r="M29" s="5"/>
    </row>
    <row r="30" spans="6:13">
      <c r="F30" s="5"/>
      <c r="G30" s="76" t="s">
        <v>95</v>
      </c>
      <c r="H30" s="77" t="s">
        <v>101</v>
      </c>
      <c r="I30" s="77" t="str">
        <f>I14</f>
        <v>0xF</v>
      </c>
      <c r="J30" s="77"/>
      <c r="K30" s="78"/>
      <c r="L30" s="5"/>
      <c r="M30" s="5"/>
    </row>
    <row r="31" spans="6:13">
      <c r="F31" s="5"/>
      <c r="G31" s="76"/>
      <c r="H31" s="77"/>
      <c r="I31" s="77"/>
      <c r="J31" s="77"/>
      <c r="K31" s="78"/>
      <c r="L31" s="5"/>
      <c r="M31" s="5"/>
    </row>
    <row r="32" spans="6:13">
      <c r="F32" s="5"/>
      <c r="G32" s="76" t="str">
        <f>"LEAF(" &amp; H5 &amp; ")"</f>
        <v>LEAF(ls1c300_pll_init_264mhz)</v>
      </c>
      <c r="H32" s="77"/>
      <c r="I32" s="77"/>
      <c r="J32" s="77"/>
      <c r="K32" s="78"/>
      <c r="L32" s="5"/>
      <c r="M32" s="5"/>
    </row>
    <row r="33" spans="6:13">
      <c r="F33" s="5"/>
      <c r="G33" s="76" t="s">
        <v>66</v>
      </c>
      <c r="H33" s="77" t="s">
        <v>67</v>
      </c>
      <c r="I33" s="77"/>
      <c r="J33" s="77"/>
      <c r="K33" s="78"/>
      <c r="L33" s="5"/>
      <c r="M33" s="5"/>
    </row>
    <row r="34" spans="6:13">
      <c r="F34" s="5"/>
      <c r="G34" s="76" t="s">
        <v>49</v>
      </c>
      <c r="H34" s="77" t="str">
        <f>H8 &amp; ","</f>
        <v>t0,</v>
      </c>
      <c r="I34" s="77" t="str">
        <f>H22</f>
        <v>NAND_BASE</v>
      </c>
      <c r="J34" s="77"/>
      <c r="K34" s="78"/>
      <c r="L34" s="5"/>
      <c r="M34" s="5"/>
    </row>
    <row r="35" spans="6:13">
      <c r="F35" s="5"/>
      <c r="G35" s="76" t="s">
        <v>69</v>
      </c>
      <c r="H35" s="77" t="str">
        <f>H10 &amp; ","</f>
        <v>t1,</v>
      </c>
      <c r="I35" s="77" t="str">
        <f>H28</f>
        <v>CFG_START_FREQ</v>
      </c>
      <c r="J35" s="77"/>
      <c r="K35" s="78"/>
      <c r="L35" s="5"/>
      <c r="M35" s="5"/>
    </row>
    <row r="36" spans="6:13">
      <c r="F36" s="5"/>
      <c r="G36" s="76" t="s">
        <v>49</v>
      </c>
      <c r="H36" s="77" t="str">
        <f>H9 &amp; ","</f>
        <v>t2,</v>
      </c>
      <c r="I36" s="77" t="str">
        <f>H29</f>
        <v>CFG_CLK_DIV_PARAM</v>
      </c>
      <c r="J36" s="77"/>
      <c r="K36" s="78"/>
      <c r="L36" s="5"/>
      <c r="M36" s="5"/>
    </row>
    <row r="37" spans="6:13">
      <c r="F37" s="5"/>
      <c r="G37" s="76" t="s">
        <v>106</v>
      </c>
      <c r="H37" s="77" t="s">
        <v>107</v>
      </c>
      <c r="I37" s="77" t="str">
        <f>H30</f>
        <v>CFG_CPU_THROT</v>
      </c>
      <c r="J37" s="77"/>
      <c r="K37" s="78"/>
      <c r="L37" s="5"/>
      <c r="M37" s="5"/>
    </row>
    <row r="38" spans="6:13">
      <c r="F38" s="5"/>
      <c r="G38" s="76"/>
      <c r="H38" s="77"/>
      <c r="I38" s="77"/>
      <c r="J38" s="77"/>
      <c r="K38" s="78"/>
      <c r="L38" s="5"/>
      <c r="M38" s="5"/>
    </row>
    <row r="39" spans="6:13">
      <c r="F39" s="5"/>
      <c r="G39" s="76" t="s">
        <v>108</v>
      </c>
      <c r="H39" s="77" t="s">
        <v>107</v>
      </c>
      <c r="I39" s="77" t="str">
        <f>"CPU_THROT ("&amp;H8&amp;")"</f>
        <v>CPU_THROT (t0)</v>
      </c>
      <c r="J39" s="77"/>
      <c r="K39" s="78"/>
      <c r="L39" s="5"/>
      <c r="M39" s="5"/>
    </row>
    <row r="40" spans="6:13">
      <c r="F40" s="5"/>
      <c r="G40" s="76" t="s">
        <v>50</v>
      </c>
      <c r="H40" s="77" t="str">
        <f>H9 &amp; ","</f>
        <v>t2,</v>
      </c>
      <c r="I40" s="77" t="str">
        <f>H24 &amp; " (" &amp; H8 &amp; ")"</f>
        <v>CLK_DIV_PARAM (t0)</v>
      </c>
      <c r="J40" s="77"/>
      <c r="K40" s="78"/>
      <c r="L40" s="5"/>
      <c r="M40" s="5"/>
    </row>
    <row r="41" spans="6:13">
      <c r="F41" s="5"/>
      <c r="G41" s="76" t="s">
        <v>51</v>
      </c>
      <c r="H41" s="77" t="str">
        <f>H10 &amp; ","</f>
        <v>t1,</v>
      </c>
      <c r="I41" s="77" t="str">
        <f>H23 &amp; " (" &amp; H8 &amp; ")"</f>
        <v>START_FREQ (t0)</v>
      </c>
      <c r="J41" s="77"/>
      <c r="K41" s="78"/>
      <c r="L41" s="5"/>
      <c r="M41" s="5"/>
    </row>
    <row r="42" spans="6:13">
      <c r="F42" s="5"/>
      <c r="G42" s="76" t="s">
        <v>110</v>
      </c>
      <c r="H42" s="77"/>
      <c r="I42" s="77"/>
      <c r="J42" s="77"/>
      <c r="K42" s="78"/>
      <c r="L42" s="5"/>
      <c r="M42" s="5"/>
    </row>
    <row r="43" spans="6:13">
      <c r="F43" s="5"/>
      <c r="G43" s="76"/>
      <c r="H43" s="77"/>
      <c r="I43" s="77"/>
      <c r="J43" s="77"/>
      <c r="K43" s="78"/>
      <c r="L43" s="5"/>
      <c r="M43" s="5"/>
    </row>
    <row r="44" spans="6:13">
      <c r="F44" s="5"/>
      <c r="G44" s="76" t="s">
        <v>52</v>
      </c>
      <c r="H44" s="77" t="str">
        <f>H9 &amp; ","</f>
        <v>t2,</v>
      </c>
      <c r="I44" s="77" t="s">
        <v>92</v>
      </c>
      <c r="J44" s="77"/>
      <c r="K44" s="78"/>
      <c r="L44" s="5"/>
      <c r="M44" s="5"/>
    </row>
    <row r="45" spans="6:13">
      <c r="F45" s="5"/>
      <c r="G45" s="76" t="s">
        <v>51</v>
      </c>
      <c r="H45" s="77" t="str">
        <f>H9 &amp; ","</f>
        <v>t2,</v>
      </c>
      <c r="I45" s="77" t="str">
        <f>H24 &amp;" (" &amp; H8 &amp; ")"</f>
        <v>CLK_DIV_PARAM (t0)</v>
      </c>
      <c r="J45" s="77"/>
      <c r="K45" s="78"/>
      <c r="L45" s="5"/>
      <c r="M45" s="5"/>
    </row>
    <row r="46" spans="6:13">
      <c r="F46" s="5"/>
      <c r="G46" s="76"/>
      <c r="H46" s="77"/>
      <c r="I46" s="77"/>
      <c r="J46" s="77"/>
      <c r="K46" s="78"/>
      <c r="L46" s="5"/>
      <c r="M46" s="5"/>
    </row>
    <row r="47" spans="6:13">
      <c r="F47" s="5"/>
      <c r="G47" s="76" t="s">
        <v>111</v>
      </c>
      <c r="H47" s="77" t="s">
        <v>68</v>
      </c>
      <c r="I47" s="77"/>
      <c r="J47" s="77"/>
      <c r="K47" s="78"/>
      <c r="L47" s="5"/>
      <c r="M47" s="5"/>
    </row>
    <row r="48" spans="6:13">
      <c r="F48" s="5"/>
      <c r="G48" s="76" t="s">
        <v>59</v>
      </c>
      <c r="H48" s="77" t="s">
        <v>60</v>
      </c>
      <c r="I48" s="77">
        <f>in!M6 * 1000000</f>
        <v>264000000</v>
      </c>
      <c r="J48" s="77"/>
      <c r="K48" s="78"/>
      <c r="L48" s="5"/>
      <c r="M48" s="5"/>
    </row>
    <row r="49" spans="6:13">
      <c r="F49" s="5"/>
      <c r="G49" s="76" t="s">
        <v>61</v>
      </c>
      <c r="H49" s="77" t="s">
        <v>62</v>
      </c>
      <c r="I49" s="77"/>
      <c r="J49" s="77"/>
      <c r="K49" s="78"/>
      <c r="L49" s="5"/>
      <c r="M49" s="5"/>
    </row>
    <row r="50" spans="6:13">
      <c r="F50" s="5"/>
      <c r="G50" s="76"/>
      <c r="H50" s="77" t="s">
        <v>63</v>
      </c>
      <c r="I50" s="77"/>
      <c r="J50" s="77"/>
      <c r="K50" s="78"/>
      <c r="L50" s="5"/>
      <c r="M50" s="5"/>
    </row>
    <row r="51" spans="6:13">
      <c r="F51" s="5"/>
      <c r="G51" s="76" t="str">
        <f>"END(" &amp; H5 &amp; ")"</f>
        <v>END(ls1c300_pll_init_264mhz)</v>
      </c>
      <c r="H51" s="77"/>
      <c r="I51" s="77"/>
      <c r="J51" s="77"/>
      <c r="K51" s="78"/>
      <c r="L51" s="5"/>
      <c r="M51" s="5"/>
    </row>
    <row r="52" spans="6:13" ht="14.25" thickBot="1">
      <c r="F52" s="5"/>
      <c r="G52" s="79"/>
      <c r="H52" s="80"/>
      <c r="I52" s="80"/>
      <c r="J52" s="80"/>
      <c r="K52" s="81"/>
      <c r="L52" s="5"/>
      <c r="M52" s="5"/>
    </row>
    <row r="53" spans="6:13">
      <c r="F53" s="5"/>
      <c r="G53" s="5"/>
      <c r="H53" s="5"/>
      <c r="I53" s="5"/>
      <c r="J53" s="5"/>
      <c r="K53" s="5"/>
      <c r="L53" s="5"/>
      <c r="M53" s="5"/>
    </row>
    <row r="54" spans="6:13">
      <c r="F54" s="5"/>
      <c r="G54" s="5"/>
      <c r="H54" s="5"/>
      <c r="I54" s="5"/>
      <c r="J54" s="5"/>
      <c r="K54" s="5"/>
      <c r="L54" s="5"/>
      <c r="M54" s="5"/>
    </row>
    <row r="55" spans="6:13">
      <c r="F55" s="5"/>
      <c r="G55" s="5"/>
      <c r="H55" s="5"/>
      <c r="I55" s="5"/>
      <c r="J55" s="5"/>
      <c r="K55" s="5"/>
      <c r="L55" s="5"/>
      <c r="M55" s="5"/>
    </row>
    <row r="56" spans="6:13">
      <c r="F56" s="5"/>
      <c r="G56" s="5"/>
      <c r="H56" s="5"/>
      <c r="I56" s="5"/>
      <c r="J56" s="5"/>
      <c r="K56" s="5"/>
      <c r="L56" s="5"/>
      <c r="M56" s="5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in</vt:lpstr>
      <vt:lpstr>位段定义</vt:lpstr>
      <vt:lpstr>自动生成代码</vt:lpstr>
    </vt:vector>
  </TitlesOfParts>
  <Company>na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v20210808</dc:creator>
  <cp:lastModifiedBy>v20220321</cp:lastModifiedBy>
  <dcterms:created xsi:type="dcterms:W3CDTF">2021-12-18T19:16:02Z</dcterms:created>
  <dcterms:modified xsi:type="dcterms:W3CDTF">2022-04-19T08:56:47Z</dcterms:modified>
</cp:coreProperties>
</file>