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filterPrivacy="1" defaultThemeVersion="124226"/>
  <xr:revisionPtr revIDLastSave="2020" documentId="8_{3158A9C1-74DE-1F4A-A8EB-EF6968E2FAF4}" xr6:coauthVersionLast="44" xr6:coauthVersionMax="44" xr10:uidLastSave="{A80C6ABE-F160-DD46-B78B-84DCBA4E20DC}"/>
  <bookViews>
    <workbookView xWindow="0" yWindow="440" windowWidth="38400" windowHeight="20120" activeTab="14" xr2:uid="{00000000-000D-0000-FFFF-FFFF00000000}"/>
  </bookViews>
  <sheets>
    <sheet name="Overview" sheetId="2" r:id="rId1"/>
    <sheet name="Model Descriptive statistics" sheetId="13" r:id="rId2"/>
    <sheet name="AnaRes - Eval" sheetId="4" state="hidden" r:id="rId3"/>
    <sheet name="Tabelle3" sheetId="3" state="hidden" r:id="rId4"/>
    <sheet name="Results_exp1_0shot" sheetId="6" r:id="rId5"/>
    <sheet name="Analysis_exp1_0shot" sheetId="10" r:id="rId6"/>
    <sheet name="Results_exp2_0shot (2)" sheetId="19" state="hidden" r:id="rId7"/>
    <sheet name="Results_exp1_1shot" sheetId="12" r:id="rId8"/>
    <sheet name="Analysis_exp1_1shot" sheetId="15" r:id="rId9"/>
    <sheet name="Overall_exp1" sheetId="16" r:id="rId10"/>
    <sheet name="Results_exp2_0shot" sheetId="17" r:id="rId11"/>
    <sheet name="Analysis_exp2_0shot" sheetId="18" r:id="rId12"/>
    <sheet name="Results_exp2_1shot" sheetId="20" r:id="rId13"/>
    <sheet name="Analysis_exp2_1shot" sheetId="21" r:id="rId14"/>
    <sheet name="Overall_exp2_1shot" sheetId="25" r:id="rId15"/>
  </sheets>
  <definedNames>
    <definedName name="_xlnm._FilterDatabase" localSheetId="1" hidden="1">'Model Descriptive statistics'!$B$42:$I$79</definedName>
    <definedName name="_xlnm._FilterDatabase" localSheetId="0" hidden="1">Overview!$A$1:$CN$72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4" i="13" l="1"/>
  <c r="F84" i="13"/>
  <c r="G84" i="13"/>
  <c r="D84" i="13"/>
  <c r="E87" i="13"/>
  <c r="F87" i="13"/>
  <c r="G87" i="13"/>
  <c r="D87" i="13"/>
  <c r="D86" i="13"/>
  <c r="E86" i="13"/>
  <c r="F86" i="13"/>
  <c r="G86" i="13"/>
  <c r="AK48" i="10"/>
  <c r="AK47" i="10"/>
  <c r="AK46" i="10"/>
  <c r="AK44" i="10"/>
  <c r="AK43" i="10"/>
  <c r="AK36" i="10"/>
  <c r="AK35" i="10"/>
  <c r="AK34" i="10"/>
  <c r="AK33" i="10"/>
  <c r="AK32" i="10"/>
  <c r="AK31" i="10"/>
  <c r="AK30" i="10"/>
  <c r="AK29" i="10"/>
  <c r="AK20" i="10"/>
  <c r="AK19" i="10"/>
  <c r="AK14" i="10"/>
  <c r="AK11" i="10"/>
  <c r="AK10" i="10"/>
  <c r="AR48" i="10"/>
  <c r="AR47" i="10"/>
  <c r="AR46" i="10"/>
  <c r="AR45" i="10"/>
  <c r="AR44" i="10"/>
  <c r="AR43" i="10"/>
  <c r="AR38" i="10"/>
  <c r="AR37" i="10"/>
  <c r="AR36" i="10"/>
  <c r="AR35" i="10"/>
  <c r="AR34" i="10"/>
  <c r="AR33" i="10"/>
  <c r="AR32" i="10"/>
  <c r="AR31" i="10"/>
  <c r="AR30" i="10"/>
  <c r="AR29" i="10"/>
  <c r="AR28" i="10"/>
  <c r="AR27" i="10"/>
  <c r="AR22" i="10"/>
  <c r="AR21" i="10"/>
  <c r="AR20" i="10"/>
  <c r="AR19" i="10"/>
  <c r="AR18" i="10"/>
  <c r="AR17" i="10"/>
  <c r="AR16" i="10"/>
  <c r="AR15" i="10"/>
  <c r="AR14" i="10"/>
  <c r="AR13" i="10"/>
  <c r="AR12" i="10"/>
  <c r="AR11" i="10"/>
  <c r="AR10" i="10"/>
  <c r="AR9" i="10"/>
  <c r="AR8" i="10"/>
  <c r="AK45" i="10"/>
  <c r="AK38" i="10"/>
  <c r="AK37" i="10"/>
  <c r="AK28" i="10"/>
  <c r="AK27" i="10"/>
  <c r="AK22" i="10"/>
  <c r="AK21" i="10"/>
  <c r="AK18" i="10"/>
  <c r="AK17" i="10"/>
  <c r="AK16" i="10"/>
  <c r="AK15" i="10"/>
  <c r="AK13" i="10"/>
  <c r="AK12" i="10"/>
  <c r="AK9" i="10"/>
  <c r="AK8" i="10"/>
  <c r="AE56" i="21"/>
  <c r="AE42" i="21"/>
  <c r="AE25" i="21"/>
  <c r="AR19" i="18"/>
  <c r="AV6" i="18"/>
  <c r="F6" i="25"/>
  <c r="AE61" i="21"/>
  <c r="AX17" i="18"/>
  <c r="AV17" i="18"/>
  <c r="AT17" i="18"/>
  <c r="AR17" i="18"/>
  <c r="K170" i="20"/>
  <c r="AQ44" i="21"/>
  <c r="AQ54" i="21" s="1"/>
  <c r="AP44" i="21"/>
  <c r="AP54" i="21" s="1"/>
  <c r="AO44" i="21"/>
  <c r="AO54" i="21" s="1"/>
  <c r="AN44" i="21"/>
  <c r="AN54" i="21" s="1"/>
  <c r="AM44" i="21"/>
  <c r="AM54" i="21" s="1"/>
  <c r="AL44" i="21"/>
  <c r="AL54" i="21" s="1"/>
  <c r="AQ38" i="21"/>
  <c r="AP38" i="21"/>
  <c r="AO38" i="21"/>
  <c r="AN38" i="21"/>
  <c r="AM38" i="21"/>
  <c r="AL38" i="21"/>
  <c r="AQ37" i="21"/>
  <c r="AP37" i="21"/>
  <c r="AO37" i="21"/>
  <c r="AN37" i="21"/>
  <c r="AM37" i="21"/>
  <c r="AL37" i="21"/>
  <c r="AQ36" i="21"/>
  <c r="AP36" i="21"/>
  <c r="AO36" i="21"/>
  <c r="AN36" i="21"/>
  <c r="AM36" i="21"/>
  <c r="AL36" i="21"/>
  <c r="AQ35" i="21"/>
  <c r="AP35" i="21"/>
  <c r="AO35" i="21"/>
  <c r="AN35" i="21"/>
  <c r="AM35" i="21"/>
  <c r="AL35" i="21"/>
  <c r="AQ34" i="21"/>
  <c r="AP34" i="21"/>
  <c r="AO34" i="21"/>
  <c r="AN34" i="21"/>
  <c r="AM34" i="21"/>
  <c r="AL34" i="21"/>
  <c r="AQ33" i="21"/>
  <c r="AP33" i="21"/>
  <c r="AO33" i="21"/>
  <c r="AN33" i="21"/>
  <c r="AM33" i="21"/>
  <c r="AL33" i="21"/>
  <c r="AQ32" i="21"/>
  <c r="AP32" i="21"/>
  <c r="AO32" i="21"/>
  <c r="AN32" i="21"/>
  <c r="AM32" i="21"/>
  <c r="AL32" i="21"/>
  <c r="AQ31" i="21"/>
  <c r="AP31" i="21"/>
  <c r="AO31" i="21"/>
  <c r="AN31" i="21"/>
  <c r="AM31" i="21"/>
  <c r="AL31" i="21"/>
  <c r="AQ30" i="21"/>
  <c r="AP30" i="21"/>
  <c r="AO30" i="21"/>
  <c r="AN30" i="21"/>
  <c r="AM30" i="21"/>
  <c r="AL30" i="21"/>
  <c r="AQ29" i="21"/>
  <c r="AP29" i="21"/>
  <c r="AO29" i="21"/>
  <c r="AN29" i="21"/>
  <c r="AM29" i="21"/>
  <c r="AL29" i="21"/>
  <c r="AQ28" i="21"/>
  <c r="AP28" i="21"/>
  <c r="AO28" i="21"/>
  <c r="AN28" i="21"/>
  <c r="AM28" i="21"/>
  <c r="AL28" i="21"/>
  <c r="AQ27" i="21"/>
  <c r="AP27" i="21"/>
  <c r="AO27" i="21"/>
  <c r="AN27" i="21"/>
  <c r="AM27" i="21"/>
  <c r="AL27" i="21"/>
  <c r="AQ21" i="21"/>
  <c r="AP21" i="21"/>
  <c r="AO21" i="21"/>
  <c r="AN21" i="21"/>
  <c r="AM21" i="21"/>
  <c r="AL21" i="21"/>
  <c r="AQ20" i="21"/>
  <c r="AP20" i="21"/>
  <c r="AO20" i="21"/>
  <c r="AN20" i="21"/>
  <c r="AM20" i="21"/>
  <c r="AL20" i="21"/>
  <c r="AQ19" i="21"/>
  <c r="AP19" i="21"/>
  <c r="AO19" i="21"/>
  <c r="AN19" i="21"/>
  <c r="AM19" i="21"/>
  <c r="AL19" i="21"/>
  <c r="AQ18" i="21"/>
  <c r="AP18" i="21"/>
  <c r="AO18" i="21"/>
  <c r="AN18" i="21"/>
  <c r="AM18" i="21"/>
  <c r="AL18" i="21"/>
  <c r="AQ17" i="21"/>
  <c r="AP17" i="21"/>
  <c r="AO17" i="21"/>
  <c r="AN17" i="21"/>
  <c r="AM17" i="21"/>
  <c r="AL17" i="21"/>
  <c r="AQ16" i="21"/>
  <c r="AP16" i="21"/>
  <c r="AO16" i="21"/>
  <c r="AN16" i="21"/>
  <c r="AM16" i="21"/>
  <c r="AL16" i="21"/>
  <c r="AQ15" i="21"/>
  <c r="AP15" i="21"/>
  <c r="AO15" i="21"/>
  <c r="AN15" i="21"/>
  <c r="AM15" i="21"/>
  <c r="AL15" i="21"/>
  <c r="AQ14" i="21"/>
  <c r="AP14" i="21"/>
  <c r="AO14" i="21"/>
  <c r="AN14" i="21"/>
  <c r="AM14" i="21"/>
  <c r="AL14" i="21"/>
  <c r="AQ13" i="21"/>
  <c r="AP13" i="21"/>
  <c r="AO13" i="21"/>
  <c r="AN13" i="21"/>
  <c r="AM13" i="21"/>
  <c r="AL13" i="21"/>
  <c r="AQ12" i="21"/>
  <c r="AP12" i="21"/>
  <c r="AO12" i="21"/>
  <c r="AN12" i="21"/>
  <c r="AM12" i="21"/>
  <c r="AL12" i="21"/>
  <c r="AQ11" i="21"/>
  <c r="AP11" i="21"/>
  <c r="AO11" i="21"/>
  <c r="AN11" i="21"/>
  <c r="AM11" i="21"/>
  <c r="AL11" i="21"/>
  <c r="AQ10" i="21"/>
  <c r="AP10" i="21"/>
  <c r="AO10" i="21"/>
  <c r="AN10" i="21"/>
  <c r="AM10" i="21"/>
  <c r="AL10" i="21"/>
  <c r="AQ9" i="21"/>
  <c r="AP9" i="21"/>
  <c r="AO9" i="21"/>
  <c r="AN9" i="21"/>
  <c r="AM9" i="21"/>
  <c r="AL9" i="21"/>
  <c r="AQ8" i="21"/>
  <c r="AP8" i="21"/>
  <c r="AO8" i="21"/>
  <c r="AN8" i="21"/>
  <c r="AM8" i="21"/>
  <c r="AM22" i="21" s="1"/>
  <c r="AL8" i="21"/>
  <c r="AQ7" i="21"/>
  <c r="AP7" i="21"/>
  <c r="AO7" i="21"/>
  <c r="AN7" i="21"/>
  <c r="AJ19" i="20"/>
  <c r="AJ4" i="20"/>
  <c r="AJ5" i="20"/>
  <c r="AJ6" i="20"/>
  <c r="AJ7" i="20"/>
  <c r="AJ8" i="20"/>
  <c r="AJ11" i="20"/>
  <c r="AJ12" i="20"/>
  <c r="AJ13" i="20"/>
  <c r="AJ14" i="20"/>
  <c r="AJ15" i="20"/>
  <c r="AJ16" i="20"/>
  <c r="AJ20" i="20"/>
  <c r="AJ21" i="20"/>
  <c r="AJ22" i="20"/>
  <c r="AJ23" i="20"/>
  <c r="AJ24" i="20"/>
  <c r="AJ27" i="20"/>
  <c r="AJ28" i="20"/>
  <c r="AJ29" i="20"/>
  <c r="AJ30" i="20"/>
  <c r="AJ31" i="20"/>
  <c r="AJ32" i="20"/>
  <c r="AJ35" i="20"/>
  <c r="AJ36" i="20"/>
  <c r="AJ37" i="20"/>
  <c r="AJ38" i="20"/>
  <c r="AJ39" i="20"/>
  <c r="AJ40" i="20"/>
  <c r="AJ43" i="20"/>
  <c r="AJ44" i="20"/>
  <c r="AJ45" i="20"/>
  <c r="AJ46" i="20"/>
  <c r="AJ47" i="20"/>
  <c r="AJ48" i="20"/>
  <c r="AJ51" i="20"/>
  <c r="AJ52" i="20"/>
  <c r="AJ53" i="20"/>
  <c r="AJ54" i="20"/>
  <c r="AJ55" i="20"/>
  <c r="AJ56" i="20"/>
  <c r="AJ59" i="20"/>
  <c r="AJ60" i="20"/>
  <c r="AJ61" i="20"/>
  <c r="AJ62" i="20"/>
  <c r="AJ63" i="20"/>
  <c r="AJ64" i="20"/>
  <c r="AJ67" i="20"/>
  <c r="AJ68" i="20"/>
  <c r="AJ69" i="20"/>
  <c r="AJ70" i="20"/>
  <c r="AJ71" i="20"/>
  <c r="AJ72" i="20"/>
  <c r="AJ75" i="20"/>
  <c r="AJ76" i="20"/>
  <c r="AJ77" i="20"/>
  <c r="AJ78" i="20"/>
  <c r="AJ79" i="20"/>
  <c r="AJ80" i="20"/>
  <c r="AJ83" i="20"/>
  <c r="AJ84" i="20"/>
  <c r="AJ85" i="20"/>
  <c r="AJ86" i="20"/>
  <c r="AJ87" i="20"/>
  <c r="AJ88" i="20"/>
  <c r="AJ91" i="20"/>
  <c r="AJ92" i="20"/>
  <c r="AJ93" i="20"/>
  <c r="AJ94" i="20"/>
  <c r="AJ95" i="20"/>
  <c r="AJ96" i="20"/>
  <c r="AJ99" i="20"/>
  <c r="AJ100" i="20"/>
  <c r="AJ101" i="20"/>
  <c r="AJ102" i="20"/>
  <c r="AJ103" i="20"/>
  <c r="AJ104" i="20"/>
  <c r="AJ107" i="20"/>
  <c r="AJ108" i="20"/>
  <c r="AJ109" i="20"/>
  <c r="AJ110" i="20"/>
  <c r="AJ111" i="20"/>
  <c r="AJ112" i="20"/>
  <c r="AJ115" i="20"/>
  <c r="AJ116" i="20"/>
  <c r="AJ117" i="20"/>
  <c r="AJ118" i="20"/>
  <c r="AJ119" i="20"/>
  <c r="AJ120" i="20"/>
  <c r="AJ123" i="20"/>
  <c r="AJ124" i="20"/>
  <c r="AJ125" i="20"/>
  <c r="AJ126" i="20"/>
  <c r="AJ127" i="20"/>
  <c r="AJ128" i="20"/>
  <c r="AJ131" i="20"/>
  <c r="AJ132" i="20"/>
  <c r="AJ133" i="20"/>
  <c r="AJ134" i="20"/>
  <c r="AJ135" i="20"/>
  <c r="AJ136" i="20"/>
  <c r="AJ139" i="20"/>
  <c r="AJ140" i="20"/>
  <c r="AJ141" i="20"/>
  <c r="AJ142" i="20"/>
  <c r="AJ143" i="20"/>
  <c r="AJ144" i="20"/>
  <c r="AJ147" i="20"/>
  <c r="AJ148" i="20"/>
  <c r="AJ149" i="20"/>
  <c r="AJ150" i="20"/>
  <c r="AJ151" i="20"/>
  <c r="AJ152" i="20"/>
  <c r="AJ155" i="20"/>
  <c r="AJ157" i="20"/>
  <c r="AJ158" i="20"/>
  <c r="AJ159" i="20"/>
  <c r="AJ160" i="20"/>
  <c r="AJ163" i="20"/>
  <c r="AJ164" i="20"/>
  <c r="AJ165" i="20"/>
  <c r="AJ166" i="20"/>
  <c r="AJ167" i="20"/>
  <c r="AJ171" i="20"/>
  <c r="AJ172" i="20"/>
  <c r="AJ173" i="20"/>
  <c r="AJ174" i="20"/>
  <c r="AJ175" i="20"/>
  <c r="AJ176" i="20"/>
  <c r="AJ179" i="20"/>
  <c r="AJ180" i="20"/>
  <c r="AJ181" i="20"/>
  <c r="AJ182" i="20"/>
  <c r="AJ183" i="20"/>
  <c r="AJ184" i="20"/>
  <c r="AJ187" i="20"/>
  <c r="AJ188" i="20"/>
  <c r="AJ189" i="20"/>
  <c r="AJ190" i="20"/>
  <c r="AJ191" i="20"/>
  <c r="AJ192" i="20"/>
  <c r="AJ195" i="20"/>
  <c r="AJ196" i="20"/>
  <c r="AJ197" i="20"/>
  <c r="AJ198" i="20"/>
  <c r="AJ199" i="20"/>
  <c r="AJ200" i="20"/>
  <c r="AJ203" i="20"/>
  <c r="AJ204" i="20"/>
  <c r="AJ205" i="20"/>
  <c r="AJ206" i="20"/>
  <c r="AJ207" i="20"/>
  <c r="AJ208" i="20"/>
  <c r="AJ211" i="20"/>
  <c r="AJ212" i="20"/>
  <c r="AJ213" i="20"/>
  <c r="AJ214" i="20"/>
  <c r="AJ215" i="20"/>
  <c r="AJ216" i="20"/>
  <c r="AJ219" i="20"/>
  <c r="AJ220" i="20"/>
  <c r="AJ221" i="20"/>
  <c r="AJ222" i="20"/>
  <c r="AJ223" i="20"/>
  <c r="AJ224" i="20"/>
  <c r="AJ3" i="20"/>
  <c r="AZ10" i="18"/>
  <c r="AZ8" i="18"/>
  <c r="AZ6" i="18"/>
  <c r="AZ9" i="18"/>
  <c r="AZ7" i="18"/>
  <c r="B8" i="18"/>
  <c r="D82" i="13"/>
  <c r="D83" i="13"/>
  <c r="G83" i="13"/>
  <c r="F83" i="13"/>
  <c r="E83" i="13"/>
  <c r="P11" i="16"/>
  <c r="P10" i="16"/>
  <c r="P6" i="16"/>
  <c r="P5" i="16"/>
  <c r="P4" i="16"/>
  <c r="G3" i="16"/>
  <c r="P3" i="16" s="1"/>
  <c r="AH27" i="15"/>
  <c r="AI58" i="15"/>
  <c r="AK58" i="15"/>
  <c r="AH44" i="15"/>
  <c r="AK43" i="15"/>
  <c r="AK62" i="15" s="1"/>
  <c r="AJ43" i="15"/>
  <c r="AJ58" i="15" s="1"/>
  <c r="AI43" i="15"/>
  <c r="AI62" i="15" s="1"/>
  <c r="AH43" i="15"/>
  <c r="G5" i="16" s="1"/>
  <c r="P9" i="16" s="1"/>
  <c r="AK26" i="15"/>
  <c r="AJ26" i="15"/>
  <c r="AI26" i="15"/>
  <c r="AH26" i="15"/>
  <c r="AM56" i="10"/>
  <c r="AM54" i="10"/>
  <c r="AM53" i="10"/>
  <c r="AM24" i="10"/>
  <c r="AM23" i="10"/>
  <c r="AP53" i="10"/>
  <c r="AQ53" i="10"/>
  <c r="AO53" i="10"/>
  <c r="AN53" i="10"/>
  <c r="AQ39" i="10"/>
  <c r="AP39" i="10"/>
  <c r="AO39" i="10"/>
  <c r="AN39" i="10"/>
  <c r="AM39" i="10"/>
  <c r="AN23" i="10"/>
  <c r="AO23" i="10"/>
  <c r="AP23" i="10"/>
  <c r="AQ56" i="10"/>
  <c r="AP56" i="10"/>
  <c r="AO56" i="10"/>
  <c r="AN56" i="10"/>
  <c r="G82" i="13"/>
  <c r="F82" i="13"/>
  <c r="E82" i="13"/>
  <c r="F3" i="16"/>
  <c r="G7" i="16" l="1"/>
  <c r="AN22" i="21"/>
  <c r="AN39" i="21"/>
  <c r="AQ22" i="21"/>
  <c r="AO22" i="21"/>
  <c r="AL58" i="21"/>
  <c r="AN57" i="21"/>
  <c r="AL40" i="21"/>
  <c r="AP39" i="21"/>
  <c r="AP22" i="21"/>
  <c r="AM39" i="21"/>
  <c r="AQ39" i="21"/>
  <c r="AO57" i="21"/>
  <c r="AO39" i="21"/>
  <c r="AL55" i="21"/>
  <c r="AL39" i="21"/>
  <c r="AL57" i="21"/>
  <c r="AP57" i="21"/>
  <c r="AL23" i="21"/>
  <c r="AL22" i="21"/>
  <c r="AM57" i="21"/>
  <c r="AQ57" i="21"/>
  <c r="AJ62" i="15"/>
  <c r="AH62" i="15"/>
  <c r="AH58" i="15"/>
  <c r="AH59" i="15"/>
  <c r="P12" i="16" s="1"/>
  <c r="AM40" i="10"/>
  <c r="AQ23" i="10"/>
  <c r="AI3" i="6"/>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43" i="13"/>
  <c r="H5" i="13"/>
  <c r="G5" i="13"/>
  <c r="F5" i="13"/>
  <c r="AC49" i="15"/>
  <c r="AJ189" i="12"/>
  <c r="AB52" i="15" s="1"/>
  <c r="AJ185" i="12"/>
  <c r="AJ172" i="12"/>
  <c r="AJ167" i="12"/>
  <c r="AJ166" i="12"/>
  <c r="AJ165" i="12"/>
  <c r="AB48" i="15" s="1"/>
  <c r="AJ138" i="12"/>
  <c r="AJ187" i="12"/>
  <c r="AI54" i="21"/>
  <c r="AJ44" i="21"/>
  <c r="AJ54" i="21" s="1"/>
  <c r="AI44" i="21"/>
  <c r="AH44" i="21"/>
  <c r="AH54" i="21" s="1"/>
  <c r="AG44" i="21"/>
  <c r="AG54" i="21" s="1"/>
  <c r="AE44" i="21"/>
  <c r="AJ37" i="21"/>
  <c r="AJ33" i="21"/>
  <c r="AJ31" i="21"/>
  <c r="AJ29" i="21"/>
  <c r="AI33" i="21"/>
  <c r="AI31" i="21"/>
  <c r="AH37" i="21"/>
  <c r="AH31" i="21"/>
  <c r="AG35" i="21"/>
  <c r="AG31" i="21"/>
  <c r="AF31" i="21"/>
  <c r="AE31" i="21"/>
  <c r="AJ21" i="21"/>
  <c r="AJ20" i="21"/>
  <c r="AJ14" i="21"/>
  <c r="AJ10" i="21"/>
  <c r="AJ8" i="21"/>
  <c r="AI15" i="21"/>
  <c r="AH10" i="21"/>
  <c r="AG17" i="21"/>
  <c r="AG13" i="21"/>
  <c r="AG223" i="20"/>
  <c r="AG224" i="20"/>
  <c r="AG221" i="20"/>
  <c r="AG220" i="20"/>
  <c r="AF44" i="21"/>
  <c r="AG219" i="20"/>
  <c r="AG215" i="20"/>
  <c r="AG216" i="20"/>
  <c r="AJ38" i="21"/>
  <c r="AG213" i="20"/>
  <c r="AG211" i="20"/>
  <c r="AG207" i="20"/>
  <c r="AG208" i="20"/>
  <c r="AG198" i="20"/>
  <c r="AG199" i="20"/>
  <c r="AG200" i="20"/>
  <c r="AJ36" i="21" s="1"/>
  <c r="AG191" i="20"/>
  <c r="AG192" i="20"/>
  <c r="AG184" i="20"/>
  <c r="AG183" i="20"/>
  <c r="AI34" i="21" s="1"/>
  <c r="AG182" i="20"/>
  <c r="AH34" i="21" s="1"/>
  <c r="AJ34" i="21"/>
  <c r="AG36" i="21"/>
  <c r="AH29" i="21"/>
  <c r="AH33" i="21"/>
  <c r="AG175" i="20"/>
  <c r="AG176" i="20"/>
  <c r="AG174" i="20"/>
  <c r="AG172" i="20"/>
  <c r="AG168" i="20"/>
  <c r="AJ168" i="20" s="1"/>
  <c r="AG167" i="20"/>
  <c r="AG166" i="20"/>
  <c r="AG164" i="20"/>
  <c r="AG163" i="20"/>
  <c r="AG159" i="20"/>
  <c r="AG160" i="20"/>
  <c r="AG151" i="20"/>
  <c r="AG152" i="20"/>
  <c r="AJ30" i="21"/>
  <c r="AG149" i="20"/>
  <c r="AG144" i="20"/>
  <c r="AG142" i="20"/>
  <c r="AG132" i="20"/>
  <c r="AG136" i="20"/>
  <c r="AG128" i="20"/>
  <c r="AJ27" i="21" s="1"/>
  <c r="AG124" i="20"/>
  <c r="AG127" i="20"/>
  <c r="AG119" i="20"/>
  <c r="AG120" i="20"/>
  <c r="AG112" i="20"/>
  <c r="AG111" i="20"/>
  <c r="AG110" i="20"/>
  <c r="AG109" i="20"/>
  <c r="AG108" i="20"/>
  <c r="AG107" i="20"/>
  <c r="AG100" i="20"/>
  <c r="AG103" i="20"/>
  <c r="AG104" i="20"/>
  <c r="AJ19" i="21" s="1"/>
  <c r="AG96" i="20"/>
  <c r="AG92" i="20"/>
  <c r="AZ93" i="20"/>
  <c r="BA93" i="20"/>
  <c r="AZ94" i="20"/>
  <c r="BA94" i="20"/>
  <c r="AG95" i="20"/>
  <c r="AG85" i="20"/>
  <c r="AG84" i="20"/>
  <c r="AG83" i="20"/>
  <c r="AG87" i="20"/>
  <c r="AG88" i="20"/>
  <c r="AG76" i="20"/>
  <c r="AG77" i="20"/>
  <c r="AG16" i="21"/>
  <c r="AG78" i="20"/>
  <c r="AG79" i="20"/>
  <c r="AI16" i="21" s="1"/>
  <c r="AG80" i="20"/>
  <c r="AG75" i="20"/>
  <c r="AG68" i="20"/>
  <c r="AG69" i="20"/>
  <c r="AG15" i="21" s="1"/>
  <c r="AG70" i="20"/>
  <c r="AG71" i="20"/>
  <c r="AG72" i="20"/>
  <c r="AG64" i="20"/>
  <c r="AG63" i="20"/>
  <c r="AG62" i="20"/>
  <c r="AH14" i="21" s="1"/>
  <c r="AI14" i="21"/>
  <c r="AE13" i="21"/>
  <c r="AG55" i="20"/>
  <c r="AI13" i="21"/>
  <c r="AG56" i="20"/>
  <c r="AJ13" i="21"/>
  <c r="AG44" i="20"/>
  <c r="AG45" i="20"/>
  <c r="AG12" i="21" s="1"/>
  <c r="AG46" i="20"/>
  <c r="AG47" i="20"/>
  <c r="AG48" i="20"/>
  <c r="AG39" i="20"/>
  <c r="AG40" i="20"/>
  <c r="AJ11" i="21" s="1"/>
  <c r="AG29" i="20"/>
  <c r="AG30" i="20"/>
  <c r="AG31" i="20"/>
  <c r="AI10" i="21" s="1"/>
  <c r="AG32" i="20"/>
  <c r="AG28" i="20"/>
  <c r="X31" i="20"/>
  <c r="AD31" i="20"/>
  <c r="X32" i="20"/>
  <c r="AD32" i="20"/>
  <c r="AG24" i="20"/>
  <c r="AG22" i="20"/>
  <c r="AG21" i="20"/>
  <c r="AG9" i="21" s="1"/>
  <c r="AG20" i="20"/>
  <c r="AG23" i="20"/>
  <c r="AI9" i="21" s="1"/>
  <c r="AG19" i="20"/>
  <c r="AG16" i="20"/>
  <c r="AG15" i="20"/>
  <c r="AG14" i="20"/>
  <c r="AH8" i="21" s="1"/>
  <c r="AG12" i="20"/>
  <c r="AG11" i="20"/>
  <c r="AG7" i="20"/>
  <c r="AG8" i="20"/>
  <c r="AJ7" i="21" s="1"/>
  <c r="AG5" i="20"/>
  <c r="AZ5" i="20"/>
  <c r="BA5" i="20"/>
  <c r="BD5" i="20"/>
  <c r="BE5" i="20"/>
  <c r="AG6" i="20"/>
  <c r="AH7" i="21" s="1"/>
  <c r="AZ6" i="20"/>
  <c r="BA6" i="20"/>
  <c r="BD6" i="20"/>
  <c r="BE6" i="20"/>
  <c r="AG13" i="20"/>
  <c r="AG8" i="21" s="1"/>
  <c r="AZ13" i="20"/>
  <c r="BA13" i="20"/>
  <c r="BD13" i="20"/>
  <c r="BE13" i="20"/>
  <c r="AZ14" i="20"/>
  <c r="BA14" i="20"/>
  <c r="BD14" i="20"/>
  <c r="BE14" i="20"/>
  <c r="AZ21" i="20"/>
  <c r="BA21" i="20"/>
  <c r="BD21" i="20"/>
  <c r="BE21" i="20"/>
  <c r="AZ22" i="20"/>
  <c r="BA22" i="20"/>
  <c r="BD22" i="20"/>
  <c r="BE22" i="20"/>
  <c r="X29" i="20"/>
  <c r="AD29" i="20"/>
  <c r="AG10" i="21"/>
  <c r="AZ29" i="20"/>
  <c r="BA29" i="20"/>
  <c r="BD29" i="20"/>
  <c r="BE29" i="20"/>
  <c r="X30" i="20"/>
  <c r="AD30" i="20"/>
  <c r="AZ30" i="20"/>
  <c r="BA30" i="20"/>
  <c r="BD30" i="20"/>
  <c r="BE30" i="20"/>
  <c r="AG37" i="20"/>
  <c r="AZ37" i="20"/>
  <c r="BA37" i="20"/>
  <c r="BD37" i="20"/>
  <c r="BE37" i="20"/>
  <c r="AG38" i="20"/>
  <c r="AZ38" i="20"/>
  <c r="BA38" i="20"/>
  <c r="BD38" i="20"/>
  <c r="BE38" i="20"/>
  <c r="AZ45" i="20"/>
  <c r="BA45" i="20"/>
  <c r="BD45" i="20"/>
  <c r="BE45" i="20"/>
  <c r="AZ46" i="20"/>
  <c r="BA46" i="20"/>
  <c r="BD46" i="20"/>
  <c r="BE46" i="20"/>
  <c r="AG53" i="20"/>
  <c r="AZ53" i="20"/>
  <c r="BA53" i="20"/>
  <c r="BD53" i="20"/>
  <c r="BE53" i="20"/>
  <c r="AG54" i="20"/>
  <c r="AH13" i="21" s="1"/>
  <c r="AZ54" i="20"/>
  <c r="BA54" i="20"/>
  <c r="BD54" i="20"/>
  <c r="BE54" i="20"/>
  <c r="AG61" i="20"/>
  <c r="AG14" i="21" s="1"/>
  <c r="AZ61" i="20"/>
  <c r="BA61" i="20"/>
  <c r="BD61" i="20"/>
  <c r="BE61" i="20"/>
  <c r="AZ62" i="20"/>
  <c r="BA62" i="20"/>
  <c r="BD62" i="20"/>
  <c r="BE62" i="20"/>
  <c r="AZ69" i="20"/>
  <c r="BA69" i="20"/>
  <c r="BD69" i="20"/>
  <c r="BE69" i="20"/>
  <c r="AZ70" i="20"/>
  <c r="BA70" i="20"/>
  <c r="BD70" i="20"/>
  <c r="BE70" i="20"/>
  <c r="AZ77" i="20"/>
  <c r="BA77" i="20"/>
  <c r="BD77" i="20"/>
  <c r="BE77" i="20"/>
  <c r="AZ78" i="20"/>
  <c r="BA78" i="20"/>
  <c r="BD78" i="20"/>
  <c r="BE78" i="20"/>
  <c r="AZ85" i="20"/>
  <c r="BA85" i="20"/>
  <c r="BD85" i="20"/>
  <c r="BE85" i="20"/>
  <c r="AG86" i="20"/>
  <c r="AH17" i="21" s="1"/>
  <c r="AZ86" i="20"/>
  <c r="BA86" i="20"/>
  <c r="BD86" i="20"/>
  <c r="BE86" i="20"/>
  <c r="AG93" i="20"/>
  <c r="BD93" i="20"/>
  <c r="BE93" i="20"/>
  <c r="AZ262" i="20"/>
  <c r="BA262" i="20"/>
  <c r="BD262" i="20"/>
  <c r="BE262" i="20"/>
  <c r="AZ254" i="20"/>
  <c r="BA254" i="20"/>
  <c r="BD254" i="20"/>
  <c r="BE254" i="20"/>
  <c r="AZ246" i="20"/>
  <c r="BA246" i="20"/>
  <c r="BD246" i="20"/>
  <c r="BE246" i="20"/>
  <c r="AZ237" i="20"/>
  <c r="BA237" i="20"/>
  <c r="BD237" i="20"/>
  <c r="BE237" i="20"/>
  <c r="AZ238" i="20"/>
  <c r="BA238" i="20"/>
  <c r="BD238" i="20"/>
  <c r="BE238" i="20"/>
  <c r="AZ230" i="20"/>
  <c r="BA230" i="20"/>
  <c r="BD230" i="20"/>
  <c r="BE230" i="20"/>
  <c r="AZ221" i="20"/>
  <c r="BA221" i="20"/>
  <c r="BD221" i="20"/>
  <c r="BE221" i="20"/>
  <c r="AG222" i="20"/>
  <c r="AZ222" i="20"/>
  <c r="BA222" i="20"/>
  <c r="BD222" i="20"/>
  <c r="BE222" i="20"/>
  <c r="AZ213" i="20"/>
  <c r="BA213" i="20"/>
  <c r="BD213" i="20"/>
  <c r="BE213" i="20"/>
  <c r="AG214" i="20"/>
  <c r="AZ214" i="20"/>
  <c r="BA214" i="20"/>
  <c r="BD214" i="20"/>
  <c r="BE214" i="20"/>
  <c r="AG205" i="20"/>
  <c r="AG37" i="21" s="1"/>
  <c r="AZ205" i="20"/>
  <c r="BA205" i="20"/>
  <c r="BD205" i="20"/>
  <c r="BE205" i="20"/>
  <c r="AG206" i="20"/>
  <c r="AZ206" i="20"/>
  <c r="BA206" i="20"/>
  <c r="BD206" i="20"/>
  <c r="BE206" i="20"/>
  <c r="AG197" i="20"/>
  <c r="AZ197" i="20"/>
  <c r="BA197" i="20"/>
  <c r="BD197" i="20"/>
  <c r="BE197" i="20"/>
  <c r="AZ198" i="20"/>
  <c r="BA198" i="20"/>
  <c r="BD198" i="20"/>
  <c r="BE198" i="20"/>
  <c r="AG189" i="20"/>
  <c r="AZ189" i="20"/>
  <c r="BA189" i="20"/>
  <c r="BD189" i="20"/>
  <c r="BE189" i="20"/>
  <c r="AG190" i="20"/>
  <c r="AZ190" i="20"/>
  <c r="BA190" i="20"/>
  <c r="BD190" i="20"/>
  <c r="BE190" i="20"/>
  <c r="AZ182" i="20"/>
  <c r="BD182" i="20"/>
  <c r="BE182" i="20"/>
  <c r="AG173" i="20"/>
  <c r="AG33" i="21" s="1"/>
  <c r="AZ173" i="20"/>
  <c r="BD173" i="20"/>
  <c r="BE173" i="20"/>
  <c r="AZ174" i="20"/>
  <c r="BD174" i="20"/>
  <c r="BE174" i="20"/>
  <c r="AZ166" i="20"/>
  <c r="BA166" i="20"/>
  <c r="BD166" i="20"/>
  <c r="BE166" i="20"/>
  <c r="AG157" i="20"/>
  <c r="AZ157" i="20"/>
  <c r="BD157" i="20"/>
  <c r="BE157" i="20"/>
  <c r="AG158" i="20"/>
  <c r="AZ158" i="20"/>
  <c r="BD158" i="20"/>
  <c r="BE158" i="20"/>
  <c r="AG30" i="21"/>
  <c r="AZ149" i="20"/>
  <c r="BA149" i="20"/>
  <c r="BD149" i="20"/>
  <c r="BE149" i="20"/>
  <c r="AG150" i="20"/>
  <c r="AH30" i="21" s="1"/>
  <c r="AZ150" i="20"/>
  <c r="BA150" i="20"/>
  <c r="BD150" i="20"/>
  <c r="BE150" i="20"/>
  <c r="AZ142" i="20"/>
  <c r="BD142" i="20"/>
  <c r="BE142" i="20"/>
  <c r="AG143" i="20"/>
  <c r="AI29" i="21" s="1"/>
  <c r="AG134" i="20"/>
  <c r="AH28" i="21" s="1"/>
  <c r="AZ134" i="20"/>
  <c r="BA134" i="20"/>
  <c r="BD134" i="20"/>
  <c r="BE134" i="20"/>
  <c r="AG135" i="20"/>
  <c r="AG125" i="20"/>
  <c r="AZ125" i="20"/>
  <c r="BA125" i="20"/>
  <c r="BD125" i="20"/>
  <c r="BE125" i="20"/>
  <c r="AG126" i="20"/>
  <c r="AZ126" i="20"/>
  <c r="BA126" i="20"/>
  <c r="BD126" i="20"/>
  <c r="BE126" i="20"/>
  <c r="AG117" i="20"/>
  <c r="AZ117" i="20"/>
  <c r="BA117" i="20"/>
  <c r="BD117" i="20"/>
  <c r="BE117" i="20"/>
  <c r="AG118" i="20"/>
  <c r="AZ118" i="20"/>
  <c r="BA118" i="20"/>
  <c r="BD118" i="20"/>
  <c r="BE118" i="20"/>
  <c r="AZ109" i="20"/>
  <c r="BA109" i="20"/>
  <c r="BD109" i="20"/>
  <c r="BE109" i="20"/>
  <c r="AZ110" i="20"/>
  <c r="BA110" i="20"/>
  <c r="BD110" i="20"/>
  <c r="BE110" i="20"/>
  <c r="AG101" i="20"/>
  <c r="AZ101" i="20"/>
  <c r="BA101" i="20"/>
  <c r="BD101" i="20"/>
  <c r="BE101" i="20"/>
  <c r="AG102" i="20"/>
  <c r="AZ102" i="20"/>
  <c r="BA102" i="20"/>
  <c r="BD102" i="20"/>
  <c r="BE102" i="20"/>
  <c r="K284" i="20"/>
  <c r="K278" i="20"/>
  <c r="K272" i="20"/>
  <c r="K266" i="20"/>
  <c r="BE261" i="20"/>
  <c r="BD261" i="20"/>
  <c r="BA261" i="20"/>
  <c r="AZ261" i="20"/>
  <c r="BE260" i="20"/>
  <c r="BD260" i="20"/>
  <c r="BA260" i="20"/>
  <c r="AZ260" i="20"/>
  <c r="BE259" i="20"/>
  <c r="BD259" i="20"/>
  <c r="BA259" i="20"/>
  <c r="AZ259" i="20"/>
  <c r="K258" i="20"/>
  <c r="BE253" i="20"/>
  <c r="BD253" i="20"/>
  <c r="BA253" i="20"/>
  <c r="AZ253" i="20"/>
  <c r="BE252" i="20"/>
  <c r="BD252" i="20"/>
  <c r="BA252" i="20"/>
  <c r="AZ252" i="20"/>
  <c r="BE251" i="20"/>
  <c r="BD251" i="20"/>
  <c r="BA251" i="20"/>
  <c r="AZ251" i="20"/>
  <c r="K250" i="20"/>
  <c r="BE245" i="20"/>
  <c r="BD245" i="20"/>
  <c r="BA245" i="20"/>
  <c r="AZ245" i="20"/>
  <c r="BE244" i="20"/>
  <c r="BD244" i="20"/>
  <c r="BA244" i="20"/>
  <c r="AZ244" i="20"/>
  <c r="BE243" i="20"/>
  <c r="BD243" i="20"/>
  <c r="BA243" i="20"/>
  <c r="AZ243" i="20"/>
  <c r="K242" i="20"/>
  <c r="BE236" i="20"/>
  <c r="BD236" i="20"/>
  <c r="BA236" i="20"/>
  <c r="AZ236" i="20"/>
  <c r="BE235" i="20"/>
  <c r="BD235" i="20"/>
  <c r="BA235" i="20"/>
  <c r="AZ235" i="20"/>
  <c r="K234" i="20"/>
  <c r="BE229" i="20"/>
  <c r="BD229" i="20"/>
  <c r="BA229" i="20"/>
  <c r="AZ229" i="20"/>
  <c r="BE228" i="20"/>
  <c r="BD228" i="20"/>
  <c r="BA228" i="20"/>
  <c r="AZ228" i="20"/>
  <c r="BE227" i="20"/>
  <c r="BD227" i="20"/>
  <c r="BA227" i="20"/>
  <c r="AZ227" i="20"/>
  <c r="K226" i="20"/>
  <c r="BE220" i="20"/>
  <c r="BD220" i="20"/>
  <c r="BA220" i="20"/>
  <c r="AZ220" i="20"/>
  <c r="BE219" i="20"/>
  <c r="BD219" i="20"/>
  <c r="BA219" i="20"/>
  <c r="AZ219" i="20"/>
  <c r="K218" i="20"/>
  <c r="BE212" i="20"/>
  <c r="BD212" i="20"/>
  <c r="BA212" i="20"/>
  <c r="AZ212" i="20"/>
  <c r="AG212" i="20"/>
  <c r="AF38" i="21" s="1"/>
  <c r="BE211" i="20"/>
  <c r="BD211" i="20"/>
  <c r="BA211" i="20"/>
  <c r="AZ211" i="20"/>
  <c r="AE38" i="21"/>
  <c r="K210" i="20"/>
  <c r="BE204" i="20"/>
  <c r="BD204" i="20"/>
  <c r="BA204" i="20"/>
  <c r="AZ204" i="20"/>
  <c r="AG204" i="20"/>
  <c r="AF37" i="21" s="1"/>
  <c r="BE203" i="20"/>
  <c r="BD203" i="20"/>
  <c r="BA203" i="20"/>
  <c r="AZ203" i="20"/>
  <c r="AG203" i="20"/>
  <c r="AE37" i="21" s="1"/>
  <c r="K202" i="20"/>
  <c r="BE196" i="20"/>
  <c r="BD196" i="20"/>
  <c r="BA196" i="20"/>
  <c r="AZ196" i="20"/>
  <c r="AG196" i="20"/>
  <c r="AF36" i="21" s="1"/>
  <c r="BE195" i="20"/>
  <c r="BD195" i="20"/>
  <c r="BA195" i="20"/>
  <c r="AZ195" i="20"/>
  <c r="AG195" i="20"/>
  <c r="AE36" i="21" s="1"/>
  <c r="K194" i="20"/>
  <c r="BE188" i="20"/>
  <c r="BD188" i="20"/>
  <c r="BA188" i="20"/>
  <c r="AZ188" i="20"/>
  <c r="AG188" i="20"/>
  <c r="AF35" i="21" s="1"/>
  <c r="BE187" i="20"/>
  <c r="BD187" i="20"/>
  <c r="BA187" i="20"/>
  <c r="AZ187" i="20"/>
  <c r="AG187" i="20"/>
  <c r="AE35" i="21" s="1"/>
  <c r="K186" i="20"/>
  <c r="BE181" i="20"/>
  <c r="BD181" i="20"/>
  <c r="BA181" i="20"/>
  <c r="AZ181" i="20"/>
  <c r="AG181" i="20"/>
  <c r="BE180" i="20"/>
  <c r="BD180" i="20"/>
  <c r="BA180" i="20"/>
  <c r="AZ180" i="20"/>
  <c r="AG180" i="20"/>
  <c r="AF34" i="21" s="1"/>
  <c r="BE179" i="20"/>
  <c r="BD179" i="20"/>
  <c r="AZ179" i="20"/>
  <c r="AG179" i="20"/>
  <c r="AE34" i="21" s="1"/>
  <c r="K178" i="20"/>
  <c r="BE172" i="20"/>
  <c r="BD172" i="20"/>
  <c r="BA172" i="20"/>
  <c r="AZ172" i="20"/>
  <c r="AF33" i="21"/>
  <c r="BE171" i="20"/>
  <c r="BD171" i="20"/>
  <c r="AZ171" i="20"/>
  <c r="AG171" i="20"/>
  <c r="AE33" i="21" s="1"/>
  <c r="BE165" i="20"/>
  <c r="BD165" i="20"/>
  <c r="BA165" i="20"/>
  <c r="AZ165" i="20"/>
  <c r="AG165" i="20"/>
  <c r="AG32" i="21" s="1"/>
  <c r="BE164" i="20"/>
  <c r="BD164" i="20"/>
  <c r="BA164" i="20"/>
  <c r="AZ164" i="20"/>
  <c r="BE163" i="20"/>
  <c r="BD163" i="20"/>
  <c r="BA163" i="20"/>
  <c r="AZ163" i="20"/>
  <c r="AE32" i="21"/>
  <c r="K162" i="20"/>
  <c r="BE156" i="20"/>
  <c r="BD156" i="20"/>
  <c r="BA156" i="20"/>
  <c r="AZ156" i="20"/>
  <c r="AG156" i="20"/>
  <c r="BE155" i="20"/>
  <c r="BD155" i="20"/>
  <c r="AZ155" i="20"/>
  <c r="AG155" i="20"/>
  <c r="K154" i="20"/>
  <c r="BE148" i="20"/>
  <c r="BD148" i="20"/>
  <c r="BA148" i="20"/>
  <c r="AZ148" i="20"/>
  <c r="AG148" i="20"/>
  <c r="BE147" i="20"/>
  <c r="BD147" i="20"/>
  <c r="BA147" i="20"/>
  <c r="AZ147" i="20"/>
  <c r="AG147" i="20"/>
  <c r="AE30" i="21" s="1"/>
  <c r="K146" i="20"/>
  <c r="BE141" i="20"/>
  <c r="BD141" i="20"/>
  <c r="AZ141" i="20"/>
  <c r="AG141" i="20"/>
  <c r="AG29" i="21" s="1"/>
  <c r="BE140" i="20"/>
  <c r="BD140" i="20"/>
  <c r="BA140" i="20"/>
  <c r="AZ140" i="20"/>
  <c r="AG140" i="20"/>
  <c r="AF29" i="21" s="1"/>
  <c r="BE139" i="20"/>
  <c r="BD139" i="20"/>
  <c r="AZ139" i="20"/>
  <c r="AG139" i="20"/>
  <c r="AE29" i="21" s="1"/>
  <c r="K138" i="20"/>
  <c r="BE133" i="20"/>
  <c r="BD133" i="20"/>
  <c r="BA133" i="20"/>
  <c r="AZ133" i="20"/>
  <c r="AG133" i="20"/>
  <c r="AG28" i="21" s="1"/>
  <c r="BE132" i="20"/>
  <c r="BD132" i="20"/>
  <c r="BA132" i="20"/>
  <c r="AZ132" i="20"/>
  <c r="AF28" i="21"/>
  <c r="BE131" i="20"/>
  <c r="BD131" i="20"/>
  <c r="BA131" i="20"/>
  <c r="AZ131" i="20"/>
  <c r="AG131" i="20"/>
  <c r="K130" i="20"/>
  <c r="BE124" i="20"/>
  <c r="BD124" i="20"/>
  <c r="BA124" i="20"/>
  <c r="AZ124" i="20"/>
  <c r="AF27" i="21"/>
  <c r="BE123" i="20"/>
  <c r="BD123" i="20"/>
  <c r="BA123" i="20"/>
  <c r="AZ123" i="20"/>
  <c r="AG123" i="20"/>
  <c r="AE27" i="21" s="1"/>
  <c r="K122" i="20"/>
  <c r="BE116" i="20"/>
  <c r="BD116" i="20"/>
  <c r="BA116" i="20"/>
  <c r="AZ116" i="20"/>
  <c r="AG116" i="20"/>
  <c r="AF21" i="21" s="1"/>
  <c r="BE115" i="20"/>
  <c r="BD115" i="20"/>
  <c r="BA115" i="20"/>
  <c r="AZ115" i="20"/>
  <c r="AG115" i="20"/>
  <c r="AE21" i="21" s="1"/>
  <c r="K114" i="20"/>
  <c r="BE108" i="20"/>
  <c r="BD108" i="20"/>
  <c r="BA108" i="20"/>
  <c r="AZ108" i="20"/>
  <c r="AF20" i="21"/>
  <c r="BE107" i="20"/>
  <c r="BD107" i="20"/>
  <c r="BA107" i="20"/>
  <c r="AZ107" i="20"/>
  <c r="K106" i="20"/>
  <c r="BE100" i="20"/>
  <c r="BD100" i="20"/>
  <c r="BA100" i="20"/>
  <c r="AZ100" i="20"/>
  <c r="AF19" i="21"/>
  <c r="BE99" i="20"/>
  <c r="BD99" i="20"/>
  <c r="AZ99" i="20"/>
  <c r="AG99" i="20"/>
  <c r="AE19" i="21" s="1"/>
  <c r="K98" i="20"/>
  <c r="BE94" i="20"/>
  <c r="BD94" i="20"/>
  <c r="AG94" i="20"/>
  <c r="BE92" i="20"/>
  <c r="BD92" i="20"/>
  <c r="BA92" i="20"/>
  <c r="AZ92" i="20"/>
  <c r="AF18" i="21"/>
  <c r="BE91" i="20"/>
  <c r="BD91" i="20"/>
  <c r="AZ91" i="20"/>
  <c r="AG91" i="20"/>
  <c r="K90" i="20"/>
  <c r="BE84" i="20"/>
  <c r="BD84" i="20"/>
  <c r="BA84" i="20"/>
  <c r="AZ84" i="20"/>
  <c r="AF17" i="21"/>
  <c r="BE83" i="20"/>
  <c r="BD83" i="20"/>
  <c r="BA83" i="20"/>
  <c r="AZ83" i="20"/>
  <c r="AE17" i="21"/>
  <c r="K82" i="20"/>
  <c r="BE76" i="20"/>
  <c r="BD76" i="20"/>
  <c r="BA76" i="20"/>
  <c r="AZ76" i="20"/>
  <c r="BE75" i="20"/>
  <c r="BD75" i="20"/>
  <c r="BA75" i="20"/>
  <c r="AZ75" i="20"/>
  <c r="AE16" i="21"/>
  <c r="K74" i="20"/>
  <c r="BE68" i="20"/>
  <c r="BD68" i="20"/>
  <c r="BA68" i="20"/>
  <c r="AZ68" i="20"/>
  <c r="BE67" i="20"/>
  <c r="BD67" i="20"/>
  <c r="BA67" i="20"/>
  <c r="AZ67" i="20"/>
  <c r="AG67" i="20"/>
  <c r="AE15" i="21" s="1"/>
  <c r="K66" i="20"/>
  <c r="BE60" i="20"/>
  <c r="BD60" i="20"/>
  <c r="BA60" i="20"/>
  <c r="AZ60" i="20"/>
  <c r="AG60" i="20"/>
  <c r="AF14" i="21" s="1"/>
  <c r="BE59" i="20"/>
  <c r="BD59" i="20"/>
  <c r="BA59" i="20"/>
  <c r="AZ59" i="20"/>
  <c r="AG59" i="20"/>
  <c r="K58" i="20"/>
  <c r="BE52" i="20"/>
  <c r="BD52" i="20"/>
  <c r="BA52" i="20"/>
  <c r="AZ52" i="20"/>
  <c r="AG52" i="20"/>
  <c r="AF13" i="21" s="1"/>
  <c r="BE51" i="20"/>
  <c r="BD51" i="20"/>
  <c r="AZ51" i="20"/>
  <c r="K50" i="20"/>
  <c r="BE44" i="20"/>
  <c r="BD44" i="20"/>
  <c r="BA44" i="20"/>
  <c r="AZ44" i="20"/>
  <c r="BE43" i="20"/>
  <c r="BD43" i="20"/>
  <c r="BA43" i="20"/>
  <c r="AZ43" i="20"/>
  <c r="AG43" i="20"/>
  <c r="AE12" i="21" s="1"/>
  <c r="K42" i="20"/>
  <c r="BE36" i="20"/>
  <c r="BD36" i="20"/>
  <c r="BA36" i="20"/>
  <c r="AZ36" i="20"/>
  <c r="AG36" i="20"/>
  <c r="AF11" i="21" s="1"/>
  <c r="BE35" i="20"/>
  <c r="BD35" i="20"/>
  <c r="BA35" i="20"/>
  <c r="AZ35" i="20"/>
  <c r="AG35" i="20"/>
  <c r="AE11" i="21" s="1"/>
  <c r="K34" i="20"/>
  <c r="BE28" i="20"/>
  <c r="BD28" i="20"/>
  <c r="BA28" i="20"/>
  <c r="AZ28" i="20"/>
  <c r="AF10" i="21"/>
  <c r="AD28" i="20"/>
  <c r="X28" i="20"/>
  <c r="BE27" i="20"/>
  <c r="BD27" i="20"/>
  <c r="AZ27" i="20"/>
  <c r="AG27" i="20"/>
  <c r="AE10" i="21" s="1"/>
  <c r="K26" i="20"/>
  <c r="BE20" i="20"/>
  <c r="BD20" i="20"/>
  <c r="BA20" i="20"/>
  <c r="AZ20" i="20"/>
  <c r="BE19" i="20"/>
  <c r="BD19" i="20"/>
  <c r="AZ19" i="20"/>
  <c r="AE9" i="21"/>
  <c r="K18" i="20"/>
  <c r="BE12" i="20"/>
  <c r="BD12" i="20"/>
  <c r="BA12" i="20"/>
  <c r="AZ12" i="20"/>
  <c r="AF8" i="21"/>
  <c r="BE11" i="20"/>
  <c r="BD11" i="20"/>
  <c r="BA11" i="20"/>
  <c r="AZ11" i="20"/>
  <c r="AE8" i="21"/>
  <c r="K10" i="20"/>
  <c r="BE4" i="20"/>
  <c r="BD4" i="20"/>
  <c r="BA4" i="20"/>
  <c r="AZ4" i="20"/>
  <c r="AG4" i="20"/>
  <c r="AF7" i="21" s="1"/>
  <c r="BE3" i="20"/>
  <c r="BD3" i="20"/>
  <c r="BA3" i="20"/>
  <c r="AZ3" i="20"/>
  <c r="AG3" i="20"/>
  <c r="K2" i="20"/>
  <c r="AF51" i="19"/>
  <c r="AI51" i="19" s="1"/>
  <c r="Z51" i="19"/>
  <c r="AC51" i="19" s="1"/>
  <c r="O51" i="19"/>
  <c r="N51" i="19" s="1"/>
  <c r="AF50" i="19"/>
  <c r="AI50" i="19" s="1"/>
  <c r="Z50" i="19"/>
  <c r="AC50" i="19" s="1"/>
  <c r="O50" i="19"/>
  <c r="N50" i="19" s="1"/>
  <c r="AF49" i="19"/>
  <c r="AI49" i="19" s="1"/>
  <c r="AF48" i="19"/>
  <c r="AI48" i="19" s="1"/>
  <c r="AI47" i="19"/>
  <c r="AF47" i="19"/>
  <c r="Z47" i="19"/>
  <c r="AC47" i="19" s="1"/>
  <c r="O47" i="19"/>
  <c r="N47" i="19"/>
  <c r="Q47" i="19" s="1"/>
  <c r="AI46" i="19"/>
  <c r="AF46" i="19"/>
  <c r="Z46" i="19"/>
  <c r="AC46" i="19" s="1"/>
  <c r="O46" i="19"/>
  <c r="N46" i="19" s="1"/>
  <c r="Q46" i="19" s="1"/>
  <c r="AF45" i="19"/>
  <c r="AI45" i="19" s="1"/>
  <c r="Z45" i="19"/>
  <c r="AC45" i="19" s="1"/>
  <c r="O45" i="19"/>
  <c r="N45" i="19" s="1"/>
  <c r="AF44" i="19"/>
  <c r="AI44" i="19" s="1"/>
  <c r="Z44" i="19"/>
  <c r="AC44" i="19" s="1"/>
  <c r="O44" i="19"/>
  <c r="N44" i="19" s="1"/>
  <c r="AF41" i="19"/>
  <c r="AI41" i="19" s="1"/>
  <c r="AI40" i="19"/>
  <c r="AF40" i="19"/>
  <c r="AF39" i="19"/>
  <c r="AI39" i="19" s="1"/>
  <c r="Z39" i="19"/>
  <c r="AC39" i="19" s="1"/>
  <c r="O39" i="19"/>
  <c r="N39" i="19" s="1"/>
  <c r="AF38" i="19"/>
  <c r="Z38" i="19"/>
  <c r="O38" i="19"/>
  <c r="N38" i="19" s="1"/>
  <c r="Q38" i="19" s="1"/>
  <c r="AI37" i="19"/>
  <c r="AF37" i="19"/>
  <c r="AF36" i="19"/>
  <c r="AI36" i="19" s="1"/>
  <c r="AI35" i="19"/>
  <c r="AF35" i="19"/>
  <c r="AF34" i="19"/>
  <c r="AI34" i="19" s="1"/>
  <c r="AF31" i="19"/>
  <c r="AC31" i="19"/>
  <c r="O31" i="19"/>
  <c r="N31" i="19" s="1"/>
  <c r="AF30" i="19"/>
  <c r="AC30" i="19"/>
  <c r="O30" i="19"/>
  <c r="N30" i="19" s="1"/>
  <c r="AF29" i="19"/>
  <c r="AC29" i="19"/>
  <c r="O29" i="19"/>
  <c r="N29" i="19"/>
  <c r="AF28" i="19"/>
  <c r="AC28" i="19"/>
  <c r="N28" i="19"/>
  <c r="Q28" i="19" s="1"/>
  <c r="AF27" i="19"/>
  <c r="AC27" i="19"/>
  <c r="O27" i="19"/>
  <c r="N27" i="19" s="1"/>
  <c r="AF26" i="19"/>
  <c r="AC26" i="19"/>
  <c r="N26" i="19"/>
  <c r="Q26" i="19" s="1"/>
  <c r="AI25" i="19"/>
  <c r="AF25" i="19"/>
  <c r="AF24" i="19"/>
  <c r="AI24" i="19" s="1"/>
  <c r="AF21" i="19"/>
  <c r="AF20" i="19"/>
  <c r="AI20" i="19" s="1"/>
  <c r="Z20" i="19"/>
  <c r="AC20" i="19" s="1"/>
  <c r="T20" i="19"/>
  <c r="W20" i="19" s="1"/>
  <c r="N20" i="19"/>
  <c r="Q20" i="19" s="1"/>
  <c r="AF19" i="19"/>
  <c r="AC19" i="19"/>
  <c r="O19" i="19"/>
  <c r="N19" i="19"/>
  <c r="Q19" i="19" s="1"/>
  <c r="AF18" i="19"/>
  <c r="AC18" i="19"/>
  <c r="O18" i="19"/>
  <c r="N18" i="19" s="1"/>
  <c r="Q18" i="19" s="1"/>
  <c r="AF17" i="19"/>
  <c r="AF16" i="19"/>
  <c r="AF15" i="19"/>
  <c r="AI15" i="19" s="1"/>
  <c r="AF14" i="19"/>
  <c r="AF11" i="19"/>
  <c r="AF10" i="19"/>
  <c r="AI10" i="19" s="1"/>
  <c r="AF9" i="19"/>
  <c r="AI9" i="19" s="1"/>
  <c r="BD8" i="19"/>
  <c r="BC8" i="19"/>
  <c r="AZ8" i="19"/>
  <c r="AY8" i="19"/>
  <c r="AF8" i="19"/>
  <c r="BD7" i="19"/>
  <c r="BC7" i="19"/>
  <c r="AZ7" i="19"/>
  <c r="AY7" i="19"/>
  <c r="AF7" i="19"/>
  <c r="BD6" i="19"/>
  <c r="BC6" i="19"/>
  <c r="AZ6" i="19"/>
  <c r="AY6" i="19"/>
  <c r="AF6" i="19"/>
  <c r="AI6" i="19" s="1"/>
  <c r="BD5" i="19"/>
  <c r="BC5" i="19"/>
  <c r="AZ5" i="19"/>
  <c r="AY5" i="19"/>
  <c r="AF5" i="19"/>
  <c r="AI5" i="19" s="1"/>
  <c r="BD4" i="19"/>
  <c r="BC4" i="19"/>
  <c r="AZ4" i="19"/>
  <c r="AY4" i="19"/>
  <c r="AF4" i="19"/>
  <c r="AI4" i="19" s="1"/>
  <c r="AY10" i="18"/>
  <c r="AY7" i="18"/>
  <c r="AY6" i="18"/>
  <c r="AO10" i="18"/>
  <c r="AW8" i="18"/>
  <c r="AW7" i="18"/>
  <c r="AU8" i="18"/>
  <c r="AU7" i="18"/>
  <c r="AU6" i="18"/>
  <c r="AT8" i="18"/>
  <c r="AT7" i="18"/>
  <c r="AR7" i="18"/>
  <c r="AV8" i="18"/>
  <c r="AV7" i="18"/>
  <c r="B10" i="18"/>
  <c r="B9" i="18"/>
  <c r="B7" i="18"/>
  <c r="B6" i="18"/>
  <c r="O30" i="17"/>
  <c r="N30" i="17" s="1"/>
  <c r="Q30" i="17" s="1"/>
  <c r="AF29" i="17"/>
  <c r="O29" i="17"/>
  <c r="N29" i="17" s="1"/>
  <c r="N28" i="17"/>
  <c r="O28" i="17"/>
  <c r="N27" i="17"/>
  <c r="O26" i="17"/>
  <c r="N26" i="17" s="1"/>
  <c r="Q26" i="17" s="1"/>
  <c r="N25" i="17"/>
  <c r="O18" i="17"/>
  <c r="N18" i="17" s="1"/>
  <c r="Q18" i="17" s="1"/>
  <c r="O17" i="17"/>
  <c r="N17" i="17" s="1"/>
  <c r="Q17" i="17" s="1"/>
  <c r="Z38" i="17"/>
  <c r="O38" i="17"/>
  <c r="N38" i="17" s="1"/>
  <c r="Z37" i="17"/>
  <c r="O37" i="17"/>
  <c r="N37" i="17"/>
  <c r="Q37" i="17" s="1"/>
  <c r="Z50" i="17"/>
  <c r="N50" i="17"/>
  <c r="O50" i="17"/>
  <c r="Z49" i="17"/>
  <c r="O49" i="17"/>
  <c r="N49" i="17" s="1"/>
  <c r="Z46" i="17"/>
  <c r="O46" i="17"/>
  <c r="N46" i="17" s="1"/>
  <c r="Q46" i="17" s="1"/>
  <c r="Z45" i="17"/>
  <c r="O45" i="17"/>
  <c r="N45" i="17" s="1"/>
  <c r="Q45" i="17" s="1"/>
  <c r="Z44" i="17"/>
  <c r="AC44" i="17" s="1"/>
  <c r="O44" i="17"/>
  <c r="N44" i="17" s="1"/>
  <c r="Q44" i="17" s="1"/>
  <c r="Z43" i="17"/>
  <c r="O43" i="17"/>
  <c r="N43" i="17" s="1"/>
  <c r="Q43" i="17" s="1"/>
  <c r="Q27" i="17"/>
  <c r="AF9" i="17"/>
  <c r="AI9" i="17" s="1"/>
  <c r="AX6" i="18" s="1"/>
  <c r="AF4" i="17"/>
  <c r="AI4" i="17" s="1"/>
  <c r="AS6" i="18" s="1"/>
  <c r="AF5" i="17"/>
  <c r="AI5" i="17" s="1"/>
  <c r="AT6" i="18" s="1"/>
  <c r="AF6" i="17"/>
  <c r="AF7" i="17"/>
  <c r="AI7" i="17" s="1"/>
  <c r="AF8" i="17"/>
  <c r="AI8" i="17" s="1"/>
  <c r="AW6" i="18" s="1"/>
  <c r="AF10" i="17"/>
  <c r="AF3" i="17"/>
  <c r="AF48" i="17"/>
  <c r="AF49" i="17"/>
  <c r="AF50" i="17"/>
  <c r="AI50" i="17" s="1"/>
  <c r="AF38" i="17"/>
  <c r="AF39" i="17"/>
  <c r="AF40" i="17"/>
  <c r="AI40" i="17" s="1"/>
  <c r="AY9" i="18" s="1"/>
  <c r="AF28" i="17"/>
  <c r="AF30" i="17"/>
  <c r="AI30" i="17" s="1"/>
  <c r="AY8" i="18" s="1"/>
  <c r="AF18" i="17"/>
  <c r="AF19" i="17"/>
  <c r="AF20" i="17"/>
  <c r="AC29" i="17"/>
  <c r="AC30" i="17"/>
  <c r="Z19" i="17"/>
  <c r="T19" i="17"/>
  <c r="N19" i="17"/>
  <c r="Q28" i="17"/>
  <c r="AF47" i="17"/>
  <c r="AF46" i="17"/>
  <c r="AI46" i="17" s="1"/>
  <c r="AU10" i="18" s="1"/>
  <c r="AF45" i="17"/>
  <c r="AF44" i="17"/>
  <c r="AI44" i="17" s="1"/>
  <c r="AS10" i="18" s="1"/>
  <c r="AF43" i="17"/>
  <c r="AI43" i="17" s="1"/>
  <c r="AR10" i="18" s="1"/>
  <c r="AF37" i="17"/>
  <c r="AI37" i="17" s="1"/>
  <c r="AV9" i="18" s="1"/>
  <c r="AF36" i="17"/>
  <c r="AI36" i="17" s="1"/>
  <c r="AU9" i="18" s="1"/>
  <c r="AF35" i="17"/>
  <c r="AI35" i="17" s="1"/>
  <c r="AT9" i="18" s="1"/>
  <c r="AF34" i="17"/>
  <c r="AI34" i="17" s="1"/>
  <c r="AS9" i="18" s="1"/>
  <c r="AF33" i="17"/>
  <c r="AI33" i="17" s="1"/>
  <c r="AR9" i="18" s="1"/>
  <c r="AF27" i="17"/>
  <c r="AF26" i="17"/>
  <c r="AF25" i="17"/>
  <c r="AF24" i="17"/>
  <c r="AI24" i="17" s="1"/>
  <c r="AS8" i="18" s="1"/>
  <c r="AF23" i="17"/>
  <c r="AI23" i="17" s="1"/>
  <c r="AR8" i="18" s="1"/>
  <c r="AF17" i="17"/>
  <c r="AF16" i="17"/>
  <c r="AF15" i="17"/>
  <c r="AF14" i="17"/>
  <c r="AI14" i="17" s="1"/>
  <c r="AS7" i="18" s="1"/>
  <c r="AF13" i="17"/>
  <c r="AC45" i="17"/>
  <c r="AC43" i="17"/>
  <c r="AC37" i="17"/>
  <c r="AC27" i="17"/>
  <c r="AC26" i="17"/>
  <c r="AC25" i="17"/>
  <c r="AC17" i="17"/>
  <c r="Q25" i="17"/>
  <c r="AC46" i="17"/>
  <c r="AI45" i="17"/>
  <c r="AT10" i="18" s="1"/>
  <c r="AI47" i="17"/>
  <c r="AV10" i="18" s="1"/>
  <c r="BD7" i="17"/>
  <c r="BC7" i="17"/>
  <c r="AZ7" i="17"/>
  <c r="AY7" i="17"/>
  <c r="BD6" i="17"/>
  <c r="BC6" i="17"/>
  <c r="AZ6" i="17"/>
  <c r="AY6" i="17"/>
  <c r="BD5" i="17"/>
  <c r="BC5" i="17"/>
  <c r="AZ5" i="17"/>
  <c r="AY5" i="17"/>
  <c r="BD4" i="17"/>
  <c r="BC4" i="17"/>
  <c r="AZ4" i="17"/>
  <c r="AY4" i="17"/>
  <c r="BD3" i="17"/>
  <c r="BC3" i="17"/>
  <c r="AZ3" i="17"/>
  <c r="AY3" i="17"/>
  <c r="AI3" i="17"/>
  <c r="AR6" i="18" s="1"/>
  <c r="AD51" i="15"/>
  <c r="AD48" i="15"/>
  <c r="AC48" i="15"/>
  <c r="AE38" i="15"/>
  <c r="AD23" i="15"/>
  <c r="AB17" i="15"/>
  <c r="AG84" i="12"/>
  <c r="AG90" i="12"/>
  <c r="AJ90" i="12" s="1"/>
  <c r="AE25" i="15" s="1"/>
  <c r="AG89" i="12"/>
  <c r="AJ89" i="12" s="1"/>
  <c r="AD25" i="15" s="1"/>
  <c r="AG88" i="12"/>
  <c r="AG87" i="12"/>
  <c r="AJ87" i="12" s="1"/>
  <c r="AB25" i="15" s="1"/>
  <c r="AG83" i="12"/>
  <c r="AJ83" i="12" s="1"/>
  <c r="AG82" i="12"/>
  <c r="AG81" i="12"/>
  <c r="AJ81" i="12" s="1"/>
  <c r="AB24" i="15" s="1"/>
  <c r="AG76" i="12"/>
  <c r="AG77" i="12"/>
  <c r="AJ77" i="12" s="1"/>
  <c r="AG78" i="12"/>
  <c r="AG75" i="12"/>
  <c r="AJ75" i="12" s="1"/>
  <c r="AB23" i="15" s="1"/>
  <c r="AG34" i="12"/>
  <c r="AG35" i="12"/>
  <c r="AG36" i="12"/>
  <c r="AG33" i="12"/>
  <c r="AJ33" i="12" s="1"/>
  <c r="AB16" i="15" s="1"/>
  <c r="AG12" i="12"/>
  <c r="AJ12" i="12" s="1"/>
  <c r="AE12" i="15" s="1"/>
  <c r="AG9" i="12"/>
  <c r="AJ9" i="12" s="1"/>
  <c r="AB12" i="15" s="1"/>
  <c r="AG10" i="12"/>
  <c r="AJ10" i="12" s="1"/>
  <c r="AC12" i="15" s="1"/>
  <c r="AG11" i="12"/>
  <c r="AJ11" i="12" s="1"/>
  <c r="AD12" i="15" s="1"/>
  <c r="AG4" i="12"/>
  <c r="AJ4" i="12" s="1"/>
  <c r="AG5" i="12"/>
  <c r="AJ5" i="12" s="1"/>
  <c r="AD11" i="15" s="1"/>
  <c r="AG6" i="12"/>
  <c r="AJ6" i="12" s="1"/>
  <c r="AE11" i="15" s="1"/>
  <c r="AG3" i="12"/>
  <c r="AJ3" i="12" s="1"/>
  <c r="AB11" i="15" s="1"/>
  <c r="AJ45" i="10"/>
  <c r="AJ43" i="10"/>
  <c r="AI47" i="10"/>
  <c r="AI46" i="10"/>
  <c r="AI45" i="10"/>
  <c r="AI43" i="10"/>
  <c r="AH48" i="10"/>
  <c r="AH47" i="10"/>
  <c r="AH46" i="10"/>
  <c r="AH45" i="10"/>
  <c r="AH43" i="10"/>
  <c r="AG45" i="10"/>
  <c r="AF47" i="10"/>
  <c r="AF46" i="10"/>
  <c r="AF45" i="10"/>
  <c r="AF44" i="10"/>
  <c r="AF43" i="10"/>
  <c r="AJ37" i="10"/>
  <c r="AJ33" i="10"/>
  <c r="AI37" i="10"/>
  <c r="AI36" i="10"/>
  <c r="AI35" i="10"/>
  <c r="AI34" i="10"/>
  <c r="AI33" i="10"/>
  <c r="AI29" i="10"/>
  <c r="AH37" i="10"/>
  <c r="AH36" i="10"/>
  <c r="AH35" i="10"/>
  <c r="AH31" i="10"/>
  <c r="AH29" i="10"/>
  <c r="AG37" i="10"/>
  <c r="AG36" i="10"/>
  <c r="AG35" i="10"/>
  <c r="AF37" i="10"/>
  <c r="AF36" i="10"/>
  <c r="AF34" i="10"/>
  <c r="AF33" i="10"/>
  <c r="AF31" i="10"/>
  <c r="AF29" i="10"/>
  <c r="AF20" i="10"/>
  <c r="AF19" i="10"/>
  <c r="AF14" i="10"/>
  <c r="AF11" i="10"/>
  <c r="AF10" i="10"/>
  <c r="AF8" i="10"/>
  <c r="AE24" i="15" l="1"/>
  <c r="AD24" i="15"/>
  <c r="AF12" i="15"/>
  <c r="AE54" i="21"/>
  <c r="AE55" i="21"/>
  <c r="F22" i="25" s="1"/>
  <c r="AF54" i="21"/>
  <c r="AR13" i="18"/>
  <c r="AU11" i="18"/>
  <c r="AV11" i="18"/>
  <c r="AT11" i="18"/>
  <c r="AR11" i="18"/>
  <c r="AC11" i="15"/>
  <c r="AF11" i="15" s="1"/>
  <c r="AS11" i="18"/>
  <c r="AH36" i="21"/>
  <c r="AH35" i="21"/>
  <c r="AY11" i="18"/>
  <c r="AE7" i="21"/>
  <c r="AI38" i="21"/>
  <c r="AI37" i="21"/>
  <c r="AI36" i="21"/>
  <c r="AJ35" i="21"/>
  <c r="AI35" i="21"/>
  <c r="AF32" i="21"/>
  <c r="AJ32" i="21"/>
  <c r="AI30" i="21"/>
  <c r="AI28" i="21"/>
  <c r="AJ28" i="21"/>
  <c r="AI27" i="21"/>
  <c r="AI21" i="21"/>
  <c r="AI20" i="21"/>
  <c r="AI19" i="21"/>
  <c r="AJ18" i="21"/>
  <c r="AH18" i="21"/>
  <c r="AG18" i="21"/>
  <c r="AI18" i="21"/>
  <c r="AJ17" i="21"/>
  <c r="AI17" i="21"/>
  <c r="AJ16" i="21"/>
  <c r="AH16" i="21"/>
  <c r="AF16" i="21"/>
  <c r="AJ15" i="21"/>
  <c r="AH15" i="21"/>
  <c r="AF15" i="21"/>
  <c r="AI12" i="21"/>
  <c r="AJ12" i="21"/>
  <c r="AH12" i="21"/>
  <c r="AF12" i="21"/>
  <c r="AI11" i="21"/>
  <c r="AI7" i="21"/>
  <c r="AJ9" i="21"/>
  <c r="AH9" i="21"/>
  <c r="AF9" i="21"/>
  <c r="AI8" i="21"/>
  <c r="AH11" i="21"/>
  <c r="AG11" i="21"/>
  <c r="AG7" i="21"/>
  <c r="AE20" i="21"/>
  <c r="AH19" i="21"/>
  <c r="AG19" i="21"/>
  <c r="AH20" i="21"/>
  <c r="AG20" i="21"/>
  <c r="AH21" i="21"/>
  <c r="AG21" i="21"/>
  <c r="AH27" i="21"/>
  <c r="AG27" i="21"/>
  <c r="AI32" i="21"/>
  <c r="AH32" i="21"/>
  <c r="AH38" i="21"/>
  <c r="AG38" i="21"/>
  <c r="AE14" i="21"/>
  <c r="AE18" i="21"/>
  <c r="AE28" i="21"/>
  <c r="AE39" i="21" s="1"/>
  <c r="AF30" i="21"/>
  <c r="AF39" i="21" s="1"/>
  <c r="AG34" i="21"/>
  <c r="Q31" i="19"/>
  <c r="Q30" i="19"/>
  <c r="AI8" i="19"/>
  <c r="Q27" i="19"/>
  <c r="Q39" i="19"/>
  <c r="Q44" i="19"/>
  <c r="Q45" i="19"/>
  <c r="AI30" i="19"/>
  <c r="Q50" i="19"/>
  <c r="Q51" i="19"/>
  <c r="Q29" i="19"/>
  <c r="AI31" i="19"/>
  <c r="AC38" i="19"/>
  <c r="AI38" i="19"/>
  <c r="Q29" i="17"/>
  <c r="Q38" i="17"/>
  <c r="Q50" i="17"/>
  <c r="Q49" i="17"/>
  <c r="AI48" i="17"/>
  <c r="AW10" i="18" s="1"/>
  <c r="AI38" i="17"/>
  <c r="AW9" i="18" s="1"/>
  <c r="AC28" i="17"/>
  <c r="W19" i="17"/>
  <c r="Q19" i="17"/>
  <c r="AI49" i="17"/>
  <c r="AX10" i="18" s="1"/>
  <c r="AI39" i="17"/>
  <c r="AX9" i="18" s="1"/>
  <c r="AI29" i="17"/>
  <c r="AX8" i="18" s="1"/>
  <c r="AI19" i="17"/>
  <c r="AC50" i="17"/>
  <c r="AC49" i="17"/>
  <c r="AC38" i="17"/>
  <c r="AC19" i="17"/>
  <c r="AC18" i="17"/>
  <c r="AJ34" i="12"/>
  <c r="AC16" i="15" s="1"/>
  <c r="AF16" i="15" s="1"/>
  <c r="AJ84" i="12"/>
  <c r="AJ82" i="12"/>
  <c r="AC24" i="15" s="1"/>
  <c r="AF24" i="15" s="1"/>
  <c r="AJ78" i="12"/>
  <c r="AE23" i="15" s="1"/>
  <c r="AJ76" i="12"/>
  <c r="AC23" i="15" s="1"/>
  <c r="AF23" i="15" s="1"/>
  <c r="AJ88" i="12"/>
  <c r="AC25" i="15" s="1"/>
  <c r="AF25" i="15" s="1"/>
  <c r="AJ36" i="12"/>
  <c r="AE16" i="15" s="1"/>
  <c r="AJ35" i="12"/>
  <c r="AD16" i="15" s="1"/>
  <c r="B46" i="10"/>
  <c r="B47" i="10"/>
  <c r="B48" i="10"/>
  <c r="B49" i="10"/>
  <c r="B50" i="10"/>
  <c r="B51" i="10"/>
  <c r="B52" i="10"/>
  <c r="B45" i="10"/>
  <c r="B31" i="10"/>
  <c r="B32" i="10"/>
  <c r="B33" i="10"/>
  <c r="B34" i="10"/>
  <c r="B35" i="10"/>
  <c r="B36" i="10"/>
  <c r="B37" i="10"/>
  <c r="B38" i="10"/>
  <c r="B43" i="10"/>
  <c r="B44" i="10"/>
  <c r="B30" i="10"/>
  <c r="B27" i="10"/>
  <c r="B28" i="10"/>
  <c r="B29" i="10"/>
  <c r="B22" i="10"/>
  <c r="B9" i="10"/>
  <c r="B10" i="10"/>
  <c r="B11" i="10"/>
  <c r="B12" i="10"/>
  <c r="B13" i="10"/>
  <c r="B14" i="10"/>
  <c r="B15" i="10"/>
  <c r="B16" i="10"/>
  <c r="B17" i="10"/>
  <c r="B18" i="10"/>
  <c r="B19" i="10"/>
  <c r="B20" i="10"/>
  <c r="B21" i="10"/>
  <c r="B8" i="10"/>
  <c r="AG193" i="12"/>
  <c r="AJ193" i="12" s="1"/>
  <c r="AG192" i="12"/>
  <c r="AJ192" i="12" s="1"/>
  <c r="AE52" i="15" s="1"/>
  <c r="AA192" i="12"/>
  <c r="O192" i="12"/>
  <c r="AG191" i="12"/>
  <c r="AJ191" i="12" s="1"/>
  <c r="AD52" i="15" s="1"/>
  <c r="AA191" i="12"/>
  <c r="O191" i="12"/>
  <c r="AG190" i="12"/>
  <c r="AJ190" i="12" s="1"/>
  <c r="AC52" i="15" s="1"/>
  <c r="AF52" i="15" s="1"/>
  <c r="AG186" i="12"/>
  <c r="AJ186" i="12" s="1"/>
  <c r="AE51" i="15" s="1"/>
  <c r="U185" i="12"/>
  <c r="AG184" i="12"/>
  <c r="AJ184" i="12" s="1"/>
  <c r="AC51" i="15" s="1"/>
  <c r="AG183" i="12"/>
  <c r="AJ183" i="12" s="1"/>
  <c r="AB51" i="15" s="1"/>
  <c r="AG180" i="12"/>
  <c r="AJ180" i="12" s="1"/>
  <c r="AE50" i="15" s="1"/>
  <c r="AG179" i="12"/>
  <c r="AJ179" i="12" s="1"/>
  <c r="AD50" i="15" s="1"/>
  <c r="AG178" i="12"/>
  <c r="AJ178" i="12" s="1"/>
  <c r="AC50" i="15" s="1"/>
  <c r="AG177" i="12"/>
  <c r="AJ177" i="12" s="1"/>
  <c r="AB50" i="15" s="1"/>
  <c r="AG175" i="12"/>
  <c r="AJ175" i="12" s="1"/>
  <c r="AG174" i="12"/>
  <c r="AJ174" i="12" s="1"/>
  <c r="AE49" i="15" s="1"/>
  <c r="AG173" i="12"/>
  <c r="AJ173" i="12" s="1"/>
  <c r="AD49" i="15" s="1"/>
  <c r="AB173" i="12"/>
  <c r="AB172" i="12"/>
  <c r="AB171" i="12"/>
  <c r="U171" i="12"/>
  <c r="AG168" i="12"/>
  <c r="AJ168" i="12" s="1"/>
  <c r="AE48" i="15" s="1"/>
  <c r="F15" i="25" s="1"/>
  <c r="AG159" i="12"/>
  <c r="AG136" i="12"/>
  <c r="AG127" i="12"/>
  <c r="AJ127" i="12" s="1"/>
  <c r="AG126" i="12"/>
  <c r="AG125" i="12"/>
  <c r="AG109" i="12"/>
  <c r="AJ109" i="12" s="1"/>
  <c r="AG103" i="12"/>
  <c r="AG28" i="12"/>
  <c r="Z231" i="6"/>
  <c r="N231" i="6"/>
  <c r="Z230" i="6"/>
  <c r="N230" i="6"/>
  <c r="Z229" i="6"/>
  <c r="T229" i="6"/>
  <c r="N229" i="6"/>
  <c r="Z227" i="6"/>
  <c r="N227" i="6"/>
  <c r="T127" i="6"/>
  <c r="AF118" i="6"/>
  <c r="AF119" i="6"/>
  <c r="AF117" i="6"/>
  <c r="AF111" i="6"/>
  <c r="AF110" i="6"/>
  <c r="AF109" i="6"/>
  <c r="AF108" i="6"/>
  <c r="AF103" i="6"/>
  <c r="AF50" i="15" l="1"/>
  <c r="AF51" i="15"/>
  <c r="AF48" i="15"/>
  <c r="AB60" i="15"/>
  <c r="AD58" i="15"/>
  <c r="AG48" i="15"/>
  <c r="F23" i="25"/>
  <c r="AG39" i="21"/>
  <c r="AF57" i="21"/>
  <c r="AE23" i="21"/>
  <c r="F18" i="25" s="1"/>
  <c r="AE57" i="21"/>
  <c r="AH39" i="21"/>
  <c r="AI39" i="21"/>
  <c r="AE58" i="21"/>
  <c r="F2" i="21"/>
  <c r="F5" i="25" s="1"/>
  <c r="AE40" i="21"/>
  <c r="F20" i="25" s="1"/>
  <c r="AJ39" i="21"/>
  <c r="AJ57" i="21"/>
  <c r="AH22" i="21"/>
  <c r="AF22" i="21"/>
  <c r="AR14" i="18"/>
  <c r="AV13" i="18"/>
  <c r="AW11" i="18"/>
  <c r="AV12" i="18" s="1"/>
  <c r="AX11" i="18"/>
  <c r="AX12" i="18" s="1"/>
  <c r="AT12" i="18"/>
  <c r="AG22" i="21"/>
  <c r="AG57" i="21"/>
  <c r="AI57" i="21"/>
  <c r="AI22" i="21"/>
  <c r="AH57" i="21"/>
  <c r="AJ22" i="21"/>
  <c r="AE22" i="21"/>
  <c r="F2" i="18"/>
  <c r="AR12" i="18"/>
  <c r="AF53" i="6"/>
  <c r="AF54" i="6"/>
  <c r="AF55" i="6"/>
  <c r="AF56" i="6"/>
  <c r="AF52" i="6"/>
  <c r="AF49" i="6"/>
  <c r="AF46" i="6"/>
  <c r="AF42" i="6"/>
  <c r="AF41" i="6"/>
  <c r="AF40" i="6"/>
  <c r="AF39" i="6"/>
  <c r="AK2" i="2"/>
  <c r="AC3" i="2"/>
  <c r="F178" i="20" s="1"/>
  <c r="AC4" i="2"/>
  <c r="F202" i="20" s="1"/>
  <c r="AC5" i="2"/>
  <c r="F186" i="20" s="1"/>
  <c r="AC7" i="2"/>
  <c r="AC8" i="2"/>
  <c r="AC10" i="2"/>
  <c r="F130" i="20" s="1"/>
  <c r="AC11" i="2"/>
  <c r="AC12" i="2"/>
  <c r="AC13" i="2"/>
  <c r="F18" i="20" s="1"/>
  <c r="AC14" i="2"/>
  <c r="AC15" i="2"/>
  <c r="F50" i="20" s="1"/>
  <c r="AC16" i="2"/>
  <c r="F106" i="20" s="1"/>
  <c r="AC17" i="2"/>
  <c r="F114" i="20" s="1"/>
  <c r="AC19" i="2"/>
  <c r="F234" i="20" s="1"/>
  <c r="AC21" i="2"/>
  <c r="F10" i="20" s="1"/>
  <c r="AC22" i="2"/>
  <c r="F42" i="20" s="1"/>
  <c r="AC23" i="2"/>
  <c r="F138" i="20" s="1"/>
  <c r="AC24" i="2"/>
  <c r="AC26" i="2"/>
  <c r="F226" i="20" s="1"/>
  <c r="AC27" i="2"/>
  <c r="F2" i="20" s="1"/>
  <c r="AC28" i="2"/>
  <c r="F74" i="20" s="1"/>
  <c r="AC29" i="2"/>
  <c r="F218" i="20" s="1"/>
  <c r="AC31" i="2"/>
  <c r="F66" i="20" s="1"/>
  <c r="AC33" i="2"/>
  <c r="F58" i="20" s="1"/>
  <c r="AC34" i="2"/>
  <c r="F98" i="20" s="1"/>
  <c r="AC35" i="2"/>
  <c r="F90" i="20" s="1"/>
  <c r="AC37" i="2"/>
  <c r="AC38" i="2"/>
  <c r="AC39" i="2"/>
  <c r="F250" i="20" s="1"/>
  <c r="AC40" i="2"/>
  <c r="F242" i="20" s="1"/>
  <c r="AC43" i="2"/>
  <c r="F194" i="20" s="1"/>
  <c r="AC44" i="2"/>
  <c r="F170" i="20" s="1"/>
  <c r="AC45" i="2"/>
  <c r="F146" i="20" s="1"/>
  <c r="AC46" i="2"/>
  <c r="F162" i="20" s="1"/>
  <c r="AC47" i="2"/>
  <c r="AC48" i="2"/>
  <c r="AC50" i="2"/>
  <c r="F82" i="20" s="1"/>
  <c r="AC51" i="2"/>
  <c r="AC52" i="2"/>
  <c r="F210" i="20" s="1"/>
  <c r="AC53" i="2"/>
  <c r="AC54" i="2"/>
  <c r="F34" i="20" s="1"/>
  <c r="AC55" i="2"/>
  <c r="AC56" i="2"/>
  <c r="AC57" i="2"/>
  <c r="AC58" i="2"/>
  <c r="AC59" i="2"/>
  <c r="AC60" i="2"/>
  <c r="AC61" i="2"/>
  <c r="F122" i="20" s="1"/>
  <c r="AC2" i="2"/>
  <c r="AF3" i="2"/>
  <c r="G178" i="20" s="1"/>
  <c r="AF4" i="2"/>
  <c r="G202" i="20" s="1"/>
  <c r="AF5" i="2"/>
  <c r="G186" i="20" s="1"/>
  <c r="AF7" i="2"/>
  <c r="AF8" i="2"/>
  <c r="AF10" i="2"/>
  <c r="G130" i="20" s="1"/>
  <c r="AF11" i="2"/>
  <c r="AF12" i="2"/>
  <c r="AF13" i="2"/>
  <c r="G18" i="20" s="1"/>
  <c r="AF14" i="2"/>
  <c r="AF15" i="2"/>
  <c r="G50" i="20" s="1"/>
  <c r="AF16" i="2"/>
  <c r="G106" i="20" s="1"/>
  <c r="AF17" i="2"/>
  <c r="G114" i="20" s="1"/>
  <c r="AF18" i="2"/>
  <c r="AF19" i="2"/>
  <c r="G234" i="20" s="1"/>
  <c r="AF21" i="2"/>
  <c r="G10" i="20" s="1"/>
  <c r="AF22" i="2"/>
  <c r="G42" i="20" s="1"/>
  <c r="AF23" i="2"/>
  <c r="G138" i="20" s="1"/>
  <c r="AF24" i="2"/>
  <c r="AF26" i="2"/>
  <c r="G226" i="20" s="1"/>
  <c r="AF27" i="2"/>
  <c r="G2" i="20" s="1"/>
  <c r="AF28" i="2"/>
  <c r="G74" i="20" s="1"/>
  <c r="AF29" i="2"/>
  <c r="G218" i="20" s="1"/>
  <c r="AF31" i="2"/>
  <c r="G66" i="20" s="1"/>
  <c r="AF33" i="2"/>
  <c r="G58" i="20" s="1"/>
  <c r="AF34" i="2"/>
  <c r="G98" i="20" s="1"/>
  <c r="AF35" i="2"/>
  <c r="G90" i="20" s="1"/>
  <c r="AF37" i="2"/>
  <c r="AF38" i="2"/>
  <c r="AF39" i="2"/>
  <c r="G250" i="20" s="1"/>
  <c r="AF40" i="2"/>
  <c r="G242" i="20" s="1"/>
  <c r="AF43" i="2"/>
  <c r="G194" i="20" s="1"/>
  <c r="AF44" i="2"/>
  <c r="G170" i="20" s="1"/>
  <c r="AF45" i="2"/>
  <c r="G146" i="20" s="1"/>
  <c r="AF46" i="2"/>
  <c r="G162" i="20" s="1"/>
  <c r="AF47" i="2"/>
  <c r="AF48" i="2"/>
  <c r="AF50" i="2"/>
  <c r="G82" i="20" s="1"/>
  <c r="AF51" i="2"/>
  <c r="AF52" i="2"/>
  <c r="G210" i="20" s="1"/>
  <c r="AF53" i="2"/>
  <c r="AF54" i="2"/>
  <c r="G34" i="20" s="1"/>
  <c r="AF55" i="2"/>
  <c r="AF56" i="2"/>
  <c r="AF57" i="2"/>
  <c r="AF58" i="2"/>
  <c r="AF59" i="2"/>
  <c r="AF60" i="2"/>
  <c r="AF61" i="2"/>
  <c r="G122" i="20" s="1"/>
  <c r="AF2" i="2"/>
  <c r="AI3" i="2"/>
  <c r="I178" i="20" s="1"/>
  <c r="AI4" i="2"/>
  <c r="I202" i="20" s="1"/>
  <c r="AI5" i="2"/>
  <c r="I186" i="20" s="1"/>
  <c r="AI7" i="2"/>
  <c r="AI8" i="2"/>
  <c r="AI10" i="2"/>
  <c r="I130" i="20" s="1"/>
  <c r="AI11" i="2"/>
  <c r="I26" i="20" s="1"/>
  <c r="AI12" i="2"/>
  <c r="AI13" i="2"/>
  <c r="I18" i="20" s="1"/>
  <c r="AI14" i="2"/>
  <c r="AI15" i="2"/>
  <c r="I50" i="20" s="1"/>
  <c r="AI16" i="2"/>
  <c r="I106" i="20" s="1"/>
  <c r="AI17" i="2"/>
  <c r="I114" i="20" s="1"/>
  <c r="AI19" i="2"/>
  <c r="I234" i="20" s="1"/>
  <c r="AI21" i="2"/>
  <c r="I10" i="20" s="1"/>
  <c r="AI22" i="2"/>
  <c r="I42" i="20" s="1"/>
  <c r="AI23" i="2"/>
  <c r="I138" i="20" s="1"/>
  <c r="AI24" i="2"/>
  <c r="AI26" i="2"/>
  <c r="I226" i="20" s="1"/>
  <c r="AI27" i="2"/>
  <c r="I2" i="20" s="1"/>
  <c r="AI28" i="2"/>
  <c r="I74" i="20" s="1"/>
  <c r="AI29" i="2"/>
  <c r="I218" i="20" s="1"/>
  <c r="AI31" i="2"/>
  <c r="I66" i="20" s="1"/>
  <c r="AI33" i="2"/>
  <c r="I58" i="20" s="1"/>
  <c r="AI34" i="2"/>
  <c r="I98" i="20" s="1"/>
  <c r="AI35" i="2"/>
  <c r="I90" i="20" s="1"/>
  <c r="AI37" i="2"/>
  <c r="AI38" i="2"/>
  <c r="AI39" i="2"/>
  <c r="I250" i="20" s="1"/>
  <c r="AI40" i="2"/>
  <c r="I242" i="20" s="1"/>
  <c r="AI43" i="2"/>
  <c r="I194" i="20" s="1"/>
  <c r="AI44" i="2"/>
  <c r="I170" i="20" s="1"/>
  <c r="AI45" i="2"/>
  <c r="I146" i="20" s="1"/>
  <c r="AI46" i="2"/>
  <c r="I162" i="20" s="1"/>
  <c r="AI47" i="2"/>
  <c r="AI48" i="2"/>
  <c r="AI50" i="2"/>
  <c r="I82" i="20" s="1"/>
  <c r="AI51" i="2"/>
  <c r="AI52" i="2"/>
  <c r="I210" i="20" s="1"/>
  <c r="AI53" i="2"/>
  <c r="AI54" i="2"/>
  <c r="I34" i="20" s="1"/>
  <c r="AI55" i="2"/>
  <c r="AI56" i="2"/>
  <c r="AI57" i="2"/>
  <c r="AI58" i="2"/>
  <c r="AI59" i="2"/>
  <c r="AI60" i="2"/>
  <c r="AI61" i="2"/>
  <c r="I122" i="20" s="1"/>
  <c r="AI2" i="2"/>
  <c r="I154" i="20" s="1"/>
  <c r="AH44" i="2"/>
  <c r="H170" i="20" s="1"/>
  <c r="AH45" i="2"/>
  <c r="H146" i="20" s="1"/>
  <c r="AH46" i="2"/>
  <c r="H162" i="20" s="1"/>
  <c r="AH47" i="2"/>
  <c r="AH48" i="2"/>
  <c r="AH50" i="2"/>
  <c r="H82" i="20" s="1"/>
  <c r="AH51" i="2"/>
  <c r="AH52" i="2"/>
  <c r="H210" i="20" s="1"/>
  <c r="AH53" i="2"/>
  <c r="AH54" i="2"/>
  <c r="H34" i="20" s="1"/>
  <c r="AH55" i="2"/>
  <c r="AH56" i="2"/>
  <c r="AH57" i="2"/>
  <c r="AH58" i="2"/>
  <c r="AH59" i="2"/>
  <c r="AH60" i="2"/>
  <c r="AH61" i="2"/>
  <c r="H122" i="20" s="1"/>
  <c r="AH43" i="2"/>
  <c r="H194" i="20" s="1"/>
  <c r="AH38" i="2"/>
  <c r="AH39" i="2"/>
  <c r="H250" i="20" s="1"/>
  <c r="AH40" i="2"/>
  <c r="H242" i="20" s="1"/>
  <c r="AH37" i="2"/>
  <c r="AH35" i="2"/>
  <c r="H90" i="20" s="1"/>
  <c r="AH34" i="2"/>
  <c r="H98" i="20" s="1"/>
  <c r="AH33" i="2"/>
  <c r="H58" i="20" s="1"/>
  <c r="AH31" i="2"/>
  <c r="H66" i="20" s="1"/>
  <c r="AH27" i="2"/>
  <c r="H2" i="20" s="1"/>
  <c r="AH28" i="2"/>
  <c r="H74" i="20" s="1"/>
  <c r="AH29" i="2"/>
  <c r="H218" i="20" s="1"/>
  <c r="AH26" i="2"/>
  <c r="H226" i="20" s="1"/>
  <c r="AH22" i="2"/>
  <c r="H42" i="20" s="1"/>
  <c r="AH23" i="2"/>
  <c r="H138" i="20" s="1"/>
  <c r="AH24" i="2"/>
  <c r="AH21" i="2"/>
  <c r="H10" i="20" s="1"/>
  <c r="AH19" i="2"/>
  <c r="H234" i="20" s="1"/>
  <c r="AH11" i="2"/>
  <c r="AH12" i="2"/>
  <c r="AH13" i="2"/>
  <c r="H18" i="20" s="1"/>
  <c r="AH14" i="2"/>
  <c r="AH15" i="2"/>
  <c r="H50" i="20" s="1"/>
  <c r="AH16" i="2"/>
  <c r="H106" i="20" s="1"/>
  <c r="AH17" i="2"/>
  <c r="H114" i="20" s="1"/>
  <c r="AH10" i="2"/>
  <c r="H130" i="20" s="1"/>
  <c r="AH8" i="2"/>
  <c r="AH7" i="2"/>
  <c r="AH3" i="2"/>
  <c r="H178" i="20" s="1"/>
  <c r="AH4" i="2"/>
  <c r="H202" i="20" s="1"/>
  <c r="AH5" i="2"/>
  <c r="H186" i="20" s="1"/>
  <c r="AH2" i="2"/>
  <c r="T84" i="6"/>
  <c r="O173" i="12"/>
  <c r="AA172" i="12"/>
  <c r="O172" i="12"/>
  <c r="AG171" i="12"/>
  <c r="AJ171" i="12" s="1"/>
  <c r="AB49" i="15" s="1"/>
  <c r="AF49" i="15" s="1"/>
  <c r="AA171" i="12"/>
  <c r="AG161" i="12"/>
  <c r="AG162" i="12"/>
  <c r="AG160" i="12"/>
  <c r="AG154" i="12"/>
  <c r="AJ154" i="12" s="1"/>
  <c r="AC41" i="15" s="1"/>
  <c r="AG155" i="12"/>
  <c r="AJ155" i="12" s="1"/>
  <c r="AD41" i="15" s="1"/>
  <c r="AG156" i="12"/>
  <c r="AJ156" i="12" s="1"/>
  <c r="AE41" i="15" s="1"/>
  <c r="AG153" i="12"/>
  <c r="AJ153" i="12" s="1"/>
  <c r="AB41" i="15" s="1"/>
  <c r="AF41" i="15" s="1"/>
  <c r="AG148" i="12"/>
  <c r="AJ148" i="12" s="1"/>
  <c r="AC40" i="15" s="1"/>
  <c r="AG149" i="12"/>
  <c r="AJ149" i="12" s="1"/>
  <c r="AD40" i="15" s="1"/>
  <c r="AG150" i="12"/>
  <c r="AJ150" i="12" s="1"/>
  <c r="AE40" i="15" s="1"/>
  <c r="AG147" i="12"/>
  <c r="AJ147" i="12" s="1"/>
  <c r="AB40" i="15" s="1"/>
  <c r="AF40" i="15" s="1"/>
  <c r="AG142" i="12"/>
  <c r="AJ142" i="12" s="1"/>
  <c r="AC39" i="15" s="1"/>
  <c r="AG143" i="12"/>
  <c r="AJ143" i="12" s="1"/>
  <c r="AD39" i="15" s="1"/>
  <c r="AG144" i="12"/>
  <c r="AJ144" i="12" s="1"/>
  <c r="AE39" i="15" s="1"/>
  <c r="AG141" i="12"/>
  <c r="AG137" i="12"/>
  <c r="AG135" i="12"/>
  <c r="AJ135" i="12" s="1"/>
  <c r="AB38" i="15" s="1"/>
  <c r="AG132" i="12"/>
  <c r="AJ132" i="12" s="1"/>
  <c r="AE37" i="15" s="1"/>
  <c r="AG131" i="12"/>
  <c r="AG129" i="12"/>
  <c r="AJ129" i="12" s="1"/>
  <c r="AB37" i="15" s="1"/>
  <c r="AG119" i="12"/>
  <c r="AJ119" i="12" s="1"/>
  <c r="AD35" i="15" s="1"/>
  <c r="AG118" i="12"/>
  <c r="AG120" i="12"/>
  <c r="AJ120" i="12" s="1"/>
  <c r="AE35" i="15" s="1"/>
  <c r="AG117" i="12"/>
  <c r="AJ117" i="12" s="1"/>
  <c r="AB35" i="15" s="1"/>
  <c r="AG108" i="12"/>
  <c r="AJ108" i="12" s="1"/>
  <c r="AE33" i="15" s="1"/>
  <c r="AG106" i="12"/>
  <c r="AG107" i="12"/>
  <c r="AJ107" i="12" s="1"/>
  <c r="AD33" i="15" s="1"/>
  <c r="AG105" i="12"/>
  <c r="AJ105" i="12" s="1"/>
  <c r="AB33" i="15" s="1"/>
  <c r="AG102" i="12"/>
  <c r="AG101" i="12"/>
  <c r="AG99" i="12"/>
  <c r="AG94" i="12"/>
  <c r="AG95" i="12"/>
  <c r="AG96" i="12"/>
  <c r="AG93" i="12"/>
  <c r="AG112" i="12"/>
  <c r="AG114" i="12"/>
  <c r="AG111" i="12"/>
  <c r="AG70" i="12"/>
  <c r="AG71" i="12"/>
  <c r="AG72" i="12"/>
  <c r="AG69" i="12"/>
  <c r="AG66" i="12"/>
  <c r="AG65" i="12"/>
  <c r="AG64" i="12"/>
  <c r="AG63" i="12"/>
  <c r="AG54" i="12"/>
  <c r="AG53" i="12"/>
  <c r="AG52" i="12"/>
  <c r="AG51" i="12"/>
  <c r="AG60" i="12"/>
  <c r="AG59" i="12"/>
  <c r="AG58" i="12"/>
  <c r="AG42" i="12"/>
  <c r="AG41" i="12"/>
  <c r="AG40" i="12"/>
  <c r="AG47" i="12"/>
  <c r="AG46" i="12"/>
  <c r="AG45" i="12"/>
  <c r="AG30" i="12"/>
  <c r="AG29" i="12"/>
  <c r="AG27" i="12"/>
  <c r="AG23" i="12"/>
  <c r="AG21" i="12"/>
  <c r="AJ21" i="12" s="1"/>
  <c r="AB14" i="15" s="1"/>
  <c r="AG18" i="12"/>
  <c r="AG17" i="12"/>
  <c r="AG16" i="12"/>
  <c r="F17" i="25" l="1"/>
  <c r="BG181" i="20"/>
  <c r="AI183" i="20"/>
  <c r="AB34" i="21" s="1"/>
  <c r="AI184" i="20"/>
  <c r="AC34" i="21" s="1"/>
  <c r="BC182" i="20"/>
  <c r="BC181" i="20"/>
  <c r="BF180" i="20"/>
  <c r="BC180" i="20"/>
  <c r="BG182" i="20"/>
  <c r="BG180" i="20"/>
  <c r="AI182" i="20"/>
  <c r="AA34" i="21" s="1"/>
  <c r="AI181" i="20"/>
  <c r="Z34" i="21" s="1"/>
  <c r="BF181" i="20"/>
  <c r="AI179" i="20"/>
  <c r="X34" i="21" s="1"/>
  <c r="BF179" i="20"/>
  <c r="BF182" i="20"/>
  <c r="AI180" i="20"/>
  <c r="Y34" i="21" s="1"/>
  <c r="BC179" i="20"/>
  <c r="BG179" i="20"/>
  <c r="BF21" i="20"/>
  <c r="AI23" i="20"/>
  <c r="AB9" i="21" s="1"/>
  <c r="AI21" i="20"/>
  <c r="Z9" i="21" s="1"/>
  <c r="AI20" i="20"/>
  <c r="Y9" i="21" s="1"/>
  <c r="AI24" i="20"/>
  <c r="AC9" i="21" s="1"/>
  <c r="AI22" i="20"/>
  <c r="AA9" i="21" s="1"/>
  <c r="AI19" i="20"/>
  <c r="X9" i="21" s="1"/>
  <c r="BC22" i="20"/>
  <c r="BC19" i="20"/>
  <c r="BG20" i="20"/>
  <c r="BC21" i="20"/>
  <c r="BG22" i="20"/>
  <c r="BF20" i="20"/>
  <c r="BG21" i="20"/>
  <c r="BF22" i="20"/>
  <c r="BF19" i="20"/>
  <c r="BG19" i="20"/>
  <c r="BC20" i="20"/>
  <c r="G4" i="13"/>
  <c r="H154" i="20"/>
  <c r="H4" i="13"/>
  <c r="H43" i="19"/>
  <c r="H284" i="20"/>
  <c r="H42" i="17"/>
  <c r="BF108" i="20"/>
  <c r="AI112" i="20"/>
  <c r="AC20" i="21" s="1"/>
  <c r="AI111" i="20"/>
  <c r="AB20" i="21" s="1"/>
  <c r="AI110" i="20"/>
  <c r="AA20" i="21" s="1"/>
  <c r="BG109" i="20"/>
  <c r="BF110" i="20"/>
  <c r="BG110" i="20"/>
  <c r="BC109" i="20"/>
  <c r="AI107" i="20"/>
  <c r="X20" i="21" s="1"/>
  <c r="AI109" i="20"/>
  <c r="Z20" i="21" s="1"/>
  <c r="BC110" i="20"/>
  <c r="BF109" i="20"/>
  <c r="AI108" i="20"/>
  <c r="Y20" i="21" s="1"/>
  <c r="BF107" i="20"/>
  <c r="BC107" i="20"/>
  <c r="BG108" i="20"/>
  <c r="BG107" i="20"/>
  <c r="BC108" i="20"/>
  <c r="BF219" i="20"/>
  <c r="AI224" i="20"/>
  <c r="AC44" i="21" s="1"/>
  <c r="AC54" i="21" s="1"/>
  <c r="AI220" i="20"/>
  <c r="Y44" i="21" s="1"/>
  <c r="Y54" i="21" s="1"/>
  <c r="AI223" i="20"/>
  <c r="AB44" i="21" s="1"/>
  <c r="AB54" i="21" s="1"/>
  <c r="BG222" i="20"/>
  <c r="BF222" i="20"/>
  <c r="BC221" i="20"/>
  <c r="BF221" i="20"/>
  <c r="BG221" i="20"/>
  <c r="AI222" i="20"/>
  <c r="AA44" i="21" s="1"/>
  <c r="AA54" i="21" s="1"/>
  <c r="BC222" i="20"/>
  <c r="AI221" i="20"/>
  <c r="Z44" i="21" s="1"/>
  <c r="Z54" i="21" s="1"/>
  <c r="BG220" i="20"/>
  <c r="AI219" i="20"/>
  <c r="X44" i="21" s="1"/>
  <c r="BC219" i="20"/>
  <c r="BG219" i="20"/>
  <c r="BF220" i="20"/>
  <c r="BC220" i="20"/>
  <c r="AI64" i="20"/>
  <c r="AC14" i="21" s="1"/>
  <c r="AI63" i="20"/>
  <c r="AB14" i="21" s="1"/>
  <c r="BG62" i="20"/>
  <c r="BF60" i="20"/>
  <c r="BC61" i="20"/>
  <c r="AI61" i="20"/>
  <c r="Z14" i="21" s="1"/>
  <c r="BF61" i="20"/>
  <c r="BG61" i="20"/>
  <c r="AI62" i="20"/>
  <c r="AA14" i="21" s="1"/>
  <c r="BC62" i="20"/>
  <c r="BF62" i="20"/>
  <c r="AI59" i="20"/>
  <c r="X14" i="21" s="1"/>
  <c r="BG60" i="20"/>
  <c r="BC59" i="20"/>
  <c r="BG59" i="20"/>
  <c r="BF59" i="20"/>
  <c r="BC60" i="20"/>
  <c r="AI60" i="20"/>
  <c r="Y14" i="21" s="1"/>
  <c r="BC246" i="20"/>
  <c r="BC245" i="20"/>
  <c r="BG246" i="20"/>
  <c r="BG245" i="20"/>
  <c r="BF246" i="20"/>
  <c r="BF244" i="20"/>
  <c r="BC243" i="20"/>
  <c r="BG244" i="20"/>
  <c r="BG243" i="20"/>
  <c r="BF243" i="20"/>
  <c r="BF245" i="20"/>
  <c r="BC244" i="20"/>
  <c r="BG123" i="20"/>
  <c r="AI127" i="20"/>
  <c r="AB27" i="21" s="1"/>
  <c r="AI128" i="20"/>
  <c r="AC27" i="21" s="1"/>
  <c r="BC126" i="20"/>
  <c r="BF124" i="20"/>
  <c r="AI124" i="20"/>
  <c r="Y27" i="21" s="1"/>
  <c r="AI126" i="20"/>
  <c r="AA27" i="21" s="1"/>
  <c r="BF125" i="20"/>
  <c r="BC124" i="20"/>
  <c r="BF123" i="20"/>
  <c r="BG125" i="20"/>
  <c r="BG124" i="20"/>
  <c r="AI123" i="20"/>
  <c r="X27" i="21" s="1"/>
  <c r="AI125" i="20"/>
  <c r="Z27" i="21" s="1"/>
  <c r="BG126" i="20"/>
  <c r="BC125" i="20"/>
  <c r="BF126" i="20"/>
  <c r="BC123" i="20"/>
  <c r="AI176" i="20"/>
  <c r="AC33" i="21" s="1"/>
  <c r="AI175" i="20"/>
  <c r="AB33" i="21" s="1"/>
  <c r="BF174" i="20"/>
  <c r="BF173" i="20"/>
  <c r="AI173" i="20"/>
  <c r="Z33" i="21" s="1"/>
  <c r="BC173" i="20"/>
  <c r="BC174" i="20"/>
  <c r="BG173" i="20"/>
  <c r="AI174" i="20"/>
  <c r="AA33" i="21" s="1"/>
  <c r="BG174" i="20"/>
  <c r="BC171" i="20"/>
  <c r="AI171" i="20"/>
  <c r="X33" i="21" s="1"/>
  <c r="BC172" i="20"/>
  <c r="BG171" i="20"/>
  <c r="BF172" i="20"/>
  <c r="BF171" i="20"/>
  <c r="BG172" i="20"/>
  <c r="AI172" i="20"/>
  <c r="Y33" i="21" s="1"/>
  <c r="I258" i="20"/>
  <c r="I2" i="17"/>
  <c r="I3" i="19"/>
  <c r="AB165" i="20"/>
  <c r="AA165" i="20" s="1"/>
  <c r="AB168" i="20"/>
  <c r="AA168" i="20" s="1"/>
  <c r="AB164" i="20"/>
  <c r="AA164" i="20" s="1"/>
  <c r="AB163" i="20"/>
  <c r="AA163" i="20" s="1"/>
  <c r="AB166" i="20"/>
  <c r="AA166" i="20" s="1"/>
  <c r="AB167" i="20"/>
  <c r="AA167" i="20" s="1"/>
  <c r="AB93" i="20"/>
  <c r="AA93" i="20" s="1"/>
  <c r="AB91" i="20"/>
  <c r="AA91" i="20" s="1"/>
  <c r="AB94" i="20"/>
  <c r="AA94" i="20" s="1"/>
  <c r="AB96" i="20"/>
  <c r="AA96" i="20" s="1"/>
  <c r="AB92" i="20"/>
  <c r="AA92" i="20" s="1"/>
  <c r="AB95" i="20"/>
  <c r="AA95" i="20" s="1"/>
  <c r="AB224" i="20"/>
  <c r="AA224" i="20" s="1"/>
  <c r="AB220" i="20"/>
  <c r="AA220" i="20" s="1"/>
  <c r="AB222" i="20"/>
  <c r="AA222" i="20" s="1"/>
  <c r="AB221" i="20"/>
  <c r="AA221" i="20" s="1"/>
  <c r="AB219" i="20"/>
  <c r="AA219" i="20" s="1"/>
  <c r="AB223" i="20"/>
  <c r="AA223" i="20" s="1"/>
  <c r="AB131" i="20"/>
  <c r="AA131" i="20" s="1"/>
  <c r="AB132" i="20"/>
  <c r="AA132" i="20" s="1"/>
  <c r="AB134" i="20"/>
  <c r="AA134" i="20" s="1"/>
  <c r="AB135" i="20"/>
  <c r="AA135" i="20" s="1"/>
  <c r="AB133" i="20"/>
  <c r="AA133" i="20" s="1"/>
  <c r="AB136" i="20"/>
  <c r="AA136" i="20" s="1"/>
  <c r="AB207" i="20"/>
  <c r="AA207" i="20" s="1"/>
  <c r="AB205" i="20"/>
  <c r="AA205" i="20" s="1"/>
  <c r="AB206" i="20"/>
  <c r="AA206" i="20" s="1"/>
  <c r="AB204" i="20"/>
  <c r="AA204" i="20" s="1"/>
  <c r="AB203" i="20"/>
  <c r="AA203" i="20" s="1"/>
  <c r="AB208" i="20"/>
  <c r="AA208" i="20" s="1"/>
  <c r="V211" i="20"/>
  <c r="U211" i="20" s="1"/>
  <c r="V216" i="20"/>
  <c r="U216" i="20" s="1"/>
  <c r="V215" i="20"/>
  <c r="U215" i="20" s="1"/>
  <c r="V212" i="20"/>
  <c r="U212" i="20" s="1"/>
  <c r="V214" i="20"/>
  <c r="U214" i="20" s="1"/>
  <c r="V213" i="20"/>
  <c r="U213" i="20" s="1"/>
  <c r="AY213" i="20"/>
  <c r="AY214" i="20"/>
  <c r="AY211" i="20"/>
  <c r="AY212" i="20"/>
  <c r="V196" i="20"/>
  <c r="U196" i="20" s="1"/>
  <c r="V200" i="20"/>
  <c r="U200" i="20" s="1"/>
  <c r="V198" i="20"/>
  <c r="U198" i="20" s="1"/>
  <c r="V199" i="20"/>
  <c r="U199" i="20" s="1"/>
  <c r="V195" i="20"/>
  <c r="U195" i="20" s="1"/>
  <c r="V197" i="20"/>
  <c r="U197" i="20" s="1"/>
  <c r="AY197" i="20"/>
  <c r="AY198" i="20"/>
  <c r="AY195" i="20"/>
  <c r="AY196" i="20"/>
  <c r="G272" i="20"/>
  <c r="G22" i="17"/>
  <c r="G23" i="19"/>
  <c r="V70" i="20"/>
  <c r="U70" i="20" s="1"/>
  <c r="V69" i="20"/>
  <c r="U69" i="20" s="1"/>
  <c r="V68" i="20"/>
  <c r="U68" i="20" s="1"/>
  <c r="V72" i="20"/>
  <c r="U72" i="20" s="1"/>
  <c r="V71" i="20"/>
  <c r="U71" i="20" s="1"/>
  <c r="V67" i="20"/>
  <c r="U67" i="20" s="1"/>
  <c r="AY70" i="20"/>
  <c r="AY69" i="20"/>
  <c r="AY68" i="20"/>
  <c r="AY67" i="20"/>
  <c r="AY230" i="20"/>
  <c r="AY227" i="20"/>
  <c r="AY228" i="20"/>
  <c r="AY229" i="20"/>
  <c r="V16" i="20"/>
  <c r="U16" i="20" s="1"/>
  <c r="V12" i="20"/>
  <c r="U12" i="20" s="1"/>
  <c r="V15" i="20"/>
  <c r="U15" i="20" s="1"/>
  <c r="V13" i="20"/>
  <c r="U13" i="20" s="1"/>
  <c r="W13" i="20" s="1"/>
  <c r="AY11" i="20"/>
  <c r="AY12" i="20"/>
  <c r="V14" i="20"/>
  <c r="U14" i="20" s="1"/>
  <c r="AY13" i="20"/>
  <c r="V11" i="20"/>
  <c r="U11" i="20" s="1"/>
  <c r="X11" i="20" s="1"/>
  <c r="AY14" i="20"/>
  <c r="V107" i="20"/>
  <c r="U107" i="20" s="1"/>
  <c r="V112" i="20"/>
  <c r="U112" i="20" s="1"/>
  <c r="V108" i="20"/>
  <c r="U108" i="20" s="1"/>
  <c r="V110" i="20"/>
  <c r="U110" i="20" s="1"/>
  <c r="V109" i="20"/>
  <c r="U109" i="20" s="1"/>
  <c r="V111" i="20"/>
  <c r="U111" i="20" s="1"/>
  <c r="AY109" i="20"/>
  <c r="AY110" i="20"/>
  <c r="AY108" i="20"/>
  <c r="AY107" i="20"/>
  <c r="G284" i="20"/>
  <c r="G43" i="19"/>
  <c r="H3" i="13"/>
  <c r="G42" i="17"/>
  <c r="G2" i="13"/>
  <c r="F154" i="20"/>
  <c r="P40" i="20"/>
  <c r="O40" i="20" s="1"/>
  <c r="P36" i="20"/>
  <c r="O36" i="20" s="1"/>
  <c r="P39" i="20"/>
  <c r="O39" i="20" s="1"/>
  <c r="P38" i="20"/>
  <c r="O38" i="20" s="1"/>
  <c r="P35" i="20"/>
  <c r="O35" i="20" s="1"/>
  <c r="AW35" i="20"/>
  <c r="P37" i="20"/>
  <c r="O37" i="20" s="1"/>
  <c r="P84" i="20"/>
  <c r="O84" i="20" s="1"/>
  <c r="P87" i="20"/>
  <c r="O87" i="20" s="1"/>
  <c r="P86" i="20"/>
  <c r="O86" i="20" s="1"/>
  <c r="P83" i="20"/>
  <c r="O83" i="20" s="1"/>
  <c r="AW85" i="20"/>
  <c r="P88" i="20"/>
  <c r="O88" i="20" s="1"/>
  <c r="P85" i="20"/>
  <c r="O85" i="20" s="1"/>
  <c r="AW86" i="20"/>
  <c r="AW83" i="20"/>
  <c r="AW84" i="20"/>
  <c r="P151" i="20"/>
  <c r="O151" i="20" s="1"/>
  <c r="P150" i="20"/>
  <c r="O150" i="20" s="1"/>
  <c r="P152" i="20"/>
  <c r="O152" i="20" s="1"/>
  <c r="P147" i="20"/>
  <c r="O147" i="20" s="1"/>
  <c r="P149" i="20"/>
  <c r="O149" i="20" s="1"/>
  <c r="AW149" i="20"/>
  <c r="AW150" i="20"/>
  <c r="AW148" i="20"/>
  <c r="AW147" i="20"/>
  <c r="P148" i="20"/>
  <c r="O148" i="20" s="1"/>
  <c r="AW254" i="20"/>
  <c r="AW253" i="20"/>
  <c r="AW251" i="20"/>
  <c r="AW252" i="20"/>
  <c r="P99" i="20"/>
  <c r="O99" i="20" s="1"/>
  <c r="P102" i="20"/>
  <c r="O102" i="20" s="1"/>
  <c r="P104" i="20"/>
  <c r="O104" i="20" s="1"/>
  <c r="P103" i="20"/>
  <c r="O103" i="20" s="1"/>
  <c r="AW101" i="20"/>
  <c r="P100" i="20"/>
  <c r="O100" i="20" s="1"/>
  <c r="AW102" i="20"/>
  <c r="P101" i="20"/>
  <c r="O101" i="20" s="1"/>
  <c r="AW99" i="20"/>
  <c r="AW100" i="20"/>
  <c r="P76" i="20"/>
  <c r="O76" i="20" s="1"/>
  <c r="P79" i="20"/>
  <c r="O79" i="20" s="1"/>
  <c r="P80" i="20"/>
  <c r="O80" i="20" s="1"/>
  <c r="P78" i="20"/>
  <c r="O78" i="20" s="1"/>
  <c r="P77" i="20"/>
  <c r="O77" i="20" s="1"/>
  <c r="AW77" i="20"/>
  <c r="AW78" i="20"/>
  <c r="AW76" i="20"/>
  <c r="P75" i="20"/>
  <c r="O75" i="20" s="1"/>
  <c r="AW75" i="20"/>
  <c r="P142" i="20"/>
  <c r="O142" i="20" s="1"/>
  <c r="P139" i="20"/>
  <c r="O139" i="20" s="1"/>
  <c r="P144" i="20"/>
  <c r="O144" i="20" s="1"/>
  <c r="P143" i="20"/>
  <c r="O143" i="20" s="1"/>
  <c r="AW142" i="20"/>
  <c r="P140" i="20"/>
  <c r="O140" i="20" s="1"/>
  <c r="AW139" i="20"/>
  <c r="P141" i="20"/>
  <c r="O141" i="20" s="1"/>
  <c r="AW141" i="20"/>
  <c r="AW140" i="20"/>
  <c r="P120" i="20"/>
  <c r="O120" i="20" s="1"/>
  <c r="P116" i="20"/>
  <c r="O116" i="20" s="1"/>
  <c r="P119" i="20"/>
  <c r="O119" i="20" s="1"/>
  <c r="AW117" i="20"/>
  <c r="P117" i="20"/>
  <c r="O117" i="20" s="1"/>
  <c r="P118" i="20"/>
  <c r="O118" i="20" s="1"/>
  <c r="AW118" i="20"/>
  <c r="P115" i="20"/>
  <c r="O115" i="20" s="1"/>
  <c r="AW116" i="20"/>
  <c r="AW115" i="20"/>
  <c r="P19" i="20"/>
  <c r="O19" i="20" s="1"/>
  <c r="P21" i="20"/>
  <c r="O21" i="20" s="1"/>
  <c r="P23" i="20"/>
  <c r="O23" i="20" s="1"/>
  <c r="P24" i="20"/>
  <c r="O24" i="20" s="1"/>
  <c r="P20" i="20"/>
  <c r="O20" i="20" s="1"/>
  <c r="P22" i="20"/>
  <c r="O22" i="20" s="1"/>
  <c r="AW37" i="20"/>
  <c r="AW30" i="20"/>
  <c r="AW20" i="20"/>
  <c r="AW28" i="20"/>
  <c r="AW36" i="20"/>
  <c r="AW38" i="20"/>
  <c r="AW22" i="20"/>
  <c r="AW21" i="20"/>
  <c r="AW29" i="20"/>
  <c r="AW19" i="20"/>
  <c r="F278" i="20"/>
  <c r="F33" i="19"/>
  <c r="F32" i="17"/>
  <c r="P183" i="20"/>
  <c r="O183" i="20" s="1"/>
  <c r="P182" i="20"/>
  <c r="O182" i="20" s="1"/>
  <c r="P181" i="20"/>
  <c r="O181" i="20" s="1"/>
  <c r="P184" i="20"/>
  <c r="O184" i="20" s="1"/>
  <c r="P180" i="20"/>
  <c r="O180" i="20" s="1"/>
  <c r="P179" i="20"/>
  <c r="O179" i="20" s="1"/>
  <c r="AW182" i="20"/>
  <c r="AW181" i="20"/>
  <c r="AW180" i="20"/>
  <c r="AW179" i="20"/>
  <c r="AI192" i="20"/>
  <c r="AC35" i="21" s="1"/>
  <c r="AI191" i="20"/>
  <c r="AB35" i="21" s="1"/>
  <c r="AI190" i="20"/>
  <c r="BG190" i="20"/>
  <c r="AI189" i="20"/>
  <c r="Z35" i="21" s="1"/>
  <c r="AI188" i="20"/>
  <c r="Y35" i="21" s="1"/>
  <c r="BG187" i="20"/>
  <c r="BF190" i="20"/>
  <c r="BC187" i="20"/>
  <c r="BC189" i="20"/>
  <c r="BF189" i="20"/>
  <c r="BG189" i="20"/>
  <c r="BC190" i="20"/>
  <c r="BG188" i="20"/>
  <c r="BF187" i="20"/>
  <c r="AI187" i="20"/>
  <c r="X35" i="21" s="1"/>
  <c r="BC188" i="20"/>
  <c r="BF188" i="20"/>
  <c r="H33" i="19"/>
  <c r="H278" i="20"/>
  <c r="H32" i="17"/>
  <c r="AI144" i="20"/>
  <c r="AC29" i="21" s="1"/>
  <c r="BC142" i="20"/>
  <c r="BG142" i="20"/>
  <c r="AI142" i="20"/>
  <c r="AA29" i="21" s="1"/>
  <c r="AI140" i="20"/>
  <c r="Y29" i="21" s="1"/>
  <c r="AI143" i="20"/>
  <c r="AB29" i="21" s="1"/>
  <c r="AI139" i="20"/>
  <c r="X29" i="21" s="1"/>
  <c r="AI141" i="20"/>
  <c r="Z29" i="21" s="1"/>
  <c r="BF142" i="20"/>
  <c r="BG141" i="20"/>
  <c r="BF139" i="20"/>
  <c r="BG140" i="20"/>
  <c r="BF141" i="20"/>
  <c r="BC139" i="20"/>
  <c r="BG139" i="20"/>
  <c r="BC141" i="20"/>
  <c r="BF140" i="20"/>
  <c r="BC140" i="20"/>
  <c r="BG78" i="20"/>
  <c r="AI77" i="20"/>
  <c r="Z16" i="21" s="1"/>
  <c r="AI80" i="20"/>
  <c r="AC16" i="21" s="1"/>
  <c r="AI79" i="20"/>
  <c r="AB16" i="21" s="1"/>
  <c r="AI76" i="20"/>
  <c r="Y16" i="21" s="1"/>
  <c r="AI78" i="20"/>
  <c r="AA16" i="21" s="1"/>
  <c r="BC77" i="20"/>
  <c r="BC78" i="20"/>
  <c r="BG77" i="20"/>
  <c r="AI75" i="20"/>
  <c r="X16" i="21" s="1"/>
  <c r="BF78" i="20"/>
  <c r="BF77" i="20"/>
  <c r="BC75" i="20"/>
  <c r="BG75" i="20"/>
  <c r="BF76" i="20"/>
  <c r="BC76" i="20"/>
  <c r="BG76" i="20"/>
  <c r="BF75" i="20"/>
  <c r="BC100" i="20"/>
  <c r="AI103" i="20"/>
  <c r="AB19" i="21" s="1"/>
  <c r="AI104" i="20"/>
  <c r="AC19" i="21" s="1"/>
  <c r="BC102" i="20"/>
  <c r="BF102" i="20"/>
  <c r="AI99" i="20"/>
  <c r="X19" i="21" s="1"/>
  <c r="BG99" i="20"/>
  <c r="AI102" i="20"/>
  <c r="AA19" i="21" s="1"/>
  <c r="BG100" i="20"/>
  <c r="AI101" i="20"/>
  <c r="Z19" i="21" s="1"/>
  <c r="BG101" i="20"/>
  <c r="BC99" i="20"/>
  <c r="BG102" i="20"/>
  <c r="BC101" i="20"/>
  <c r="BF101" i="20"/>
  <c r="AI100" i="20"/>
  <c r="Y19" i="21" s="1"/>
  <c r="BF99" i="20"/>
  <c r="BF100" i="20"/>
  <c r="BF254" i="20"/>
  <c r="BC254" i="20"/>
  <c r="BF252" i="20"/>
  <c r="BF251" i="20"/>
  <c r="BG254" i="20"/>
  <c r="BF253" i="20"/>
  <c r="BC251" i="20"/>
  <c r="BC252" i="20"/>
  <c r="BG253" i="20"/>
  <c r="BG251" i="20"/>
  <c r="BG252" i="20"/>
  <c r="BC253" i="20"/>
  <c r="BC211" i="20"/>
  <c r="AI215" i="20"/>
  <c r="AB38" i="21" s="1"/>
  <c r="AI216" i="20"/>
  <c r="AC38" i="21" s="1"/>
  <c r="BG213" i="20"/>
  <c r="BF214" i="20"/>
  <c r="AI213" i="20"/>
  <c r="Z38" i="21" s="1"/>
  <c r="BG211" i="20"/>
  <c r="BC214" i="20"/>
  <c r="BG214" i="20"/>
  <c r="AI214" i="20"/>
  <c r="AA38" i="21" s="1"/>
  <c r="BC213" i="20"/>
  <c r="BF213" i="20"/>
  <c r="AI212" i="20"/>
  <c r="Y38" i="21" s="1"/>
  <c r="BF212" i="20"/>
  <c r="BF211" i="20"/>
  <c r="BC212" i="20"/>
  <c r="AI211" i="20"/>
  <c r="X38" i="21" s="1"/>
  <c r="BG212" i="20"/>
  <c r="AB155" i="20"/>
  <c r="AA155" i="20" s="1"/>
  <c r="AB156" i="20"/>
  <c r="AA156" i="20" s="1"/>
  <c r="AB158" i="20"/>
  <c r="AA158" i="20" s="1"/>
  <c r="AB157" i="20"/>
  <c r="AA157" i="20" s="1"/>
  <c r="AB159" i="20"/>
  <c r="AA159" i="20" s="1"/>
  <c r="AB160" i="20"/>
  <c r="AA160" i="20" s="1"/>
  <c r="AB39" i="20"/>
  <c r="AA39" i="20" s="1"/>
  <c r="AB36" i="20"/>
  <c r="AA36" i="20" s="1"/>
  <c r="AB40" i="20"/>
  <c r="AA40" i="20" s="1"/>
  <c r="AB38" i="20"/>
  <c r="AA38" i="20" s="1"/>
  <c r="AB35" i="20"/>
  <c r="AA35" i="20" s="1"/>
  <c r="AB37" i="20"/>
  <c r="AA37" i="20" s="1"/>
  <c r="AB86" i="20"/>
  <c r="AA86" i="20" s="1"/>
  <c r="AB83" i="20"/>
  <c r="AA83" i="20" s="1"/>
  <c r="AB87" i="20"/>
  <c r="AA87" i="20" s="1"/>
  <c r="AB88" i="20"/>
  <c r="AA88" i="20" s="1"/>
  <c r="AB84" i="20"/>
  <c r="AA84" i="20" s="1"/>
  <c r="AB85" i="20"/>
  <c r="AA85" i="20" s="1"/>
  <c r="AB147" i="20"/>
  <c r="AA147" i="20" s="1"/>
  <c r="AB151" i="20"/>
  <c r="AA151" i="20" s="1"/>
  <c r="AB149" i="20"/>
  <c r="AA149" i="20" s="1"/>
  <c r="AB152" i="20"/>
  <c r="AA152" i="20" s="1"/>
  <c r="AB150" i="20"/>
  <c r="AA150" i="20" s="1"/>
  <c r="AB148" i="20"/>
  <c r="AA148" i="20" s="1"/>
  <c r="AB104" i="20"/>
  <c r="AA104" i="20" s="1"/>
  <c r="AB103" i="20"/>
  <c r="AA103" i="20" s="1"/>
  <c r="AB99" i="20"/>
  <c r="AA99" i="20" s="1"/>
  <c r="AB100" i="20"/>
  <c r="AA100" i="20" s="1"/>
  <c r="AB102" i="20"/>
  <c r="AA102" i="20" s="1"/>
  <c r="AB101" i="20"/>
  <c r="AA101" i="20" s="1"/>
  <c r="AB79" i="20"/>
  <c r="AA79" i="20" s="1"/>
  <c r="AB77" i="20"/>
  <c r="AA77" i="20" s="1"/>
  <c r="AB80" i="20"/>
  <c r="AA80" i="20" s="1"/>
  <c r="AB78" i="20"/>
  <c r="AA78" i="20" s="1"/>
  <c r="AB76" i="20"/>
  <c r="AA76" i="20" s="1"/>
  <c r="AB75" i="20"/>
  <c r="AA75" i="20" s="1"/>
  <c r="AB139" i="20"/>
  <c r="AA139" i="20" s="1"/>
  <c r="AB144" i="20"/>
  <c r="AA144" i="20" s="1"/>
  <c r="AB143" i="20"/>
  <c r="AA143" i="20" s="1"/>
  <c r="AB142" i="20"/>
  <c r="AA142" i="20" s="1"/>
  <c r="AB141" i="20"/>
  <c r="AA141" i="20" s="1"/>
  <c r="AC141" i="20" s="1"/>
  <c r="AB140" i="20"/>
  <c r="AA140" i="20" s="1"/>
  <c r="AB116" i="20"/>
  <c r="AA116" i="20" s="1"/>
  <c r="AB115" i="20"/>
  <c r="AA115" i="20" s="1"/>
  <c r="AB120" i="20"/>
  <c r="AA120" i="20" s="1"/>
  <c r="AB119" i="20"/>
  <c r="AA119" i="20" s="1"/>
  <c r="AB118" i="20"/>
  <c r="AA118" i="20" s="1"/>
  <c r="AB117" i="20"/>
  <c r="AA117" i="20" s="1"/>
  <c r="AB24" i="20"/>
  <c r="AA24" i="20" s="1"/>
  <c r="AB19" i="20"/>
  <c r="AA19" i="20" s="1"/>
  <c r="AB23" i="20"/>
  <c r="AA23" i="20" s="1"/>
  <c r="AB21" i="20"/>
  <c r="AA21" i="20" s="1"/>
  <c r="AB22" i="20"/>
  <c r="AA22" i="20" s="1"/>
  <c r="AB20" i="20"/>
  <c r="AA20" i="20" s="1"/>
  <c r="I278" i="20"/>
  <c r="I32" i="17"/>
  <c r="I33" i="19"/>
  <c r="AB181" i="20"/>
  <c r="AA181" i="20" s="1"/>
  <c r="AB183" i="20"/>
  <c r="AA183" i="20" s="1"/>
  <c r="AB184" i="20"/>
  <c r="AA184" i="20" s="1"/>
  <c r="AB182" i="20"/>
  <c r="AA182" i="20" s="1"/>
  <c r="AB179" i="20"/>
  <c r="AA179" i="20" s="1"/>
  <c r="AB180" i="20"/>
  <c r="AA180" i="20" s="1"/>
  <c r="G258" i="20"/>
  <c r="G3" i="19"/>
  <c r="G2" i="17"/>
  <c r="V166" i="20"/>
  <c r="U166" i="20" s="1"/>
  <c r="V164" i="20"/>
  <c r="U164" i="20" s="1"/>
  <c r="V168" i="20"/>
  <c r="U168" i="20" s="1"/>
  <c r="V165" i="20"/>
  <c r="U165" i="20" s="1"/>
  <c r="V167" i="20"/>
  <c r="U167" i="20" s="1"/>
  <c r="AY166" i="20"/>
  <c r="AY165" i="20"/>
  <c r="AY164" i="20"/>
  <c r="V163" i="20"/>
  <c r="U163" i="20" s="1"/>
  <c r="AY163" i="20"/>
  <c r="AY244" i="20"/>
  <c r="AY246" i="20"/>
  <c r="AY245" i="20"/>
  <c r="AY243" i="20"/>
  <c r="V95" i="20"/>
  <c r="U95" i="20" s="1"/>
  <c r="AY93" i="20"/>
  <c r="V96" i="20"/>
  <c r="U96" i="20" s="1"/>
  <c r="V91" i="20"/>
  <c r="U91" i="20" s="1"/>
  <c r="AY94" i="20"/>
  <c r="V93" i="20"/>
  <c r="U93" i="20" s="1"/>
  <c r="V94" i="20"/>
  <c r="U94" i="20" s="1"/>
  <c r="AY92" i="20"/>
  <c r="V92" i="20"/>
  <c r="U92" i="20" s="1"/>
  <c r="AY91" i="20"/>
  <c r="V220" i="20"/>
  <c r="U220" i="20" s="1"/>
  <c r="V222" i="20"/>
  <c r="U222" i="20" s="1"/>
  <c r="V223" i="20"/>
  <c r="U223" i="20" s="1"/>
  <c r="V224" i="20"/>
  <c r="U224" i="20" s="1"/>
  <c r="V221" i="20"/>
  <c r="U221" i="20" s="1"/>
  <c r="AY222" i="20"/>
  <c r="AY221" i="20"/>
  <c r="AY219" i="20"/>
  <c r="V219" i="20"/>
  <c r="U219" i="20" s="1"/>
  <c r="AY220" i="20"/>
  <c r="AY235" i="20"/>
  <c r="AY237" i="20"/>
  <c r="AY238" i="20"/>
  <c r="AY236" i="20"/>
  <c r="V56" i="20"/>
  <c r="U56" i="20" s="1"/>
  <c r="V55" i="20"/>
  <c r="U55" i="20" s="1"/>
  <c r="AY54" i="20"/>
  <c r="W53" i="20"/>
  <c r="V53" i="20"/>
  <c r="X53" i="20" s="1"/>
  <c r="AY53" i="20"/>
  <c r="AY51" i="20"/>
  <c r="AY52" i="20"/>
  <c r="V54" i="20"/>
  <c r="U54" i="20" s="1"/>
  <c r="V52" i="20"/>
  <c r="U52" i="20" s="1"/>
  <c r="V51" i="20"/>
  <c r="U51" i="20" s="1"/>
  <c r="F3" i="13"/>
  <c r="G26" i="20"/>
  <c r="V187" i="20"/>
  <c r="U187" i="20" s="1"/>
  <c r="V188" i="20"/>
  <c r="U188" i="20" s="1"/>
  <c r="V191" i="20"/>
  <c r="U191" i="20" s="1"/>
  <c r="V189" i="20"/>
  <c r="U189" i="20" s="1"/>
  <c r="V192" i="20"/>
  <c r="U192" i="20" s="1"/>
  <c r="AY188" i="20"/>
  <c r="AY189" i="20"/>
  <c r="V190" i="20"/>
  <c r="U190" i="20" s="1"/>
  <c r="AY190" i="20"/>
  <c r="AY187" i="20"/>
  <c r="P127" i="20"/>
  <c r="O127" i="20" s="1"/>
  <c r="P126" i="20"/>
  <c r="O126" i="20" s="1"/>
  <c r="P123" i="20"/>
  <c r="O123" i="20" s="1"/>
  <c r="AW123" i="20"/>
  <c r="P128" i="20"/>
  <c r="O128" i="20" s="1"/>
  <c r="P124" i="20"/>
  <c r="O124" i="20" s="1"/>
  <c r="P125" i="20"/>
  <c r="O125" i="20" s="1"/>
  <c r="AW124" i="20"/>
  <c r="AW126" i="20"/>
  <c r="AW125" i="20"/>
  <c r="P175" i="20"/>
  <c r="O175" i="20" s="1"/>
  <c r="P176" i="20"/>
  <c r="O176" i="20" s="1"/>
  <c r="P174" i="20"/>
  <c r="O174" i="20" s="1"/>
  <c r="P173" i="20"/>
  <c r="O173" i="20" s="1"/>
  <c r="AW174" i="20"/>
  <c r="AW173" i="20"/>
  <c r="AW171" i="20"/>
  <c r="P172" i="20"/>
  <c r="O172" i="20" s="1"/>
  <c r="AW172" i="20"/>
  <c r="P171" i="20"/>
  <c r="O171" i="20" s="1"/>
  <c r="F266" i="20"/>
  <c r="F12" i="17"/>
  <c r="F13" i="19"/>
  <c r="P63" i="20"/>
  <c r="O63" i="20" s="1"/>
  <c r="P64" i="20"/>
  <c r="O64" i="20" s="1"/>
  <c r="P62" i="20"/>
  <c r="O62" i="20" s="1"/>
  <c r="P61" i="20"/>
  <c r="O61" i="20" s="1"/>
  <c r="AW61" i="20"/>
  <c r="AW62" i="20"/>
  <c r="AW60" i="20"/>
  <c r="P59" i="20"/>
  <c r="O59" i="20" s="1"/>
  <c r="AW59" i="20"/>
  <c r="P60" i="20"/>
  <c r="O60" i="20" s="1"/>
  <c r="P7" i="20"/>
  <c r="O7" i="20" s="1"/>
  <c r="P8" i="20"/>
  <c r="O8" i="20" s="1"/>
  <c r="P5" i="20"/>
  <c r="O5" i="20" s="1"/>
  <c r="AW5" i="20"/>
  <c r="AW4" i="20"/>
  <c r="P3" i="20"/>
  <c r="O3" i="20" s="1"/>
  <c r="AW6" i="20"/>
  <c r="P4" i="20"/>
  <c r="O4" i="20" s="1"/>
  <c r="AW3" i="20"/>
  <c r="P6" i="20"/>
  <c r="O6" i="20" s="1"/>
  <c r="P45" i="20"/>
  <c r="O45" i="20" s="1"/>
  <c r="P47" i="20"/>
  <c r="O47" i="20" s="1"/>
  <c r="P43" i="20"/>
  <c r="O43" i="20" s="1"/>
  <c r="P44" i="20"/>
  <c r="O44" i="20" s="1"/>
  <c r="P46" i="20"/>
  <c r="O46" i="20" s="1"/>
  <c r="P48" i="20"/>
  <c r="O48" i="20" s="1"/>
  <c r="AW45" i="20"/>
  <c r="AW44" i="20"/>
  <c r="AW46" i="20"/>
  <c r="AW43" i="20"/>
  <c r="AI56" i="20"/>
  <c r="AC13" i="21" s="1"/>
  <c r="AI55" i="20"/>
  <c r="AB13" i="21" s="1"/>
  <c r="BF53" i="20"/>
  <c r="AI54" i="20"/>
  <c r="AA13" i="21" s="1"/>
  <c r="BG54" i="20"/>
  <c r="BC53" i="20"/>
  <c r="BF54" i="20"/>
  <c r="AI51" i="20"/>
  <c r="X13" i="21" s="1"/>
  <c r="BG53" i="20"/>
  <c r="BC54" i="20"/>
  <c r="BF51" i="20"/>
  <c r="AI53" i="20"/>
  <c r="Z13" i="21" s="1"/>
  <c r="BG52" i="20"/>
  <c r="BC52" i="20"/>
  <c r="AI52" i="20"/>
  <c r="Y13" i="21" s="1"/>
  <c r="BF52" i="20"/>
  <c r="BC51" i="20"/>
  <c r="BG51" i="20"/>
  <c r="H26" i="20"/>
  <c r="F4" i="13"/>
  <c r="AI208" i="20"/>
  <c r="AC37" i="21" s="1"/>
  <c r="AI207" i="20"/>
  <c r="AB37" i="21" s="1"/>
  <c r="BF204" i="20"/>
  <c r="BG206" i="20"/>
  <c r="BG203" i="20"/>
  <c r="AI205" i="20"/>
  <c r="Z37" i="21" s="1"/>
  <c r="BF206" i="20"/>
  <c r="BC205" i="20"/>
  <c r="BF205" i="20"/>
  <c r="BG205" i="20"/>
  <c r="BC203" i="20"/>
  <c r="BC206" i="20"/>
  <c r="AI206" i="20"/>
  <c r="AA37" i="21" s="1"/>
  <c r="AI204" i="20"/>
  <c r="Y37" i="21" s="1"/>
  <c r="BC204" i="20"/>
  <c r="AI203" i="20"/>
  <c r="X37" i="21" s="1"/>
  <c r="BG204" i="20"/>
  <c r="BF203" i="20"/>
  <c r="BF134" i="20"/>
  <c r="AI135" i="20"/>
  <c r="AB28" i="21" s="1"/>
  <c r="AI136" i="20"/>
  <c r="AC28" i="21" s="1"/>
  <c r="BC134" i="20"/>
  <c r="AI134" i="20"/>
  <c r="AA28" i="21" s="1"/>
  <c r="BG134" i="20"/>
  <c r="AI131" i="20"/>
  <c r="X28" i="21" s="1"/>
  <c r="BF131" i="20"/>
  <c r="BG132" i="20"/>
  <c r="BC131" i="20"/>
  <c r="BF132" i="20"/>
  <c r="BG131" i="20"/>
  <c r="BC133" i="20"/>
  <c r="AI132" i="20"/>
  <c r="Y28" i="21" s="1"/>
  <c r="BF133" i="20"/>
  <c r="BC132" i="20"/>
  <c r="BG133" i="20"/>
  <c r="AI133" i="20"/>
  <c r="Z28" i="21" s="1"/>
  <c r="BC238" i="20"/>
  <c r="BG238" i="20"/>
  <c r="BF238" i="20"/>
  <c r="BC237" i="20"/>
  <c r="BF237" i="20"/>
  <c r="BG237" i="20"/>
  <c r="BG236" i="20"/>
  <c r="BC236" i="20"/>
  <c r="BF235" i="20"/>
  <c r="BG235" i="20"/>
  <c r="BC235" i="20"/>
  <c r="BF236" i="20"/>
  <c r="AI45" i="20"/>
  <c r="Z12" i="21" s="1"/>
  <c r="AI48" i="20"/>
  <c r="AC12" i="21" s="1"/>
  <c r="AI44" i="20"/>
  <c r="Y12" i="21" s="1"/>
  <c r="AI46" i="20"/>
  <c r="AA12" i="21" s="1"/>
  <c r="AI47" i="20"/>
  <c r="AB12" i="21" s="1"/>
  <c r="BG45" i="20"/>
  <c r="BC43" i="20"/>
  <c r="BC46" i="20"/>
  <c r="BF43" i="20"/>
  <c r="BG46" i="20"/>
  <c r="BF45" i="20"/>
  <c r="BC44" i="20"/>
  <c r="BC45" i="20"/>
  <c r="BF46" i="20"/>
  <c r="BF44" i="20"/>
  <c r="BG44" i="20"/>
  <c r="AI43" i="20"/>
  <c r="X12" i="21" s="1"/>
  <c r="BG43" i="20"/>
  <c r="BF6" i="20"/>
  <c r="BC6" i="20"/>
  <c r="AI6" i="20"/>
  <c r="AI7" i="20"/>
  <c r="AB7" i="21" s="1"/>
  <c r="AI8" i="20"/>
  <c r="AC7" i="21" s="1"/>
  <c r="BF14" i="20"/>
  <c r="BC5" i="20"/>
  <c r="BF4" i="20"/>
  <c r="BG5" i="20"/>
  <c r="BF12" i="20"/>
  <c r="AI3" i="20"/>
  <c r="BF13" i="20"/>
  <c r="AI4" i="20"/>
  <c r="BF5" i="20"/>
  <c r="BC4" i="20"/>
  <c r="BC3" i="20"/>
  <c r="BG6" i="20"/>
  <c r="AI5" i="20"/>
  <c r="BF11" i="20"/>
  <c r="BG4" i="20"/>
  <c r="BF3" i="20"/>
  <c r="BG3" i="20"/>
  <c r="AI94" i="20"/>
  <c r="AA18" i="21" s="1"/>
  <c r="BC94" i="20"/>
  <c r="BC93" i="20"/>
  <c r="AI95" i="20"/>
  <c r="AB18" i="21" s="1"/>
  <c r="BG94" i="20"/>
  <c r="AI96" i="20"/>
  <c r="AC18" i="21" s="1"/>
  <c r="AI93" i="20"/>
  <c r="Z18" i="21" s="1"/>
  <c r="BG93" i="20"/>
  <c r="AI91" i="20"/>
  <c r="X18" i="21" s="1"/>
  <c r="BF92" i="20"/>
  <c r="BF93" i="20"/>
  <c r="BF91" i="20"/>
  <c r="BC92" i="20"/>
  <c r="BC91" i="20"/>
  <c r="BG92" i="20"/>
  <c r="BG91" i="20"/>
  <c r="BF94" i="20"/>
  <c r="AI92" i="20"/>
  <c r="Y18" i="21" s="1"/>
  <c r="H266" i="20"/>
  <c r="H12" i="17"/>
  <c r="H13" i="19"/>
  <c r="H258" i="20"/>
  <c r="H3" i="19"/>
  <c r="H2" i="17"/>
  <c r="AI168" i="20"/>
  <c r="AI164" i="20"/>
  <c r="Y32" i="21" s="1"/>
  <c r="BC166" i="20"/>
  <c r="AI167" i="20"/>
  <c r="AB32" i="21" s="1"/>
  <c r="BG166" i="20"/>
  <c r="AI166" i="20"/>
  <c r="AA32" i="21" s="1"/>
  <c r="BF166" i="20"/>
  <c r="BC163" i="20"/>
  <c r="BF164" i="20"/>
  <c r="BC165" i="20"/>
  <c r="BG163" i="20"/>
  <c r="BC164" i="20"/>
  <c r="BG165" i="20"/>
  <c r="BF163" i="20"/>
  <c r="AI163" i="20"/>
  <c r="X32" i="21" s="1"/>
  <c r="BF165" i="20"/>
  <c r="BG164" i="20"/>
  <c r="AI165" i="20"/>
  <c r="Z32" i="21" s="1"/>
  <c r="AB126" i="20"/>
  <c r="AA126" i="20" s="1"/>
  <c r="AB123" i="20"/>
  <c r="AA123" i="20" s="1"/>
  <c r="AB127" i="20"/>
  <c r="AA127" i="20" s="1"/>
  <c r="AB128" i="20"/>
  <c r="AA128" i="20" s="1"/>
  <c r="AB125" i="20"/>
  <c r="AA125" i="20" s="1"/>
  <c r="AB124" i="20"/>
  <c r="AA124" i="20" s="1"/>
  <c r="AB173" i="20"/>
  <c r="AA173" i="20" s="1"/>
  <c r="AB176" i="20"/>
  <c r="AA176" i="20" s="1"/>
  <c r="AB174" i="20"/>
  <c r="AA174" i="20" s="1"/>
  <c r="AB175" i="20"/>
  <c r="AA175" i="20" s="1"/>
  <c r="AB172" i="20"/>
  <c r="AA172" i="20" s="1"/>
  <c r="AB171" i="20"/>
  <c r="AA171" i="20" s="1"/>
  <c r="I266" i="20"/>
  <c r="I13" i="19"/>
  <c r="I12" i="17"/>
  <c r="AB63" i="20"/>
  <c r="AA63" i="20" s="1"/>
  <c r="AB64" i="20"/>
  <c r="AA64" i="20" s="1"/>
  <c r="AB62" i="20"/>
  <c r="AA62" i="20" s="1"/>
  <c r="AB61" i="20"/>
  <c r="AA61" i="20" s="1"/>
  <c r="AC61" i="20" s="1"/>
  <c r="AB60" i="20"/>
  <c r="AA60" i="20" s="1"/>
  <c r="AC60" i="20" s="1"/>
  <c r="AB59" i="20"/>
  <c r="AA59" i="20" s="1"/>
  <c r="AB7" i="20"/>
  <c r="AA7" i="20" s="1"/>
  <c r="AB8" i="20"/>
  <c r="AA8" i="20" s="1"/>
  <c r="AB5" i="20"/>
  <c r="AA5" i="20" s="1"/>
  <c r="AB3" i="20"/>
  <c r="AA3" i="20" s="1"/>
  <c r="AB4" i="20"/>
  <c r="AA4" i="20" s="1"/>
  <c r="AB6" i="20"/>
  <c r="AA6" i="20" s="1"/>
  <c r="AB46" i="20"/>
  <c r="AA46" i="20" s="1"/>
  <c r="AB45" i="20"/>
  <c r="AA45" i="20" s="1"/>
  <c r="AB44" i="20"/>
  <c r="AA44" i="20" s="1"/>
  <c r="AB47" i="20"/>
  <c r="AA47" i="20" s="1"/>
  <c r="AB48" i="20"/>
  <c r="AA48" i="20" s="1"/>
  <c r="AB43" i="20"/>
  <c r="AA43" i="20" s="1"/>
  <c r="AB110" i="20"/>
  <c r="AA110" i="20" s="1"/>
  <c r="AB108" i="20"/>
  <c r="AA108" i="20" s="1"/>
  <c r="AB112" i="20"/>
  <c r="AA112" i="20" s="1"/>
  <c r="AB111" i="20"/>
  <c r="AA111" i="20" s="1"/>
  <c r="AB109" i="20"/>
  <c r="AA109" i="20" s="1"/>
  <c r="AB107" i="20"/>
  <c r="AA107" i="20" s="1"/>
  <c r="I284" i="20"/>
  <c r="I43" i="19"/>
  <c r="I42" i="17"/>
  <c r="G3" i="13"/>
  <c r="G154" i="20"/>
  <c r="V39" i="20"/>
  <c r="U39" i="20" s="1"/>
  <c r="V40" i="20"/>
  <c r="U40" i="20" s="1"/>
  <c r="V38" i="20"/>
  <c r="U38" i="20" s="1"/>
  <c r="V36" i="20"/>
  <c r="U36" i="20" s="1"/>
  <c r="AY35" i="20"/>
  <c r="V35" i="20"/>
  <c r="U35" i="20" s="1"/>
  <c r="V37" i="20"/>
  <c r="U37" i="20" s="1"/>
  <c r="V86" i="20"/>
  <c r="U86" i="20" s="1"/>
  <c r="V83" i="20"/>
  <c r="U83" i="20" s="1"/>
  <c r="V88" i="20"/>
  <c r="U88" i="20" s="1"/>
  <c r="V84" i="20"/>
  <c r="U84" i="20" s="1"/>
  <c r="V87" i="20"/>
  <c r="U87" i="20" s="1"/>
  <c r="V85" i="20"/>
  <c r="U85" i="20" s="1"/>
  <c r="AY86" i="20"/>
  <c r="AY85" i="20"/>
  <c r="AY84" i="20"/>
  <c r="AY83" i="20"/>
  <c r="V147" i="20"/>
  <c r="U147" i="20" s="1"/>
  <c r="V151" i="20"/>
  <c r="U151" i="20" s="1"/>
  <c r="V150" i="20"/>
  <c r="U150" i="20" s="1"/>
  <c r="V148" i="20"/>
  <c r="U148" i="20" s="1"/>
  <c r="V152" i="20"/>
  <c r="U152" i="20" s="1"/>
  <c r="AY149" i="20"/>
  <c r="AY150" i="20"/>
  <c r="V149" i="20"/>
  <c r="U149" i="20" s="1"/>
  <c r="AY148" i="20"/>
  <c r="AY147" i="20"/>
  <c r="AY254" i="20"/>
  <c r="AY253" i="20"/>
  <c r="AY251" i="20"/>
  <c r="AY252" i="20"/>
  <c r="V104" i="20"/>
  <c r="U104" i="20" s="1"/>
  <c r="V101" i="20"/>
  <c r="U101" i="20" s="1"/>
  <c r="V103" i="20"/>
  <c r="U103" i="20" s="1"/>
  <c r="V99" i="20"/>
  <c r="U99" i="20" s="1"/>
  <c r="V100" i="20"/>
  <c r="U100" i="20" s="1"/>
  <c r="AY101" i="20"/>
  <c r="BB101" i="20" s="1"/>
  <c r="AY102" i="20"/>
  <c r="V102" i="20"/>
  <c r="U102" i="20" s="1"/>
  <c r="AY100" i="20"/>
  <c r="AY99" i="20"/>
  <c r="V78" i="20"/>
  <c r="U78" i="20" s="1"/>
  <c r="V77" i="20"/>
  <c r="U77" i="20" s="1"/>
  <c r="V76" i="20"/>
  <c r="U76" i="20" s="1"/>
  <c r="V80" i="20"/>
  <c r="U80" i="20" s="1"/>
  <c r="V79" i="20"/>
  <c r="U79" i="20" s="1"/>
  <c r="V75" i="20"/>
  <c r="U75" i="20" s="1"/>
  <c r="AY76" i="20"/>
  <c r="AY77" i="20"/>
  <c r="AY78" i="20"/>
  <c r="AY75" i="20"/>
  <c r="V144" i="20"/>
  <c r="U144" i="20" s="1"/>
  <c r="V142" i="20"/>
  <c r="U142" i="20" s="1"/>
  <c r="V143" i="20"/>
  <c r="U143" i="20" s="1"/>
  <c r="AY142" i="20"/>
  <c r="AY140" i="20"/>
  <c r="AY139" i="20"/>
  <c r="V141" i="20"/>
  <c r="U141" i="20" s="1"/>
  <c r="V140" i="20"/>
  <c r="U140" i="20" s="1"/>
  <c r="AY141" i="20"/>
  <c r="V139" i="20"/>
  <c r="U139" i="20" s="1"/>
  <c r="V132" i="20"/>
  <c r="U132" i="20" s="1"/>
  <c r="V136" i="20"/>
  <c r="U136" i="20" s="1"/>
  <c r="V133" i="20"/>
  <c r="U133" i="20" s="1"/>
  <c r="V131" i="20"/>
  <c r="U131" i="20" s="1"/>
  <c r="AY134" i="20"/>
  <c r="AY131" i="20"/>
  <c r="V134" i="20"/>
  <c r="U134" i="20" s="1"/>
  <c r="V135" i="20"/>
  <c r="U135" i="20" s="1"/>
  <c r="AY133" i="20"/>
  <c r="AY132" i="20"/>
  <c r="V208" i="20"/>
  <c r="U208" i="20" s="1"/>
  <c r="V203" i="20"/>
  <c r="U203" i="20" s="1"/>
  <c r="V204" i="20"/>
  <c r="U204" i="20" s="1"/>
  <c r="V207" i="20"/>
  <c r="U207" i="20" s="1"/>
  <c r="V206" i="20"/>
  <c r="U206" i="20" s="1"/>
  <c r="AY206" i="20"/>
  <c r="V205" i="20"/>
  <c r="U205" i="20" s="1"/>
  <c r="AY203" i="20"/>
  <c r="AY205" i="20"/>
  <c r="AY204" i="20"/>
  <c r="P212" i="20"/>
  <c r="O212" i="20" s="1"/>
  <c r="P216" i="20"/>
  <c r="O216" i="20" s="1"/>
  <c r="P214" i="20"/>
  <c r="O214" i="20" s="1"/>
  <c r="P215" i="20"/>
  <c r="O215" i="20" s="1"/>
  <c r="P213" i="20"/>
  <c r="O213" i="20" s="1"/>
  <c r="P211" i="20"/>
  <c r="O211" i="20" s="1"/>
  <c r="AW214" i="20"/>
  <c r="BB214" i="20" s="1"/>
  <c r="AW213" i="20"/>
  <c r="BB213" i="20" s="1"/>
  <c r="AW211" i="20"/>
  <c r="BB211" i="20" s="1"/>
  <c r="AW212" i="20"/>
  <c r="P195" i="20"/>
  <c r="O195" i="20" s="1"/>
  <c r="P200" i="20"/>
  <c r="O200" i="20" s="1"/>
  <c r="AB198" i="20"/>
  <c r="AA198" i="20" s="1"/>
  <c r="P196" i="20"/>
  <c r="O196" i="20" s="1"/>
  <c r="AB197" i="20"/>
  <c r="AA197" i="20" s="1"/>
  <c r="P199" i="20"/>
  <c r="O199" i="20" s="1"/>
  <c r="P197" i="20"/>
  <c r="O197" i="20" s="1"/>
  <c r="P198" i="20"/>
  <c r="O198" i="20" s="1"/>
  <c r="AW196" i="20"/>
  <c r="BB196" i="20" s="1"/>
  <c r="AW197" i="20"/>
  <c r="BB197" i="20" s="1"/>
  <c r="AW198" i="20"/>
  <c r="AW195" i="20"/>
  <c r="BB195" i="20" s="1"/>
  <c r="F23" i="19"/>
  <c r="F272" i="20"/>
  <c r="F22" i="17"/>
  <c r="P68" i="20"/>
  <c r="O68" i="20" s="1"/>
  <c r="P70" i="20"/>
  <c r="O70" i="20" s="1"/>
  <c r="P72" i="20"/>
  <c r="O72" i="20" s="1"/>
  <c r="P71" i="20"/>
  <c r="O71" i="20" s="1"/>
  <c r="P67" i="20"/>
  <c r="O67" i="20" s="1"/>
  <c r="P69" i="20"/>
  <c r="O69" i="20" s="1"/>
  <c r="AW70" i="20"/>
  <c r="AW69" i="20"/>
  <c r="BB69" i="20" s="1"/>
  <c r="AW68" i="20"/>
  <c r="AW67" i="20"/>
  <c r="BB67" i="20" s="1"/>
  <c r="AW230" i="20"/>
  <c r="AW228" i="20"/>
  <c r="BB228" i="20" s="1"/>
  <c r="AW227" i="20"/>
  <c r="BB227" i="20" s="1"/>
  <c r="AW229" i="20"/>
  <c r="AW12" i="20"/>
  <c r="AW11" i="20"/>
  <c r="P11" i="20"/>
  <c r="O11" i="20" s="1"/>
  <c r="R11" i="20" s="1"/>
  <c r="AW13" i="20"/>
  <c r="P16" i="20"/>
  <c r="O16" i="20" s="1"/>
  <c r="P15" i="20"/>
  <c r="O15" i="20" s="1"/>
  <c r="AW14" i="20"/>
  <c r="BB14" i="20" s="1"/>
  <c r="P13" i="20"/>
  <c r="O13" i="20" s="1"/>
  <c r="Q13" i="20" s="1"/>
  <c r="P14" i="20"/>
  <c r="O14" i="20" s="1"/>
  <c r="Q14" i="20" s="1"/>
  <c r="P12" i="20"/>
  <c r="O12" i="20" s="1"/>
  <c r="P56" i="20"/>
  <c r="O56" i="20" s="1"/>
  <c r="P52" i="20"/>
  <c r="O52" i="20" s="1"/>
  <c r="P54" i="20"/>
  <c r="O54" i="20" s="1"/>
  <c r="AW54" i="20"/>
  <c r="P55" i="20"/>
  <c r="O55" i="20" s="1"/>
  <c r="AW53" i="20"/>
  <c r="P53" i="20"/>
  <c r="R53" i="20" s="1"/>
  <c r="Q53" i="20"/>
  <c r="P51" i="20"/>
  <c r="R51" i="20" s="1"/>
  <c r="Q51" i="20"/>
  <c r="AW52" i="20"/>
  <c r="BB52" i="20" s="1"/>
  <c r="AW51" i="20"/>
  <c r="BB51" i="20" s="1"/>
  <c r="F2" i="13"/>
  <c r="F26" i="20"/>
  <c r="P191" i="20"/>
  <c r="O191" i="20" s="1"/>
  <c r="P189" i="20"/>
  <c r="O189" i="20" s="1"/>
  <c r="P188" i="20"/>
  <c r="O188" i="20" s="1"/>
  <c r="P187" i="20"/>
  <c r="O187" i="20" s="1"/>
  <c r="P192" i="20"/>
  <c r="O192" i="20" s="1"/>
  <c r="P190" i="20"/>
  <c r="O190" i="20" s="1"/>
  <c r="AW189" i="20"/>
  <c r="BB189" i="20" s="1"/>
  <c r="AW187" i="20"/>
  <c r="BB187" i="20" s="1"/>
  <c r="AW190" i="20"/>
  <c r="AW188" i="20"/>
  <c r="BB188" i="20" s="1"/>
  <c r="BF117" i="20"/>
  <c r="AI119" i="20"/>
  <c r="AB21" i="21" s="1"/>
  <c r="AI120" i="20"/>
  <c r="AC21" i="21" s="1"/>
  <c r="BC118" i="20"/>
  <c r="BC117" i="20"/>
  <c r="BF118" i="20"/>
  <c r="AI118" i="20"/>
  <c r="AA21" i="21" s="1"/>
  <c r="AI117" i="20"/>
  <c r="Z21" i="21" s="1"/>
  <c r="BG118" i="20"/>
  <c r="BG117" i="20"/>
  <c r="BF115" i="20"/>
  <c r="BC116" i="20"/>
  <c r="BG116" i="20"/>
  <c r="AI115" i="20"/>
  <c r="X21" i="21" s="1"/>
  <c r="BC115" i="20"/>
  <c r="AI116" i="20"/>
  <c r="Y21" i="21" s="1"/>
  <c r="BF116" i="20"/>
  <c r="BG115" i="20"/>
  <c r="AI15" i="20"/>
  <c r="AB8" i="21" s="1"/>
  <c r="AI16" i="20"/>
  <c r="AC8" i="21" s="1"/>
  <c r="BG14" i="20"/>
  <c r="BC13" i="20"/>
  <c r="AI13" i="20"/>
  <c r="Z8" i="21" s="1"/>
  <c r="BC11" i="20"/>
  <c r="BC12" i="20"/>
  <c r="BG13" i="20"/>
  <c r="AI14" i="20"/>
  <c r="AA8" i="21" s="1"/>
  <c r="BG11" i="20"/>
  <c r="BG12" i="20"/>
  <c r="AI12" i="20"/>
  <c r="Y8" i="21" s="1"/>
  <c r="BC14" i="20"/>
  <c r="AI11" i="20"/>
  <c r="X8" i="21" s="1"/>
  <c r="BC230" i="20"/>
  <c r="BG230" i="20"/>
  <c r="BF230" i="20"/>
  <c r="BG228" i="20"/>
  <c r="BC229" i="20"/>
  <c r="BF227" i="20"/>
  <c r="BG229" i="20"/>
  <c r="BC227" i="20"/>
  <c r="BF228" i="20"/>
  <c r="BC228" i="20"/>
  <c r="BG227" i="20"/>
  <c r="BF229" i="20"/>
  <c r="AI71" i="20"/>
  <c r="AB15" i="21" s="1"/>
  <c r="AI69" i="20"/>
  <c r="Z15" i="21" s="1"/>
  <c r="AI72" i="20"/>
  <c r="AC15" i="21" s="1"/>
  <c r="AI68" i="20"/>
  <c r="Y15" i="21" s="1"/>
  <c r="AI70" i="20"/>
  <c r="AA15" i="21" s="1"/>
  <c r="BF68" i="20"/>
  <c r="BC70" i="20"/>
  <c r="BG67" i="20"/>
  <c r="BC69" i="20"/>
  <c r="BG70" i="20"/>
  <c r="BF69" i="20"/>
  <c r="BG69" i="20"/>
  <c r="BF70" i="20"/>
  <c r="AI67" i="20"/>
  <c r="X15" i="21" s="1"/>
  <c r="BC68" i="20"/>
  <c r="BG68" i="20"/>
  <c r="BC67" i="20"/>
  <c r="BF67" i="20"/>
  <c r="H272" i="20"/>
  <c r="H23" i="19"/>
  <c r="H22" i="17"/>
  <c r="AI199" i="20"/>
  <c r="AB36" i="21" s="1"/>
  <c r="AI198" i="20"/>
  <c r="AI200" i="20"/>
  <c r="AC36" i="21" s="1"/>
  <c r="BF197" i="20"/>
  <c r="BC197" i="20"/>
  <c r="BG198" i="20"/>
  <c r="AI197" i="20"/>
  <c r="Z36" i="21" s="1"/>
  <c r="BG197" i="20"/>
  <c r="BC198" i="20"/>
  <c r="AI196" i="20"/>
  <c r="Y36" i="21" s="1"/>
  <c r="BF198" i="20"/>
  <c r="BG196" i="20"/>
  <c r="BF196" i="20"/>
  <c r="BF195" i="20"/>
  <c r="BC195" i="20"/>
  <c r="AI195" i="20"/>
  <c r="X36" i="21" s="1"/>
  <c r="BC196" i="20"/>
  <c r="BG195" i="20"/>
  <c r="AI40" i="20"/>
  <c r="AC11" i="21" s="1"/>
  <c r="AI39" i="20"/>
  <c r="AB11" i="21" s="1"/>
  <c r="BG37" i="20"/>
  <c r="BG36" i="20"/>
  <c r="BG38" i="20"/>
  <c r="AI37" i="20"/>
  <c r="Z11" i="21" s="1"/>
  <c r="BC35" i="20"/>
  <c r="BF36" i="20"/>
  <c r="BC36" i="20"/>
  <c r="BF37" i="20"/>
  <c r="BG35" i="20"/>
  <c r="BC37" i="20"/>
  <c r="AI35" i="20"/>
  <c r="X11" i="21" s="1"/>
  <c r="BC38" i="20"/>
  <c r="AI38" i="20"/>
  <c r="AA11" i="21" s="1"/>
  <c r="BF38" i="20"/>
  <c r="BF35" i="20"/>
  <c r="AI36" i="20"/>
  <c r="Y11" i="21" s="1"/>
  <c r="BF85" i="20"/>
  <c r="AI87" i="20"/>
  <c r="AB17" i="21" s="1"/>
  <c r="AI88" i="20"/>
  <c r="AC17" i="21" s="1"/>
  <c r="AI85" i="20"/>
  <c r="Z17" i="21" s="1"/>
  <c r="AI84" i="20"/>
  <c r="Y17" i="21" s="1"/>
  <c r="AI86" i="20"/>
  <c r="AA17" i="21" s="1"/>
  <c r="BC86" i="20"/>
  <c r="BC85" i="20"/>
  <c r="BG86" i="20"/>
  <c r="BF86" i="20"/>
  <c r="BG85" i="20"/>
  <c r="AI83" i="20"/>
  <c r="X17" i="21" s="1"/>
  <c r="BF83" i="20"/>
  <c r="BG83" i="20"/>
  <c r="BF84" i="20"/>
  <c r="BC84" i="20"/>
  <c r="BC83" i="20"/>
  <c r="BG84" i="20"/>
  <c r="AI151" i="20"/>
  <c r="AB30" i="21" s="1"/>
  <c r="AI152" i="20"/>
  <c r="AC30" i="21" s="1"/>
  <c r="BG149" i="20"/>
  <c r="BF149" i="20"/>
  <c r="BC150" i="20"/>
  <c r="BF150" i="20"/>
  <c r="BG150" i="20"/>
  <c r="BC149" i="20"/>
  <c r="AI149" i="20"/>
  <c r="Z30" i="21" s="1"/>
  <c r="AI150" i="20"/>
  <c r="AA30" i="21" s="1"/>
  <c r="AI147" i="20"/>
  <c r="X30" i="21" s="1"/>
  <c r="BG147" i="20"/>
  <c r="BF148" i="20"/>
  <c r="BC147" i="20"/>
  <c r="AI148" i="20"/>
  <c r="Y30" i="21" s="1"/>
  <c r="BF147" i="20"/>
  <c r="BG148" i="20"/>
  <c r="BC148" i="20"/>
  <c r="AB214" i="20"/>
  <c r="AA214" i="20" s="1"/>
  <c r="AB211" i="20"/>
  <c r="AA211" i="20" s="1"/>
  <c r="AB212" i="20"/>
  <c r="AA212" i="20" s="1"/>
  <c r="AB216" i="20"/>
  <c r="AA216" i="20" s="1"/>
  <c r="AB215" i="20"/>
  <c r="AA215" i="20" s="1"/>
  <c r="AB213" i="20"/>
  <c r="AA213" i="20" s="1"/>
  <c r="AB195" i="20"/>
  <c r="AA195" i="20" s="1"/>
  <c r="AB199" i="20"/>
  <c r="AA199" i="20" s="1"/>
  <c r="AB200" i="20"/>
  <c r="AA200" i="20" s="1"/>
  <c r="AB196" i="20"/>
  <c r="AA196" i="20" s="1"/>
  <c r="I272" i="20"/>
  <c r="I22" i="17"/>
  <c r="I23" i="19"/>
  <c r="AB68" i="20"/>
  <c r="AA68" i="20" s="1"/>
  <c r="AB70" i="20"/>
  <c r="AA70" i="20" s="1"/>
  <c r="AB71" i="20"/>
  <c r="AA71" i="20" s="1"/>
  <c r="AB67" i="20"/>
  <c r="AA67" i="20" s="1"/>
  <c r="AB69" i="20"/>
  <c r="AA69" i="20" s="1"/>
  <c r="AB72" i="20"/>
  <c r="AA72" i="20" s="1"/>
  <c r="AB15" i="20"/>
  <c r="AA15" i="20" s="1"/>
  <c r="AB16" i="20"/>
  <c r="AA16" i="20" s="1"/>
  <c r="AB13" i="20"/>
  <c r="AA13" i="20" s="1"/>
  <c r="AB14" i="20"/>
  <c r="AA14" i="20" s="1"/>
  <c r="AB11" i="20"/>
  <c r="AA11" i="20" s="1"/>
  <c r="AB12" i="20"/>
  <c r="AA12" i="20" s="1"/>
  <c r="AB55" i="20"/>
  <c r="AA55" i="20" s="1"/>
  <c r="AB52" i="20"/>
  <c r="AA52" i="20" s="1"/>
  <c r="AB54" i="20"/>
  <c r="AA54" i="20" s="1"/>
  <c r="AB56" i="20"/>
  <c r="AA56" i="20" s="1"/>
  <c r="AB53" i="20"/>
  <c r="AA53" i="20" s="1"/>
  <c r="AC53" i="20" s="1"/>
  <c r="AB51" i="20"/>
  <c r="AA51" i="20" s="1"/>
  <c r="AC51" i="20" s="1"/>
  <c r="AC31" i="20"/>
  <c r="AE31" i="20" s="1"/>
  <c r="U10" i="21" s="1"/>
  <c r="AC32" i="20"/>
  <c r="AE32" i="20" s="1"/>
  <c r="V10" i="21" s="1"/>
  <c r="AC28" i="20"/>
  <c r="AE28" i="20" s="1"/>
  <c r="R10" i="21" s="1"/>
  <c r="AC29" i="20"/>
  <c r="AE29" i="20" s="1"/>
  <c r="S10" i="21" s="1"/>
  <c r="AC30" i="20"/>
  <c r="AE30" i="20" s="1"/>
  <c r="T10" i="21" s="1"/>
  <c r="AB27" i="20"/>
  <c r="AA27" i="20" s="1"/>
  <c r="AB187" i="20"/>
  <c r="AA187" i="20" s="1"/>
  <c r="AB191" i="20"/>
  <c r="AA191" i="20" s="1"/>
  <c r="AB190" i="20"/>
  <c r="AA190" i="20" s="1"/>
  <c r="AB189" i="20"/>
  <c r="AA189" i="20" s="1"/>
  <c r="AB192" i="20"/>
  <c r="AA192" i="20" s="1"/>
  <c r="AB188" i="20"/>
  <c r="AA188" i="20" s="1"/>
  <c r="V128" i="20"/>
  <c r="U128" i="20" s="1"/>
  <c r="V123" i="20"/>
  <c r="U123" i="20" s="1"/>
  <c r="V125" i="20"/>
  <c r="U125" i="20" s="1"/>
  <c r="V124" i="20"/>
  <c r="U124" i="20" s="1"/>
  <c r="V126" i="20"/>
  <c r="U126" i="20" s="1"/>
  <c r="V127" i="20"/>
  <c r="U127" i="20" s="1"/>
  <c r="AY125" i="20"/>
  <c r="AY126" i="20"/>
  <c r="AY123" i="20"/>
  <c r="BB123" i="20" s="1"/>
  <c r="AY124" i="20"/>
  <c r="V174" i="20"/>
  <c r="U174" i="20" s="1"/>
  <c r="V171" i="20"/>
  <c r="U171" i="20" s="1"/>
  <c r="V176" i="20"/>
  <c r="U176" i="20" s="1"/>
  <c r="V173" i="20"/>
  <c r="U173" i="20" s="1"/>
  <c r="V175" i="20"/>
  <c r="U175" i="20" s="1"/>
  <c r="V172" i="20"/>
  <c r="U172" i="20" s="1"/>
  <c r="AY174" i="20"/>
  <c r="AY173" i="20"/>
  <c r="AY172" i="20"/>
  <c r="AY171" i="20"/>
  <c r="G266" i="20"/>
  <c r="G13" i="19"/>
  <c r="G12" i="17"/>
  <c r="V60" i="20"/>
  <c r="U60" i="20" s="1"/>
  <c r="V61" i="20"/>
  <c r="U61" i="20" s="1"/>
  <c r="V64" i="20"/>
  <c r="U64" i="20" s="1"/>
  <c r="V63" i="20"/>
  <c r="U63" i="20" s="1"/>
  <c r="AY61" i="20"/>
  <c r="W62" i="20"/>
  <c r="AY62" i="20"/>
  <c r="V62" i="20"/>
  <c r="X62" i="20" s="1"/>
  <c r="AY59" i="20"/>
  <c r="V59" i="20"/>
  <c r="U59" i="20" s="1"/>
  <c r="AY60" i="20"/>
  <c r="V8" i="20"/>
  <c r="U8" i="20" s="1"/>
  <c r="V7" i="20"/>
  <c r="U7" i="20" s="1"/>
  <c r="V5" i="20"/>
  <c r="U5" i="20" s="1"/>
  <c r="V6" i="20"/>
  <c r="U6" i="20" s="1"/>
  <c r="AY6" i="20"/>
  <c r="V4" i="20"/>
  <c r="U4" i="20" s="1"/>
  <c r="V3" i="20"/>
  <c r="U3" i="20" s="1"/>
  <c r="AY5" i="20"/>
  <c r="AY4" i="20"/>
  <c r="AY3" i="20"/>
  <c r="V43" i="20"/>
  <c r="U43" i="20" s="1"/>
  <c r="V45" i="20"/>
  <c r="U45" i="20" s="1"/>
  <c r="V44" i="20"/>
  <c r="U44" i="20" s="1"/>
  <c r="V47" i="20"/>
  <c r="U47" i="20" s="1"/>
  <c r="V46" i="20"/>
  <c r="U46" i="20" s="1"/>
  <c r="V48" i="20"/>
  <c r="U48" i="20" s="1"/>
  <c r="AY45" i="20"/>
  <c r="AY46" i="20"/>
  <c r="AY43" i="20"/>
  <c r="AY44" i="20"/>
  <c r="V117" i="20"/>
  <c r="U117" i="20" s="1"/>
  <c r="V120" i="20"/>
  <c r="U120" i="20" s="1"/>
  <c r="V116" i="20"/>
  <c r="U116" i="20" s="1"/>
  <c r="V119" i="20"/>
  <c r="U119" i="20" s="1"/>
  <c r="AY116" i="20"/>
  <c r="AY115" i="20"/>
  <c r="AY118" i="20"/>
  <c r="AY117" i="20"/>
  <c r="V118" i="20"/>
  <c r="U118" i="20" s="1"/>
  <c r="V115" i="20"/>
  <c r="U115" i="20" s="1"/>
  <c r="V20" i="20"/>
  <c r="U20" i="20" s="1"/>
  <c r="V19" i="20"/>
  <c r="U19" i="20" s="1"/>
  <c r="V23" i="20"/>
  <c r="U23" i="20" s="1"/>
  <c r="V22" i="20"/>
  <c r="U22" i="20" s="1"/>
  <c r="V24" i="20"/>
  <c r="U24" i="20" s="1"/>
  <c r="V21" i="20"/>
  <c r="U21" i="20" s="1"/>
  <c r="AY36" i="20"/>
  <c r="AY22" i="20"/>
  <c r="AY21" i="20"/>
  <c r="AY37" i="20"/>
  <c r="BB37" i="20" s="1"/>
  <c r="AY30" i="20"/>
  <c r="AY19" i="20"/>
  <c r="AY20" i="20"/>
  <c r="AY38" i="20"/>
  <c r="AY29" i="20"/>
  <c r="AY28" i="20"/>
  <c r="G33" i="19"/>
  <c r="G278" i="20"/>
  <c r="G32" i="17"/>
  <c r="V182" i="20"/>
  <c r="U182" i="20" s="1"/>
  <c r="V184" i="20"/>
  <c r="U184" i="20" s="1"/>
  <c r="V179" i="20"/>
  <c r="U179" i="20" s="1"/>
  <c r="V183" i="20"/>
  <c r="U183" i="20" s="1"/>
  <c r="V181" i="20"/>
  <c r="U181" i="20" s="1"/>
  <c r="AY181" i="20"/>
  <c r="AY179" i="20"/>
  <c r="AY182" i="20"/>
  <c r="V180" i="20"/>
  <c r="U180" i="20" s="1"/>
  <c r="AY180" i="20"/>
  <c r="F258" i="20"/>
  <c r="F3" i="19"/>
  <c r="F2" i="17"/>
  <c r="P168" i="20"/>
  <c r="O168" i="20" s="1"/>
  <c r="P165" i="20"/>
  <c r="O165" i="20" s="1"/>
  <c r="P164" i="20"/>
  <c r="O164" i="20" s="1"/>
  <c r="P163" i="20"/>
  <c r="O163" i="20" s="1"/>
  <c r="P166" i="20"/>
  <c r="O166" i="20" s="1"/>
  <c r="AW166" i="20"/>
  <c r="BB166" i="20" s="1"/>
  <c r="P167" i="20"/>
  <c r="O167" i="20" s="1"/>
  <c r="AW163" i="20"/>
  <c r="BB163" i="20" s="1"/>
  <c r="AW165" i="20"/>
  <c r="BB165" i="20" s="1"/>
  <c r="AW164" i="20"/>
  <c r="BB164" i="20" s="1"/>
  <c r="AW246" i="20"/>
  <c r="AW244" i="20"/>
  <c r="AW243" i="20"/>
  <c r="AW245" i="20"/>
  <c r="BB245" i="20" s="1"/>
  <c r="P94" i="20"/>
  <c r="O94" i="20" s="1"/>
  <c r="P96" i="20"/>
  <c r="O96" i="20" s="1"/>
  <c r="P91" i="20"/>
  <c r="O91" i="20" s="1"/>
  <c r="P92" i="20"/>
  <c r="O92" i="20" s="1"/>
  <c r="P95" i="20"/>
  <c r="O95" i="20" s="1"/>
  <c r="AW94" i="20"/>
  <c r="P93" i="20"/>
  <c r="O93" i="20" s="1"/>
  <c r="AW93" i="20"/>
  <c r="BB93" i="20" s="1"/>
  <c r="AW91" i="20"/>
  <c r="AW92" i="20"/>
  <c r="BB92" i="20" s="1"/>
  <c r="P224" i="20"/>
  <c r="O224" i="20" s="1"/>
  <c r="P223" i="20"/>
  <c r="O223" i="20" s="1"/>
  <c r="P222" i="20"/>
  <c r="O222" i="20" s="1"/>
  <c r="P221" i="20"/>
  <c r="O221" i="20" s="1"/>
  <c r="P219" i="20"/>
  <c r="O219" i="20" s="1"/>
  <c r="P220" i="20"/>
  <c r="O220" i="20" s="1"/>
  <c r="AW219" i="20"/>
  <c r="AW221" i="20"/>
  <c r="BB221" i="20" s="1"/>
  <c r="AW222" i="20"/>
  <c r="AW220" i="20"/>
  <c r="BB220" i="20" s="1"/>
  <c r="AW238" i="20"/>
  <c r="AW237" i="20"/>
  <c r="AW235" i="20"/>
  <c r="BB235" i="20" s="1"/>
  <c r="AW236" i="20"/>
  <c r="BB236" i="20" s="1"/>
  <c r="P136" i="20"/>
  <c r="O136" i="20" s="1"/>
  <c r="P132" i="20"/>
  <c r="O132" i="20" s="1"/>
  <c r="P131" i="20"/>
  <c r="O131" i="20" s="1"/>
  <c r="P135" i="20"/>
  <c r="O135" i="20" s="1"/>
  <c r="P133" i="20"/>
  <c r="O133" i="20" s="1"/>
  <c r="P134" i="20"/>
  <c r="O134" i="20" s="1"/>
  <c r="AW131" i="20"/>
  <c r="AW134" i="20"/>
  <c r="BB134" i="20" s="1"/>
  <c r="AW132" i="20"/>
  <c r="BB132" i="20" s="1"/>
  <c r="AW133" i="20"/>
  <c r="P206" i="20"/>
  <c r="O206" i="20" s="1"/>
  <c r="P207" i="20"/>
  <c r="O207" i="20" s="1"/>
  <c r="P204" i="20"/>
  <c r="O204" i="20" s="1"/>
  <c r="P208" i="20"/>
  <c r="O208" i="20" s="1"/>
  <c r="P205" i="20"/>
  <c r="O205" i="20" s="1"/>
  <c r="AW206" i="20"/>
  <c r="BB206" i="20" s="1"/>
  <c r="AW205" i="20"/>
  <c r="P203" i="20"/>
  <c r="O203" i="20" s="1"/>
  <c r="AW203" i="20"/>
  <c r="AW204" i="20"/>
  <c r="BB204" i="20" s="1"/>
  <c r="P110" i="20"/>
  <c r="O110" i="20" s="1"/>
  <c r="P108" i="20"/>
  <c r="O108" i="20" s="1"/>
  <c r="AW107" i="20"/>
  <c r="P109" i="20"/>
  <c r="O109" i="20" s="1"/>
  <c r="P111" i="20"/>
  <c r="O111" i="20" s="1"/>
  <c r="P112" i="20"/>
  <c r="O112" i="20" s="1"/>
  <c r="P107" i="20"/>
  <c r="O107" i="20" s="1"/>
  <c r="AW110" i="20"/>
  <c r="BB110" i="20" s="1"/>
  <c r="AW108" i="20"/>
  <c r="BB108" i="20" s="1"/>
  <c r="AW109" i="20"/>
  <c r="F284" i="20"/>
  <c r="H2" i="13"/>
  <c r="F43" i="19"/>
  <c r="F42" i="17"/>
  <c r="AD141" i="20"/>
  <c r="AE141" i="20" s="1"/>
  <c r="S29" i="21" s="1"/>
  <c r="AD61" i="20"/>
  <c r="AE61" i="20" s="1"/>
  <c r="S14" i="21" s="1"/>
  <c r="Q11" i="20"/>
  <c r="AJ57" i="12"/>
  <c r="AB20" i="15" s="1"/>
  <c r="AJ58" i="12"/>
  <c r="AC20" i="15" s="1"/>
  <c r="AJ59" i="12"/>
  <c r="AD20" i="15" s="1"/>
  <c r="AJ60" i="12"/>
  <c r="AE20" i="15" s="1"/>
  <c r="AJ51" i="12"/>
  <c r="AB19" i="15" s="1"/>
  <c r="AJ52" i="12"/>
  <c r="AC19" i="15" s="1"/>
  <c r="AJ53" i="12"/>
  <c r="AD19" i="15" s="1"/>
  <c r="AJ54" i="12"/>
  <c r="AE19" i="15" s="1"/>
  <c r="K218" i="12"/>
  <c r="K206" i="12"/>
  <c r="K200" i="12"/>
  <c r="K212" i="12"/>
  <c r="K194" i="12"/>
  <c r="K188" i="12"/>
  <c r="K182" i="12"/>
  <c r="K176" i="12"/>
  <c r="K164" i="12"/>
  <c r="K170" i="12"/>
  <c r="K158" i="12"/>
  <c r="K152" i="12"/>
  <c r="K146" i="12"/>
  <c r="K140" i="12"/>
  <c r="K134" i="12"/>
  <c r="K128" i="12"/>
  <c r="K122" i="12"/>
  <c r="K116" i="12"/>
  <c r="K104" i="12"/>
  <c r="K98" i="12"/>
  <c r="K92" i="12"/>
  <c r="K86" i="12"/>
  <c r="K80" i="12"/>
  <c r="K110" i="12"/>
  <c r="K74" i="12"/>
  <c r="K68" i="12"/>
  <c r="K62" i="12"/>
  <c r="K50" i="12"/>
  <c r="K56" i="12"/>
  <c r="K32" i="12"/>
  <c r="K38" i="12"/>
  <c r="K44" i="12"/>
  <c r="K26" i="12"/>
  <c r="K20" i="12"/>
  <c r="K14" i="12"/>
  <c r="K8" i="12"/>
  <c r="K2" i="12"/>
  <c r="F2" i="12"/>
  <c r="P3" i="12" s="1"/>
  <c r="I218" i="12"/>
  <c r="H218" i="12"/>
  <c r="G218" i="12"/>
  <c r="F218" i="12"/>
  <c r="I206" i="12"/>
  <c r="H206" i="12"/>
  <c r="G206" i="12"/>
  <c r="F206" i="12"/>
  <c r="I200" i="12"/>
  <c r="H200" i="12"/>
  <c r="G200" i="12"/>
  <c r="F200" i="12"/>
  <c r="I212" i="12"/>
  <c r="H212" i="12"/>
  <c r="G212" i="12"/>
  <c r="F212" i="12"/>
  <c r="BE198" i="12"/>
  <c r="BD198" i="12"/>
  <c r="BA198" i="12"/>
  <c r="AZ198" i="12"/>
  <c r="AJ198" i="12"/>
  <c r="AE58" i="15" s="1"/>
  <c r="AD198" i="12"/>
  <c r="R198" i="12"/>
  <c r="BE197" i="12"/>
  <c r="BD197" i="12"/>
  <c r="BA197" i="12"/>
  <c r="AZ197" i="12"/>
  <c r="AD197" i="12"/>
  <c r="O197" i="12"/>
  <c r="R197" i="12" s="1"/>
  <c r="BE196" i="12"/>
  <c r="BD196" i="12"/>
  <c r="BA196" i="12"/>
  <c r="AZ196" i="12"/>
  <c r="AJ196" i="12"/>
  <c r="AC58" i="15" s="1"/>
  <c r="AD196" i="12"/>
  <c r="R196" i="12"/>
  <c r="BE195" i="12"/>
  <c r="BD195" i="12"/>
  <c r="BA195" i="12"/>
  <c r="AZ195" i="12"/>
  <c r="AJ195" i="12"/>
  <c r="AB58" i="15" s="1"/>
  <c r="AD195" i="12"/>
  <c r="R195" i="12"/>
  <c r="I194" i="12"/>
  <c r="AC198" i="12" s="1"/>
  <c r="H194" i="12"/>
  <c r="BF198" i="12" s="1"/>
  <c r="G194" i="12"/>
  <c r="F194" i="12"/>
  <c r="BE192" i="12"/>
  <c r="BD192" i="12"/>
  <c r="BA192" i="12"/>
  <c r="AZ192" i="12"/>
  <c r="BE191" i="12"/>
  <c r="BD191" i="12"/>
  <c r="BA191" i="12"/>
  <c r="AZ191" i="12"/>
  <c r="BE190" i="12"/>
  <c r="BD190" i="12"/>
  <c r="BA190" i="12"/>
  <c r="AZ190" i="12"/>
  <c r="BE189" i="12"/>
  <c r="BD189" i="12"/>
  <c r="BA189" i="12"/>
  <c r="AZ189" i="12"/>
  <c r="I188" i="12"/>
  <c r="H188" i="12"/>
  <c r="AI193" i="12" s="1"/>
  <c r="G188" i="12"/>
  <c r="F188" i="12"/>
  <c r="BE186" i="12"/>
  <c r="BD186" i="12"/>
  <c r="BA186" i="12"/>
  <c r="AZ186" i="12"/>
  <c r="BE185" i="12"/>
  <c r="BD185" i="12"/>
  <c r="BA185" i="12"/>
  <c r="AZ185" i="12"/>
  <c r="BE184" i="12"/>
  <c r="BD184" i="12"/>
  <c r="BA184" i="12"/>
  <c r="AZ184" i="12"/>
  <c r="BE183" i="12"/>
  <c r="BD183" i="12"/>
  <c r="BA183" i="12"/>
  <c r="AZ183" i="12"/>
  <c r="I182" i="12"/>
  <c r="AB184" i="12" s="1"/>
  <c r="AA184" i="12" s="1"/>
  <c r="H182" i="12"/>
  <c r="AI187" i="12" s="1"/>
  <c r="G182" i="12"/>
  <c r="V187" i="12" s="1"/>
  <c r="U187" i="12" s="1"/>
  <c r="F182" i="12"/>
  <c r="BE180" i="12"/>
  <c r="BD180" i="12"/>
  <c r="BA180" i="12"/>
  <c r="AZ180" i="12"/>
  <c r="BE179" i="12"/>
  <c r="BD179" i="12"/>
  <c r="BA179" i="12"/>
  <c r="AZ179" i="12"/>
  <c r="BE178" i="12"/>
  <c r="BD178" i="12"/>
  <c r="BA178" i="12"/>
  <c r="AZ178" i="12"/>
  <c r="BE177" i="12"/>
  <c r="BD177" i="12"/>
  <c r="BA177" i="12"/>
  <c r="AZ177" i="12"/>
  <c r="I176" i="12"/>
  <c r="AB180" i="12" s="1"/>
  <c r="AA180" i="12" s="1"/>
  <c r="H176" i="12"/>
  <c r="G176" i="12"/>
  <c r="F176" i="12"/>
  <c r="BE168" i="12"/>
  <c r="BD168" i="12"/>
  <c r="BA168" i="12"/>
  <c r="AZ168" i="12"/>
  <c r="BE167" i="12"/>
  <c r="BD167" i="12"/>
  <c r="BA167" i="12"/>
  <c r="AZ167" i="12"/>
  <c r="BE166" i="12"/>
  <c r="BD166" i="12"/>
  <c r="BA166" i="12"/>
  <c r="AZ166" i="12"/>
  <c r="BE165" i="12"/>
  <c r="BD165" i="12"/>
  <c r="BA165" i="12"/>
  <c r="AZ165" i="12"/>
  <c r="I164" i="12"/>
  <c r="AB165" i="12" s="1"/>
  <c r="AA165" i="12" s="1"/>
  <c r="H164" i="12"/>
  <c r="BG167" i="12" s="1"/>
  <c r="G164" i="12"/>
  <c r="F164" i="12"/>
  <c r="P165" i="12" s="1"/>
  <c r="BE174" i="12"/>
  <c r="BD174" i="12"/>
  <c r="BA174" i="12"/>
  <c r="AZ174" i="12"/>
  <c r="BE173" i="12"/>
  <c r="BD173" i="12"/>
  <c r="BA173" i="12"/>
  <c r="AZ173" i="12"/>
  <c r="BE172" i="12"/>
  <c r="BD172" i="12"/>
  <c r="BA172" i="12"/>
  <c r="AZ172" i="12"/>
  <c r="BE171" i="12"/>
  <c r="BD171" i="12"/>
  <c r="BA171" i="12"/>
  <c r="AZ171" i="12"/>
  <c r="I170" i="12"/>
  <c r="H170" i="12"/>
  <c r="AI175" i="12" s="1"/>
  <c r="G170" i="12"/>
  <c r="F170" i="12"/>
  <c r="BE162" i="12"/>
  <c r="BD162" i="12"/>
  <c r="BA162" i="12"/>
  <c r="AZ162" i="12"/>
  <c r="AJ162" i="12"/>
  <c r="AE42" i="15" s="1"/>
  <c r="BE161" i="12"/>
  <c r="BD161" i="12"/>
  <c r="BA161" i="12"/>
  <c r="AZ161" i="12"/>
  <c r="AJ161" i="12"/>
  <c r="AD42" i="15" s="1"/>
  <c r="BE160" i="12"/>
  <c r="BD160" i="12"/>
  <c r="BA160" i="12"/>
  <c r="AZ160" i="12"/>
  <c r="AJ160" i="12"/>
  <c r="AC42" i="15" s="1"/>
  <c r="BE159" i="12"/>
  <c r="BD159" i="12"/>
  <c r="BA159" i="12"/>
  <c r="AZ159" i="12"/>
  <c r="AJ159" i="12"/>
  <c r="AB42" i="15" s="1"/>
  <c r="I158" i="12"/>
  <c r="H158" i="12"/>
  <c r="G158" i="12"/>
  <c r="F158" i="12"/>
  <c r="BE156" i="12"/>
  <c r="BD156" i="12"/>
  <c r="BA156" i="12"/>
  <c r="AZ156" i="12"/>
  <c r="BE155" i="12"/>
  <c r="BD155" i="12"/>
  <c r="BA155" i="12"/>
  <c r="AZ155" i="12"/>
  <c r="BE154" i="12"/>
  <c r="BD154" i="12"/>
  <c r="BA154" i="12"/>
  <c r="AZ154" i="12"/>
  <c r="BE153" i="12"/>
  <c r="BD153" i="12"/>
  <c r="BA153" i="12"/>
  <c r="AZ153" i="12"/>
  <c r="I152" i="12"/>
  <c r="H152" i="12"/>
  <c r="G152" i="12"/>
  <c r="F152" i="12"/>
  <c r="BE150" i="12"/>
  <c r="BD150" i="12"/>
  <c r="BA150" i="12"/>
  <c r="AZ150" i="12"/>
  <c r="BE149" i="12"/>
  <c r="BD149" i="12"/>
  <c r="BA149" i="12"/>
  <c r="AZ149" i="12"/>
  <c r="BE148" i="12"/>
  <c r="BD148" i="12"/>
  <c r="BA148" i="12"/>
  <c r="AZ148" i="12"/>
  <c r="BE147" i="12"/>
  <c r="BD147" i="12"/>
  <c r="BA147" i="12"/>
  <c r="AZ147" i="12"/>
  <c r="I146" i="12"/>
  <c r="H146" i="12"/>
  <c r="G146" i="12"/>
  <c r="F146" i="12"/>
  <c r="BE144" i="12"/>
  <c r="BD144" i="12"/>
  <c r="BA144" i="12"/>
  <c r="AZ144" i="12"/>
  <c r="BE143" i="12"/>
  <c r="BD143" i="12"/>
  <c r="BA143" i="12"/>
  <c r="AZ143" i="12"/>
  <c r="BE142" i="12"/>
  <c r="BD142" i="12"/>
  <c r="BA142" i="12"/>
  <c r="AZ142" i="12"/>
  <c r="BE141" i="12"/>
  <c r="BD141" i="12"/>
  <c r="BA141" i="12"/>
  <c r="AZ141" i="12"/>
  <c r="AJ141" i="12"/>
  <c r="AB39" i="15" s="1"/>
  <c r="AF39" i="15" s="1"/>
  <c r="I140" i="12"/>
  <c r="H140" i="12"/>
  <c r="G140" i="12"/>
  <c r="F140" i="12"/>
  <c r="BE138" i="12"/>
  <c r="BD138" i="12"/>
  <c r="AZ138" i="12"/>
  <c r="BE137" i="12"/>
  <c r="BD137" i="12"/>
  <c r="BA137" i="12"/>
  <c r="AZ137" i="12"/>
  <c r="AJ137" i="12"/>
  <c r="AD38" i="15" s="1"/>
  <c r="BE136" i="12"/>
  <c r="BD136" i="12"/>
  <c r="BA136" i="12"/>
  <c r="AZ136" i="12"/>
  <c r="AJ136" i="12"/>
  <c r="AC38" i="15" s="1"/>
  <c r="BE135" i="12"/>
  <c r="BD135" i="12"/>
  <c r="AZ135" i="12"/>
  <c r="I134" i="12"/>
  <c r="H134" i="12"/>
  <c r="G134" i="12"/>
  <c r="F134" i="12"/>
  <c r="BE132" i="12"/>
  <c r="BD132" i="12"/>
  <c r="AZ132" i="12"/>
  <c r="BE131" i="12"/>
  <c r="BD131" i="12"/>
  <c r="AZ131" i="12"/>
  <c r="AJ131" i="12"/>
  <c r="AD37" i="15" s="1"/>
  <c r="BE130" i="12"/>
  <c r="BD130" i="12"/>
  <c r="BA130" i="12"/>
  <c r="AZ130" i="12"/>
  <c r="AJ130" i="12"/>
  <c r="AC37" i="15" s="1"/>
  <c r="BE129" i="12"/>
  <c r="BD129" i="12"/>
  <c r="AZ129" i="12"/>
  <c r="I128" i="12"/>
  <c r="H128" i="12"/>
  <c r="G128" i="12"/>
  <c r="F128" i="12"/>
  <c r="BE126" i="12"/>
  <c r="BD126" i="12"/>
  <c r="BA126" i="12"/>
  <c r="AZ126" i="12"/>
  <c r="AJ126" i="12"/>
  <c r="AE36" i="15" s="1"/>
  <c r="BE125" i="12"/>
  <c r="BD125" i="12"/>
  <c r="BA125" i="12"/>
  <c r="AZ125" i="12"/>
  <c r="AJ125" i="12"/>
  <c r="AD36" i="15" s="1"/>
  <c r="BE124" i="12"/>
  <c r="BD124" i="12"/>
  <c r="BA124" i="12"/>
  <c r="AZ124" i="12"/>
  <c r="AJ124" i="12"/>
  <c r="AC36" i="15" s="1"/>
  <c r="BE123" i="12"/>
  <c r="BD123" i="12"/>
  <c r="BA123" i="12"/>
  <c r="AZ123" i="12"/>
  <c r="AJ123" i="12"/>
  <c r="AB36" i="15" s="1"/>
  <c r="I122" i="12"/>
  <c r="H122" i="12"/>
  <c r="AI127" i="12" s="1"/>
  <c r="G122" i="12"/>
  <c r="V127" i="12" s="1"/>
  <c r="U127" i="12" s="1"/>
  <c r="F122" i="12"/>
  <c r="BE120" i="12"/>
  <c r="BD120" i="12"/>
  <c r="AZ120" i="12"/>
  <c r="BE119" i="12"/>
  <c r="BD119" i="12"/>
  <c r="AZ119" i="12"/>
  <c r="BE118" i="12"/>
  <c r="BD118" i="12"/>
  <c r="BA118" i="12"/>
  <c r="AZ118" i="12"/>
  <c r="AJ118" i="12"/>
  <c r="AC35" i="15" s="1"/>
  <c r="AF35" i="15" s="1"/>
  <c r="BE117" i="12"/>
  <c r="BD117" i="12"/>
  <c r="AZ117" i="12"/>
  <c r="I116" i="12"/>
  <c r="H116" i="12"/>
  <c r="G116" i="12"/>
  <c r="F116" i="12"/>
  <c r="P119" i="12" s="1"/>
  <c r="O119" i="12" s="1"/>
  <c r="BE108" i="12"/>
  <c r="BD108" i="12"/>
  <c r="AZ108" i="12"/>
  <c r="BE107" i="12"/>
  <c r="BD107" i="12"/>
  <c r="AZ107" i="12"/>
  <c r="BE106" i="12"/>
  <c r="BD106" i="12"/>
  <c r="BA106" i="12"/>
  <c r="AZ106" i="12"/>
  <c r="AJ106" i="12"/>
  <c r="AC33" i="15" s="1"/>
  <c r="AF33" i="15" s="1"/>
  <c r="BE105" i="12"/>
  <c r="BD105" i="12"/>
  <c r="AZ105" i="12"/>
  <c r="I104" i="12"/>
  <c r="H104" i="12"/>
  <c r="AI109" i="12" s="1"/>
  <c r="G104" i="12"/>
  <c r="V109" i="12" s="1"/>
  <c r="U109" i="12" s="1"/>
  <c r="F104" i="12"/>
  <c r="P109" i="12" s="1"/>
  <c r="O109" i="12" s="1"/>
  <c r="BE102" i="12"/>
  <c r="BD102" i="12"/>
  <c r="BA102" i="12"/>
  <c r="AZ102" i="12"/>
  <c r="AJ102" i="12"/>
  <c r="AE32" i="15" s="1"/>
  <c r="BE101" i="12"/>
  <c r="BD101" i="12"/>
  <c r="BA101" i="12"/>
  <c r="AZ101" i="12"/>
  <c r="AJ101" i="12"/>
  <c r="AD32" i="15" s="1"/>
  <c r="BE100" i="12"/>
  <c r="BD100" i="12"/>
  <c r="BA100" i="12"/>
  <c r="AZ100" i="12"/>
  <c r="AJ100" i="12"/>
  <c r="AC32" i="15" s="1"/>
  <c r="BE99" i="12"/>
  <c r="BD99" i="12"/>
  <c r="BA99" i="12"/>
  <c r="AZ99" i="12"/>
  <c r="AJ99" i="12"/>
  <c r="AB32" i="15" s="1"/>
  <c r="I98" i="12"/>
  <c r="AB103" i="12" s="1"/>
  <c r="AA103" i="12" s="1"/>
  <c r="H98" i="12"/>
  <c r="G98" i="12"/>
  <c r="V103" i="12" s="1"/>
  <c r="U103" i="12" s="1"/>
  <c r="F98" i="12"/>
  <c r="P103" i="12" s="1"/>
  <c r="O103" i="12" s="1"/>
  <c r="BE96" i="12"/>
  <c r="BD96" i="12"/>
  <c r="BA96" i="12"/>
  <c r="AZ96" i="12"/>
  <c r="AJ96" i="12"/>
  <c r="AE31" i="15" s="1"/>
  <c r="BE95" i="12"/>
  <c r="BD95" i="12"/>
  <c r="BA95" i="12"/>
  <c r="AZ95" i="12"/>
  <c r="AJ95" i="12"/>
  <c r="AD31" i="15" s="1"/>
  <c r="BE94" i="12"/>
  <c r="BD94" i="12"/>
  <c r="BA94" i="12"/>
  <c r="AZ94" i="12"/>
  <c r="AJ94" i="12"/>
  <c r="AC31" i="15" s="1"/>
  <c r="BE93" i="12"/>
  <c r="BD93" i="12"/>
  <c r="BA93" i="12"/>
  <c r="AZ93" i="12"/>
  <c r="AJ93" i="12"/>
  <c r="AB31" i="15" s="1"/>
  <c r="I92" i="12"/>
  <c r="AB95" i="12" s="1"/>
  <c r="AA95" i="12" s="1"/>
  <c r="H92" i="12"/>
  <c r="G92" i="12"/>
  <c r="V96" i="12" s="1"/>
  <c r="F92" i="12"/>
  <c r="P95" i="12" s="1"/>
  <c r="O95" i="12" s="1"/>
  <c r="BE90" i="12"/>
  <c r="BD90" i="12"/>
  <c r="BA90" i="12"/>
  <c r="AZ90" i="12"/>
  <c r="BE89" i="12"/>
  <c r="BD89" i="12"/>
  <c r="BA89" i="12"/>
  <c r="AZ89" i="12"/>
  <c r="BE88" i="12"/>
  <c r="BD88" i="12"/>
  <c r="BA88" i="12"/>
  <c r="AZ88" i="12"/>
  <c r="BE87" i="12"/>
  <c r="BD87" i="12"/>
  <c r="BA87" i="12"/>
  <c r="AZ87" i="12"/>
  <c r="I86" i="12"/>
  <c r="H86" i="12"/>
  <c r="G86" i="12"/>
  <c r="F86" i="12"/>
  <c r="BE84" i="12"/>
  <c r="BD84" i="12"/>
  <c r="BA84" i="12"/>
  <c r="AZ84" i="12"/>
  <c r="BE83" i="12"/>
  <c r="BD83" i="12"/>
  <c r="BA83" i="12"/>
  <c r="AZ83" i="12"/>
  <c r="BE82" i="12"/>
  <c r="BD82" i="12"/>
  <c r="BA82" i="12"/>
  <c r="AZ82" i="12"/>
  <c r="BE81" i="12"/>
  <c r="BD81" i="12"/>
  <c r="BA81" i="12"/>
  <c r="AZ81" i="12"/>
  <c r="I80" i="12"/>
  <c r="H80" i="12"/>
  <c r="G80" i="12"/>
  <c r="F80" i="12"/>
  <c r="BE114" i="12"/>
  <c r="BD114" i="12"/>
  <c r="BA114" i="12"/>
  <c r="AZ114" i="12"/>
  <c r="AJ114" i="12"/>
  <c r="AE34" i="15" s="1"/>
  <c r="BE113" i="12"/>
  <c r="BD113" i="12"/>
  <c r="BA113" i="12"/>
  <c r="AZ113" i="12"/>
  <c r="AJ113" i="12"/>
  <c r="AD34" i="15" s="1"/>
  <c r="BE112" i="12"/>
  <c r="BD112" i="12"/>
  <c r="BA112" i="12"/>
  <c r="AZ112" i="12"/>
  <c r="AJ112" i="12"/>
  <c r="AC34" i="15" s="1"/>
  <c r="BE111" i="12"/>
  <c r="BD111" i="12"/>
  <c r="BA111" i="12"/>
  <c r="AZ111" i="12"/>
  <c r="AJ111" i="12"/>
  <c r="AB34" i="15" s="1"/>
  <c r="H110" i="12"/>
  <c r="BE78" i="12"/>
  <c r="BD78" i="12"/>
  <c r="BA78" i="12"/>
  <c r="AZ78" i="12"/>
  <c r="BE77" i="12"/>
  <c r="BD77" i="12"/>
  <c r="BA77" i="12"/>
  <c r="AZ77" i="12"/>
  <c r="BE76" i="12"/>
  <c r="BD76" i="12"/>
  <c r="BA76" i="12"/>
  <c r="AZ76" i="12"/>
  <c r="BE75" i="12"/>
  <c r="BD75" i="12"/>
  <c r="AZ75" i="12"/>
  <c r="I74" i="12"/>
  <c r="H74" i="12"/>
  <c r="G74" i="12"/>
  <c r="F74" i="12"/>
  <c r="BE72" i="12"/>
  <c r="BD72" i="12"/>
  <c r="BA72" i="12"/>
  <c r="AZ72" i="12"/>
  <c r="AJ72" i="12"/>
  <c r="AE22" i="15" s="1"/>
  <c r="BE71" i="12"/>
  <c r="BD71" i="12"/>
  <c r="BA71" i="12"/>
  <c r="AZ71" i="12"/>
  <c r="AJ71" i="12"/>
  <c r="AD22" i="15" s="1"/>
  <c r="BE70" i="12"/>
  <c r="BD70" i="12"/>
  <c r="BA70" i="12"/>
  <c r="AZ70" i="12"/>
  <c r="AJ70" i="12"/>
  <c r="AC22" i="15" s="1"/>
  <c r="BE69" i="12"/>
  <c r="BD69" i="12"/>
  <c r="AZ69" i="12"/>
  <c r="AJ69" i="12"/>
  <c r="AB22" i="15" s="1"/>
  <c r="AF22" i="15" s="1"/>
  <c r="I68" i="12"/>
  <c r="AB71" i="12" s="1"/>
  <c r="AA71" i="12" s="1"/>
  <c r="H68" i="12"/>
  <c r="BC69" i="12" s="1"/>
  <c r="G68" i="12"/>
  <c r="F68" i="12"/>
  <c r="P71" i="12" s="1"/>
  <c r="O71" i="12" s="1"/>
  <c r="BE66" i="12"/>
  <c r="BD66" i="12"/>
  <c r="BA66" i="12"/>
  <c r="AZ66" i="12"/>
  <c r="AJ66" i="12"/>
  <c r="AE21" i="15" s="1"/>
  <c r="BE65" i="12"/>
  <c r="BD65" i="12"/>
  <c r="BA65" i="12"/>
  <c r="AZ65" i="12"/>
  <c r="AJ65" i="12"/>
  <c r="AD21" i="15" s="1"/>
  <c r="BE64" i="12"/>
  <c r="BD64" i="12"/>
  <c r="BA64" i="12"/>
  <c r="AZ64" i="12"/>
  <c r="AJ64" i="12"/>
  <c r="AC21" i="15" s="1"/>
  <c r="BE63" i="12"/>
  <c r="BD63" i="12"/>
  <c r="BA63" i="12"/>
  <c r="AZ63" i="12"/>
  <c r="AJ63" i="12"/>
  <c r="AB21" i="15" s="1"/>
  <c r="AF21" i="15" s="1"/>
  <c r="I62" i="12"/>
  <c r="H62" i="12"/>
  <c r="G62" i="12"/>
  <c r="V66" i="12" s="1"/>
  <c r="U66" i="12" s="1"/>
  <c r="F62" i="12"/>
  <c r="BE54" i="12"/>
  <c r="BD54" i="12"/>
  <c r="BA54" i="12"/>
  <c r="AZ54" i="12"/>
  <c r="BE53" i="12"/>
  <c r="BD53" i="12"/>
  <c r="BA53" i="12"/>
  <c r="AZ53" i="12"/>
  <c r="BE52" i="12"/>
  <c r="BD52" i="12"/>
  <c r="BA52" i="12"/>
  <c r="AZ52" i="12"/>
  <c r="BE51" i="12"/>
  <c r="BD51" i="12"/>
  <c r="BA51" i="12"/>
  <c r="AZ51" i="12"/>
  <c r="I50" i="12"/>
  <c r="H50" i="12"/>
  <c r="G50" i="12"/>
  <c r="F50" i="12"/>
  <c r="BE60" i="12"/>
  <c r="BD60" i="12"/>
  <c r="BA60" i="12"/>
  <c r="AZ60" i="12"/>
  <c r="BE59" i="12"/>
  <c r="BD59" i="12"/>
  <c r="BA59" i="12"/>
  <c r="AZ59" i="12"/>
  <c r="BE58" i="12"/>
  <c r="BD58" i="12"/>
  <c r="BA58" i="12"/>
  <c r="AZ58" i="12"/>
  <c r="BE57" i="12"/>
  <c r="BD57" i="12"/>
  <c r="BA57" i="12"/>
  <c r="AZ57" i="12"/>
  <c r="I56" i="12"/>
  <c r="AB57" i="12" s="1"/>
  <c r="AA57" i="12" s="1"/>
  <c r="H56" i="12"/>
  <c r="AI58" i="12" s="1"/>
  <c r="W20" i="15" s="1"/>
  <c r="G56" i="12"/>
  <c r="V57" i="12" s="1"/>
  <c r="U57" i="12" s="1"/>
  <c r="F56" i="12"/>
  <c r="P57" i="12" s="1"/>
  <c r="O57" i="12" s="1"/>
  <c r="BE36" i="12"/>
  <c r="BD36" i="12"/>
  <c r="BA36" i="12"/>
  <c r="AZ36" i="12"/>
  <c r="BE35" i="12"/>
  <c r="BD35" i="12"/>
  <c r="BA35" i="12"/>
  <c r="AZ35" i="12"/>
  <c r="BE34" i="12"/>
  <c r="BD34" i="12"/>
  <c r="BA34" i="12"/>
  <c r="AZ34" i="12"/>
  <c r="BE33" i="12"/>
  <c r="BD33" i="12"/>
  <c r="BA33" i="12"/>
  <c r="AZ33" i="12"/>
  <c r="I32" i="12"/>
  <c r="H32" i="12"/>
  <c r="G32" i="12"/>
  <c r="F32" i="12"/>
  <c r="BE42" i="12"/>
  <c r="BD42" i="12"/>
  <c r="BA42" i="12"/>
  <c r="AZ42" i="12"/>
  <c r="AJ42" i="12"/>
  <c r="AE17" i="15" s="1"/>
  <c r="BE41" i="12"/>
  <c r="BD41" i="12"/>
  <c r="BA41" i="12"/>
  <c r="AZ41" i="12"/>
  <c r="AJ41" i="12"/>
  <c r="AD17" i="15" s="1"/>
  <c r="BE40" i="12"/>
  <c r="BD40" i="12"/>
  <c r="BA40" i="12"/>
  <c r="AZ40" i="12"/>
  <c r="AJ40" i="12"/>
  <c r="AC17" i="15" s="1"/>
  <c r="BE39" i="12"/>
  <c r="BD39" i="12"/>
  <c r="AZ39" i="12"/>
  <c r="I38" i="12"/>
  <c r="H38" i="12"/>
  <c r="G38" i="12"/>
  <c r="F38" i="12"/>
  <c r="BE48" i="12"/>
  <c r="BD48" i="12"/>
  <c r="BA48" i="12"/>
  <c r="AZ48" i="12"/>
  <c r="AJ48" i="12"/>
  <c r="AE18" i="15" s="1"/>
  <c r="BE47" i="12"/>
  <c r="BD47" i="12"/>
  <c r="BA47" i="12"/>
  <c r="AZ47" i="12"/>
  <c r="AJ47" i="12"/>
  <c r="AD18" i="15" s="1"/>
  <c r="BE46" i="12"/>
  <c r="BD46" i="12"/>
  <c r="BA46" i="12"/>
  <c r="AZ46" i="12"/>
  <c r="AJ46" i="12"/>
  <c r="AC18" i="15" s="1"/>
  <c r="BE45" i="12"/>
  <c r="BD45" i="12"/>
  <c r="BA45" i="12"/>
  <c r="AZ45" i="12"/>
  <c r="AJ45" i="12"/>
  <c r="AB18" i="15" s="1"/>
  <c r="I44" i="12"/>
  <c r="AB45" i="12" s="1"/>
  <c r="AA45" i="12" s="1"/>
  <c r="H44" i="12"/>
  <c r="G44" i="12"/>
  <c r="F44" i="12"/>
  <c r="P48" i="12" s="1"/>
  <c r="O48" i="12" s="1"/>
  <c r="BE30" i="12"/>
  <c r="BD30" i="12"/>
  <c r="BA30" i="12"/>
  <c r="AZ30" i="12"/>
  <c r="AJ30" i="12"/>
  <c r="AE15" i="15" s="1"/>
  <c r="BE29" i="12"/>
  <c r="BD29" i="12"/>
  <c r="BA29" i="12"/>
  <c r="AZ29" i="12"/>
  <c r="AJ29" i="12"/>
  <c r="AD15" i="15" s="1"/>
  <c r="BE28" i="12"/>
  <c r="BD28" i="12"/>
  <c r="BA28" i="12"/>
  <c r="AZ28" i="12"/>
  <c r="AJ28" i="12"/>
  <c r="AC15" i="15" s="1"/>
  <c r="BE27" i="12"/>
  <c r="BD27" i="12"/>
  <c r="BA27" i="12"/>
  <c r="AZ27" i="12"/>
  <c r="AJ27" i="12"/>
  <c r="AB15" i="15" s="1"/>
  <c r="I26" i="12"/>
  <c r="H26" i="12"/>
  <c r="G26" i="12"/>
  <c r="V30" i="12" s="1"/>
  <c r="F26" i="12"/>
  <c r="BE24" i="12"/>
  <c r="BD24" i="12"/>
  <c r="BA24" i="12"/>
  <c r="AZ24" i="12"/>
  <c r="AJ24" i="12"/>
  <c r="AE14" i="15" s="1"/>
  <c r="AD24" i="12"/>
  <c r="X24" i="12"/>
  <c r="BE23" i="12"/>
  <c r="BD23" i="12"/>
  <c r="BA23" i="12"/>
  <c r="AZ23" i="12"/>
  <c r="AJ23" i="12"/>
  <c r="AD14" i="15" s="1"/>
  <c r="AD23" i="12"/>
  <c r="X23" i="12"/>
  <c r="BE22" i="12"/>
  <c r="BD22" i="12"/>
  <c r="BA22" i="12"/>
  <c r="AZ22" i="12"/>
  <c r="AJ22" i="12"/>
  <c r="AC14" i="15" s="1"/>
  <c r="AF14" i="15" s="1"/>
  <c r="AD22" i="12"/>
  <c r="X22" i="12"/>
  <c r="BE21" i="12"/>
  <c r="BD21" i="12"/>
  <c r="AZ21" i="12"/>
  <c r="I20" i="12"/>
  <c r="AB21" i="12" s="1"/>
  <c r="AA21" i="12" s="1"/>
  <c r="AD21" i="12" s="1"/>
  <c r="H20" i="12"/>
  <c r="BF24" i="12" s="1"/>
  <c r="G20" i="12"/>
  <c r="F20" i="12"/>
  <c r="BE18" i="12"/>
  <c r="BD18" i="12"/>
  <c r="BA18" i="12"/>
  <c r="AZ18" i="12"/>
  <c r="AJ18" i="12"/>
  <c r="AE13" i="15" s="1"/>
  <c r="BE17" i="12"/>
  <c r="BD17" i="12"/>
  <c r="BA17" i="12"/>
  <c r="AZ17" i="12"/>
  <c r="AJ17" i="12"/>
  <c r="AD13" i="15" s="1"/>
  <c r="BE16" i="12"/>
  <c r="BD16" i="12"/>
  <c r="BA16" i="12"/>
  <c r="AZ16" i="12"/>
  <c r="AJ16" i="12"/>
  <c r="AC13" i="15" s="1"/>
  <c r="BE15" i="12"/>
  <c r="BD15" i="12"/>
  <c r="AZ15" i="12"/>
  <c r="AJ15" i="12"/>
  <c r="BE12" i="12"/>
  <c r="BD12" i="12"/>
  <c r="BA12" i="12"/>
  <c r="AZ12" i="12"/>
  <c r="BE11" i="12"/>
  <c r="BD11" i="12"/>
  <c r="BA11" i="12"/>
  <c r="AZ11" i="12"/>
  <c r="BE10" i="12"/>
  <c r="BD10" i="12"/>
  <c r="BA10" i="12"/>
  <c r="AZ10" i="12"/>
  <c r="BE9" i="12"/>
  <c r="BD9" i="12"/>
  <c r="BA9" i="12"/>
  <c r="AZ9" i="12"/>
  <c r="I8" i="12"/>
  <c r="H8" i="12"/>
  <c r="G8" i="12"/>
  <c r="F8" i="12"/>
  <c r="BE6" i="12"/>
  <c r="BD6" i="12"/>
  <c r="BA6" i="12"/>
  <c r="AZ6" i="12"/>
  <c r="BE5" i="12"/>
  <c r="BD5" i="12"/>
  <c r="BA5" i="12"/>
  <c r="AZ5" i="12"/>
  <c r="BE4" i="12"/>
  <c r="BD4" i="12"/>
  <c r="BA4" i="12"/>
  <c r="AZ4" i="12"/>
  <c r="BE3" i="12"/>
  <c r="BD3" i="12"/>
  <c r="BA3" i="12"/>
  <c r="AZ3" i="12"/>
  <c r="I2" i="12"/>
  <c r="H2" i="12"/>
  <c r="G2" i="12"/>
  <c r="AI228" i="6"/>
  <c r="AG48" i="10" s="1"/>
  <c r="AI230" i="6"/>
  <c r="AI48" i="10" s="1"/>
  <c r="AI231" i="6"/>
  <c r="AJ48" i="10" s="1"/>
  <c r="AC228" i="6"/>
  <c r="AC229" i="6"/>
  <c r="AC230" i="6"/>
  <c r="AC231" i="6"/>
  <c r="Q228" i="6"/>
  <c r="Q230" i="6"/>
  <c r="Q231" i="6"/>
  <c r="AI221" i="6"/>
  <c r="AG47" i="10" s="1"/>
  <c r="AI224" i="6"/>
  <c r="AJ47" i="10" s="1"/>
  <c r="AI214" i="6"/>
  <c r="AG46" i="10" s="1"/>
  <c r="AI217" i="6"/>
  <c r="AJ46" i="10" s="1"/>
  <c r="AI193" i="6"/>
  <c r="AG43" i="10" s="1"/>
  <c r="AI200" i="6"/>
  <c r="AG44" i="10" s="1"/>
  <c r="AI201" i="6"/>
  <c r="AH44" i="10" s="1"/>
  <c r="AH53" i="10" s="1"/>
  <c r="AI202" i="6"/>
  <c r="AI44" i="10" s="1"/>
  <c r="AI53" i="10" s="1"/>
  <c r="AI203" i="6"/>
  <c r="AJ44" i="10" s="1"/>
  <c r="AI186" i="6"/>
  <c r="AG38" i="10" s="1"/>
  <c r="AI187" i="6"/>
  <c r="AH38" i="10" s="1"/>
  <c r="AI188" i="6"/>
  <c r="AI38" i="10" s="1"/>
  <c r="AI189" i="6"/>
  <c r="AJ38" i="10" s="1"/>
  <c r="AI175" i="6"/>
  <c r="AJ36" i="10" s="1"/>
  <c r="AI168" i="6"/>
  <c r="AJ35" i="10" s="1"/>
  <c r="AI158" i="6"/>
  <c r="AG34" i="10" s="1"/>
  <c r="AI159" i="6"/>
  <c r="AH34" i="10" s="1"/>
  <c r="AI161" i="6"/>
  <c r="AJ34" i="10" s="1"/>
  <c r="AI151" i="6"/>
  <c r="AG33" i="10" s="1"/>
  <c r="AI152" i="6"/>
  <c r="AH33" i="10" s="1"/>
  <c r="AI144" i="6"/>
  <c r="AG32" i="10" s="1"/>
  <c r="AI145" i="6"/>
  <c r="AH32" i="10" s="1"/>
  <c r="AI146" i="6"/>
  <c r="AI147" i="6"/>
  <c r="AJ32" i="10" s="1"/>
  <c r="AI227" i="6"/>
  <c r="AF48" i="10" s="1"/>
  <c r="AF53" i="10" s="1"/>
  <c r="AI185" i="6"/>
  <c r="AF38" i="10" s="1"/>
  <c r="AI164" i="6"/>
  <c r="AF35" i="10" s="1"/>
  <c r="AC227" i="6"/>
  <c r="Q227" i="6"/>
  <c r="AI143" i="6"/>
  <c r="AF32" i="10" s="1"/>
  <c r="AI74" i="6"/>
  <c r="AG18" i="10" s="1"/>
  <c r="AI75" i="6"/>
  <c r="AH18" i="10" s="1"/>
  <c r="AI76" i="6"/>
  <c r="AI18" i="10" s="1"/>
  <c r="AI77" i="6"/>
  <c r="AJ18" i="10" s="1"/>
  <c r="AI73" i="6"/>
  <c r="AF18" i="10" s="1"/>
  <c r="Q229" i="6"/>
  <c r="I156" i="6"/>
  <c r="AI137" i="6"/>
  <c r="AG31" i="10" s="1"/>
  <c r="AI140" i="6"/>
  <c r="AJ31" i="10" s="1"/>
  <c r="AI123" i="6"/>
  <c r="AG29" i="10" s="1"/>
  <c r="AI126" i="6"/>
  <c r="AJ29" i="10" s="1"/>
  <c r="AI116" i="6"/>
  <c r="AG28" i="10" s="1"/>
  <c r="AI117" i="6"/>
  <c r="AH28" i="10" s="1"/>
  <c r="AI118" i="6"/>
  <c r="AI28" i="10" s="1"/>
  <c r="AI119" i="6"/>
  <c r="AJ28" i="10" s="1"/>
  <c r="I14" i="12"/>
  <c r="I37" i="6"/>
  <c r="I198" i="6"/>
  <c r="I86" i="6"/>
  <c r="I234" i="6"/>
  <c r="I110" i="12"/>
  <c r="I142" i="6"/>
  <c r="I72" i="6"/>
  <c r="I30" i="6"/>
  <c r="AI115" i="6"/>
  <c r="AF28" i="10" s="1"/>
  <c r="AI109" i="6"/>
  <c r="AG27" i="10" s="1"/>
  <c r="AI110" i="6"/>
  <c r="AH27" i="10" s="1"/>
  <c r="AI111" i="6"/>
  <c r="AI27" i="10" s="1"/>
  <c r="AI112" i="6"/>
  <c r="AJ27" i="10" s="1"/>
  <c r="AI108" i="6"/>
  <c r="AF27" i="10" s="1"/>
  <c r="AI102" i="6"/>
  <c r="AG22" i="10" s="1"/>
  <c r="AI103" i="6"/>
  <c r="AH22" i="10" s="1"/>
  <c r="AI104" i="6"/>
  <c r="AI22" i="10" s="1"/>
  <c r="AI105" i="6"/>
  <c r="AJ22" i="10" s="1"/>
  <c r="AI101" i="6"/>
  <c r="AF22" i="10" s="1"/>
  <c r="AI95" i="6"/>
  <c r="AG21" i="10" s="1"/>
  <c r="AI96" i="6"/>
  <c r="AH21" i="10" s="1"/>
  <c r="AI97" i="6"/>
  <c r="AI21" i="10" s="1"/>
  <c r="AI98" i="6"/>
  <c r="AJ21" i="10" s="1"/>
  <c r="AI94" i="6"/>
  <c r="AF21" i="10" s="1"/>
  <c r="AI130" i="6"/>
  <c r="AG30" i="10" s="1"/>
  <c r="AI131" i="6"/>
  <c r="AH30" i="10" s="1"/>
  <c r="AI132" i="6"/>
  <c r="AI30" i="10" s="1"/>
  <c r="AI133" i="6"/>
  <c r="AJ30" i="10" s="1"/>
  <c r="AI129" i="6"/>
  <c r="AF30" i="10" s="1"/>
  <c r="AI88" i="6"/>
  <c r="AG20" i="10" s="1"/>
  <c r="AI89" i="6"/>
  <c r="AH20" i="10" s="1"/>
  <c r="AI90" i="6"/>
  <c r="AI20" i="10" s="1"/>
  <c r="AI91" i="6"/>
  <c r="AJ20" i="10" s="1"/>
  <c r="AI81" i="6"/>
  <c r="AG19" i="10" s="1"/>
  <c r="AI82" i="6"/>
  <c r="AH19" i="10" s="1"/>
  <c r="AI83" i="6"/>
  <c r="AI19" i="10" s="1"/>
  <c r="AI84" i="6"/>
  <c r="AJ19" i="10" s="1"/>
  <c r="W84" i="6"/>
  <c r="AI60" i="6"/>
  <c r="AG16" i="10" s="1"/>
  <c r="AI61" i="6"/>
  <c r="AH16" i="10" s="1"/>
  <c r="AI62" i="6"/>
  <c r="AI16" i="10" s="1"/>
  <c r="AI63" i="6"/>
  <c r="AJ16" i="10" s="1"/>
  <c r="AI59" i="6"/>
  <c r="AF16" i="10" s="1"/>
  <c r="AI67" i="6"/>
  <c r="AG17" i="10" s="1"/>
  <c r="AI68" i="6"/>
  <c r="AH17" i="10" s="1"/>
  <c r="AI69" i="6"/>
  <c r="AI17" i="10" s="1"/>
  <c r="AI70" i="6"/>
  <c r="AJ17" i="10" s="1"/>
  <c r="AI66" i="6"/>
  <c r="AF17" i="10" s="1"/>
  <c r="AI39" i="6"/>
  <c r="AG13" i="10" s="1"/>
  <c r="AI40" i="6"/>
  <c r="AH13" i="10" s="1"/>
  <c r="AI41" i="6"/>
  <c r="AI13" i="10" s="1"/>
  <c r="AI42" i="6"/>
  <c r="AJ13" i="10" s="1"/>
  <c r="AI38" i="6"/>
  <c r="AF13" i="10" s="1"/>
  <c r="AI46" i="6"/>
  <c r="AG14" i="10" s="1"/>
  <c r="AI47" i="6"/>
  <c r="AH14" i="10" s="1"/>
  <c r="AI48" i="6"/>
  <c r="AI14" i="10" s="1"/>
  <c r="AI49" i="6"/>
  <c r="AJ14" i="10" s="1"/>
  <c r="AI53" i="6"/>
  <c r="AG15" i="10" s="1"/>
  <c r="AI54" i="6"/>
  <c r="AH15" i="10" s="1"/>
  <c r="AI55" i="6"/>
  <c r="AI15" i="10" s="1"/>
  <c r="AI56" i="6"/>
  <c r="AJ15" i="10" s="1"/>
  <c r="AI52" i="6"/>
  <c r="AF15" i="10" s="1"/>
  <c r="AI32" i="6"/>
  <c r="AG12" i="10" s="1"/>
  <c r="AI33" i="6"/>
  <c r="AH12" i="10" s="1"/>
  <c r="AI34" i="6"/>
  <c r="AI12" i="10" s="1"/>
  <c r="AI35" i="6"/>
  <c r="AJ12" i="10" s="1"/>
  <c r="AI31" i="6"/>
  <c r="AF12" i="10" s="1"/>
  <c r="AI25" i="6"/>
  <c r="AG11" i="10" s="1"/>
  <c r="AI26" i="6"/>
  <c r="AH11" i="10" s="1"/>
  <c r="AI27" i="6"/>
  <c r="AI11" i="10" s="1"/>
  <c r="AI28" i="6"/>
  <c r="AJ11" i="10" s="1"/>
  <c r="AC25" i="6"/>
  <c r="AC26" i="6"/>
  <c r="AC27" i="6"/>
  <c r="AC28" i="6"/>
  <c r="W25" i="6"/>
  <c r="W26" i="6"/>
  <c r="W27" i="6"/>
  <c r="W28" i="6"/>
  <c r="Q25" i="6"/>
  <c r="Q26" i="6"/>
  <c r="Q27" i="6"/>
  <c r="Q28" i="6"/>
  <c r="AC24" i="6"/>
  <c r="W24" i="6"/>
  <c r="Q24" i="6"/>
  <c r="AI18" i="6"/>
  <c r="AG10" i="10" s="1"/>
  <c r="AI19" i="6"/>
  <c r="AH10" i="10" s="1"/>
  <c r="AI20" i="6"/>
  <c r="AI10" i="10" s="1"/>
  <c r="AI21" i="6"/>
  <c r="AJ10" i="10" s="1"/>
  <c r="AI11" i="6"/>
  <c r="AG9" i="10" s="1"/>
  <c r="AI12" i="6"/>
  <c r="AH9" i="10" s="1"/>
  <c r="AI13" i="6"/>
  <c r="AI9" i="10" s="1"/>
  <c r="AI14" i="6"/>
  <c r="AJ9" i="10" s="1"/>
  <c r="AI10" i="6"/>
  <c r="AF9" i="10" s="1"/>
  <c r="AI4" i="6"/>
  <c r="AI5" i="6"/>
  <c r="AH8" i="10" s="1"/>
  <c r="AI6" i="6"/>
  <c r="AI8" i="10" s="1"/>
  <c r="AI7" i="6"/>
  <c r="AJ8" i="10" s="1"/>
  <c r="I255" i="6"/>
  <c r="I241" i="6"/>
  <c r="I248" i="6"/>
  <c r="I226" i="6"/>
  <c r="I219" i="6"/>
  <c r="I212" i="6"/>
  <c r="I205" i="6"/>
  <c r="I191" i="6"/>
  <c r="I184" i="6"/>
  <c r="I177" i="6"/>
  <c r="I170" i="6"/>
  <c r="I163" i="6"/>
  <c r="I149" i="6"/>
  <c r="I135" i="6"/>
  <c r="I121" i="6"/>
  <c r="I114" i="6"/>
  <c r="I107" i="6"/>
  <c r="I100" i="6"/>
  <c r="I93" i="6"/>
  <c r="I128" i="6"/>
  <c r="I79" i="6"/>
  <c r="I58" i="6"/>
  <c r="I65" i="6"/>
  <c r="I9" i="6"/>
  <c r="I51" i="6"/>
  <c r="AI62" i="2"/>
  <c r="AI63" i="2"/>
  <c r="I44" i="6"/>
  <c r="I23" i="6"/>
  <c r="AB26" i="6" s="1"/>
  <c r="I2" i="6"/>
  <c r="AY228" i="6"/>
  <c r="AZ228" i="6"/>
  <c r="BC228" i="6"/>
  <c r="BD228" i="6"/>
  <c r="AY229" i="6"/>
  <c r="AZ229" i="6"/>
  <c r="BC229" i="6"/>
  <c r="BD229" i="6"/>
  <c r="AY230" i="6"/>
  <c r="AZ230" i="6"/>
  <c r="BC230" i="6"/>
  <c r="BD230" i="6"/>
  <c r="AY231" i="6"/>
  <c r="AZ231" i="6"/>
  <c r="BC231" i="6"/>
  <c r="BD231" i="6"/>
  <c r="BD227" i="6"/>
  <c r="BC227" i="6"/>
  <c r="AZ227" i="6"/>
  <c r="AY227" i="6"/>
  <c r="AY221" i="6"/>
  <c r="AZ221" i="6"/>
  <c r="BC221" i="6"/>
  <c r="BD221" i="6"/>
  <c r="AY222" i="6"/>
  <c r="AZ222" i="6"/>
  <c r="BC222" i="6"/>
  <c r="BD222" i="6"/>
  <c r="AY223" i="6"/>
  <c r="AZ223" i="6"/>
  <c r="BC223" i="6"/>
  <c r="BD223" i="6"/>
  <c r="AY224" i="6"/>
  <c r="AZ224" i="6"/>
  <c r="BC224" i="6"/>
  <c r="BD224" i="6"/>
  <c r="BD220" i="6"/>
  <c r="BC220" i="6"/>
  <c r="AZ220" i="6"/>
  <c r="AY220" i="6"/>
  <c r="AY214" i="6"/>
  <c r="AZ214" i="6"/>
  <c r="BC214" i="6"/>
  <c r="BD214" i="6"/>
  <c r="AY215" i="6"/>
  <c r="AZ215" i="6"/>
  <c r="BC215" i="6"/>
  <c r="BD215" i="6"/>
  <c r="AY216" i="6"/>
  <c r="AZ216" i="6"/>
  <c r="BC216" i="6"/>
  <c r="BD216" i="6"/>
  <c r="AY217" i="6"/>
  <c r="AZ217" i="6"/>
  <c r="BC217" i="6"/>
  <c r="BD217" i="6"/>
  <c r="BD213" i="6"/>
  <c r="BC213" i="6"/>
  <c r="AZ213" i="6"/>
  <c r="AY213" i="6"/>
  <c r="AY207" i="6"/>
  <c r="AZ207" i="6"/>
  <c r="BC207" i="6"/>
  <c r="BD207" i="6"/>
  <c r="AY208" i="6"/>
  <c r="AZ208" i="6"/>
  <c r="BC208" i="6"/>
  <c r="BD208" i="6"/>
  <c r="AY209" i="6"/>
  <c r="AZ209" i="6"/>
  <c r="BC209" i="6"/>
  <c r="BD209" i="6"/>
  <c r="AY210" i="6"/>
  <c r="AZ210" i="6"/>
  <c r="BC210" i="6"/>
  <c r="BD210" i="6"/>
  <c r="BD206" i="6"/>
  <c r="BC206" i="6"/>
  <c r="AZ206" i="6"/>
  <c r="AY206" i="6"/>
  <c r="AY193" i="6"/>
  <c r="AZ193" i="6"/>
  <c r="BC193" i="6"/>
  <c r="BD193" i="6"/>
  <c r="AY194" i="6"/>
  <c r="AZ194" i="6"/>
  <c r="BC194" i="6"/>
  <c r="BD194" i="6"/>
  <c r="AY195" i="6"/>
  <c r="AZ195" i="6"/>
  <c r="BC195" i="6"/>
  <c r="BD195" i="6"/>
  <c r="AY196" i="6"/>
  <c r="AZ196" i="6"/>
  <c r="BC196" i="6"/>
  <c r="BD196" i="6"/>
  <c r="BD192" i="6"/>
  <c r="BC192" i="6"/>
  <c r="AZ192" i="6"/>
  <c r="AY192" i="6"/>
  <c r="AY200" i="6"/>
  <c r="AZ200" i="6"/>
  <c r="BC200" i="6"/>
  <c r="BD200" i="6"/>
  <c r="AY201" i="6"/>
  <c r="AZ201" i="6"/>
  <c r="BC201" i="6"/>
  <c r="BD201" i="6"/>
  <c r="AY202" i="6"/>
  <c r="AZ202" i="6"/>
  <c r="BC202" i="6"/>
  <c r="BD202" i="6"/>
  <c r="AY203" i="6"/>
  <c r="AZ203" i="6"/>
  <c r="BC203" i="6"/>
  <c r="BD203" i="6"/>
  <c r="BD199" i="6"/>
  <c r="BC199" i="6"/>
  <c r="AZ199" i="6"/>
  <c r="AY199" i="6"/>
  <c r="AY186" i="6"/>
  <c r="AZ186" i="6"/>
  <c r="BC186" i="6"/>
  <c r="BD186" i="6"/>
  <c r="AY187" i="6"/>
  <c r="AZ187" i="6"/>
  <c r="BC187" i="6"/>
  <c r="BD187" i="6"/>
  <c r="AY188" i="6"/>
  <c r="AZ188" i="6"/>
  <c r="BC188" i="6"/>
  <c r="BD188" i="6"/>
  <c r="AY189" i="6"/>
  <c r="AZ189" i="6"/>
  <c r="BC189" i="6"/>
  <c r="BD189" i="6"/>
  <c r="BD185" i="6"/>
  <c r="BC185" i="6"/>
  <c r="AZ185" i="6"/>
  <c r="AY185" i="6"/>
  <c r="AY179" i="6"/>
  <c r="AZ179" i="6"/>
  <c r="BC179" i="6"/>
  <c r="BD179" i="6"/>
  <c r="AY180" i="6"/>
  <c r="AZ180" i="6"/>
  <c r="BC180" i="6"/>
  <c r="BD180" i="6"/>
  <c r="AY181" i="6"/>
  <c r="AZ181" i="6"/>
  <c r="BC181" i="6"/>
  <c r="BD181" i="6"/>
  <c r="AY182" i="6"/>
  <c r="AZ182" i="6"/>
  <c r="BC182" i="6"/>
  <c r="BD182" i="6"/>
  <c r="BD178" i="6"/>
  <c r="BC178" i="6"/>
  <c r="AZ178" i="6"/>
  <c r="AY178" i="6"/>
  <c r="AY172" i="6"/>
  <c r="AZ172" i="6"/>
  <c r="BC172" i="6"/>
  <c r="BD172" i="6"/>
  <c r="AY173" i="6"/>
  <c r="AZ173" i="6"/>
  <c r="BC173" i="6"/>
  <c r="BD173" i="6"/>
  <c r="AY174" i="6"/>
  <c r="AZ174" i="6"/>
  <c r="BC174" i="6"/>
  <c r="BD174" i="6"/>
  <c r="AY175" i="6"/>
  <c r="AZ175" i="6"/>
  <c r="BC175" i="6"/>
  <c r="BD175" i="6"/>
  <c r="BD171" i="6"/>
  <c r="BC171" i="6"/>
  <c r="AZ171" i="6"/>
  <c r="AY171" i="6"/>
  <c r="AY165" i="6"/>
  <c r="AZ165" i="6"/>
  <c r="BC165" i="6"/>
  <c r="BD165" i="6"/>
  <c r="AY166" i="6"/>
  <c r="AZ166" i="6"/>
  <c r="BC166" i="6"/>
  <c r="BD166" i="6"/>
  <c r="AY167" i="6"/>
  <c r="AZ167" i="6"/>
  <c r="BC167" i="6"/>
  <c r="BD167" i="6"/>
  <c r="AY168" i="6"/>
  <c r="AZ168" i="6"/>
  <c r="BC168" i="6"/>
  <c r="BD168" i="6"/>
  <c r="BD164" i="6"/>
  <c r="BC164" i="6"/>
  <c r="AZ164" i="6"/>
  <c r="AY164" i="6"/>
  <c r="AY158" i="6"/>
  <c r="AZ158" i="6"/>
  <c r="BC158" i="6"/>
  <c r="BD158" i="6"/>
  <c r="AY159" i="6"/>
  <c r="AZ159" i="6"/>
  <c r="BC159" i="6"/>
  <c r="BD159" i="6"/>
  <c r="AY160" i="6"/>
  <c r="BC160" i="6"/>
  <c r="BD160" i="6"/>
  <c r="AY161" i="6"/>
  <c r="AZ161" i="6"/>
  <c r="BC161" i="6"/>
  <c r="BD161" i="6"/>
  <c r="BD157" i="6"/>
  <c r="BC157" i="6"/>
  <c r="AY157" i="6"/>
  <c r="AY151" i="6"/>
  <c r="AZ151" i="6"/>
  <c r="BC151" i="6"/>
  <c r="BD151" i="6"/>
  <c r="AY152" i="6"/>
  <c r="BC152" i="6"/>
  <c r="BD152" i="6"/>
  <c r="AY153" i="6"/>
  <c r="BC153" i="6"/>
  <c r="BD153" i="6"/>
  <c r="AY154" i="6"/>
  <c r="BC154" i="6"/>
  <c r="BD154" i="6"/>
  <c r="BD150" i="6"/>
  <c r="BC150" i="6"/>
  <c r="AY150" i="6"/>
  <c r="AY144" i="6"/>
  <c r="AZ144" i="6"/>
  <c r="BC144" i="6"/>
  <c r="BD144" i="6"/>
  <c r="AY145" i="6"/>
  <c r="AZ145" i="6"/>
  <c r="BC145" i="6"/>
  <c r="BD145" i="6"/>
  <c r="AY146" i="6"/>
  <c r="AZ146" i="6"/>
  <c r="BC146" i="6"/>
  <c r="BD146" i="6"/>
  <c r="AY147" i="6"/>
  <c r="AZ147" i="6"/>
  <c r="BC147" i="6"/>
  <c r="BD147" i="6"/>
  <c r="BC143" i="6"/>
  <c r="BD143" i="6"/>
  <c r="AZ143" i="6"/>
  <c r="AY143" i="6"/>
  <c r="AY137" i="6"/>
  <c r="AZ137" i="6"/>
  <c r="BC137" i="6"/>
  <c r="BD137" i="6"/>
  <c r="AY138" i="6"/>
  <c r="BC138" i="6"/>
  <c r="BD138" i="6"/>
  <c r="AY139" i="6"/>
  <c r="BC139" i="6"/>
  <c r="BD139" i="6"/>
  <c r="AY140" i="6"/>
  <c r="AZ140" i="6"/>
  <c r="BC140" i="6"/>
  <c r="BD140" i="6"/>
  <c r="BD136" i="6"/>
  <c r="BC136" i="6"/>
  <c r="AY136" i="6"/>
  <c r="AY123" i="6"/>
  <c r="AZ123" i="6"/>
  <c r="BC123" i="6"/>
  <c r="BD123" i="6"/>
  <c r="AY124" i="6"/>
  <c r="BC124" i="6"/>
  <c r="BD124" i="6"/>
  <c r="AY125" i="6"/>
  <c r="BC125" i="6"/>
  <c r="BD125" i="6"/>
  <c r="AY126" i="6"/>
  <c r="AZ126" i="6"/>
  <c r="BC126" i="6"/>
  <c r="BD126" i="6"/>
  <c r="BD122" i="6"/>
  <c r="BC122" i="6"/>
  <c r="AY122" i="6"/>
  <c r="AY116" i="6"/>
  <c r="AZ116" i="6"/>
  <c r="BC116" i="6"/>
  <c r="BD116" i="6"/>
  <c r="AY117" i="6"/>
  <c r="AZ117" i="6"/>
  <c r="BC117" i="6"/>
  <c r="BD117" i="6"/>
  <c r="AY118" i="6"/>
  <c r="AZ118" i="6"/>
  <c r="BC118" i="6"/>
  <c r="BD118" i="6"/>
  <c r="AY119" i="6"/>
  <c r="AZ119" i="6"/>
  <c r="BC119" i="6"/>
  <c r="BD119" i="6"/>
  <c r="BD115" i="6"/>
  <c r="BC115" i="6"/>
  <c r="AZ115" i="6"/>
  <c r="AY115" i="6"/>
  <c r="AY109" i="6"/>
  <c r="AZ109" i="6"/>
  <c r="BC109" i="6"/>
  <c r="BD109" i="6"/>
  <c r="AY110" i="6"/>
  <c r="AZ110" i="6"/>
  <c r="BC110" i="6"/>
  <c r="BD110" i="6"/>
  <c r="AY111" i="6"/>
  <c r="AZ111" i="6"/>
  <c r="BC111" i="6"/>
  <c r="BD111" i="6"/>
  <c r="AY112" i="6"/>
  <c r="AZ112" i="6"/>
  <c r="BC112" i="6"/>
  <c r="BD112" i="6"/>
  <c r="BD108" i="6"/>
  <c r="BC108" i="6"/>
  <c r="AZ108" i="6"/>
  <c r="AY108" i="6"/>
  <c r="AY102" i="6"/>
  <c r="AZ102" i="6"/>
  <c r="BC102" i="6"/>
  <c r="BD102" i="6"/>
  <c r="AY103" i="6"/>
  <c r="AZ103" i="6"/>
  <c r="BC103" i="6"/>
  <c r="BD103" i="6"/>
  <c r="AY104" i="6"/>
  <c r="AZ104" i="6"/>
  <c r="BC104" i="6"/>
  <c r="BD104" i="6"/>
  <c r="AY105" i="6"/>
  <c r="AZ105" i="6"/>
  <c r="BC105" i="6"/>
  <c r="BD105" i="6"/>
  <c r="BD101" i="6"/>
  <c r="BC101" i="6"/>
  <c r="AZ101" i="6"/>
  <c r="AY101" i="6"/>
  <c r="AY95" i="6"/>
  <c r="AZ95" i="6"/>
  <c r="BC95" i="6"/>
  <c r="BD95" i="6"/>
  <c r="AY96" i="6"/>
  <c r="AZ96" i="6"/>
  <c r="BC96" i="6"/>
  <c r="BD96" i="6"/>
  <c r="AY97" i="6"/>
  <c r="AZ97" i="6"/>
  <c r="BC97" i="6"/>
  <c r="BD97" i="6"/>
  <c r="AY98" i="6"/>
  <c r="AZ98" i="6"/>
  <c r="BC98" i="6"/>
  <c r="BD98" i="6"/>
  <c r="BD94" i="6"/>
  <c r="BC94" i="6"/>
  <c r="AZ94" i="6"/>
  <c r="AY94" i="6"/>
  <c r="AY130" i="6"/>
  <c r="AZ130" i="6"/>
  <c r="BC130" i="6"/>
  <c r="BD130" i="6"/>
  <c r="AY131" i="6"/>
  <c r="AZ131" i="6"/>
  <c r="BC131" i="6"/>
  <c r="BD131" i="6"/>
  <c r="AY132" i="6"/>
  <c r="AZ132" i="6"/>
  <c r="BC132" i="6"/>
  <c r="BD132" i="6"/>
  <c r="AY133" i="6"/>
  <c r="AZ133" i="6"/>
  <c r="BC133" i="6"/>
  <c r="BD133" i="6"/>
  <c r="BD129" i="6"/>
  <c r="BC129" i="6"/>
  <c r="AZ129" i="6"/>
  <c r="AY129" i="6"/>
  <c r="AY88" i="6"/>
  <c r="AZ88" i="6"/>
  <c r="BC88" i="6"/>
  <c r="BD88" i="6"/>
  <c r="AY89" i="6"/>
  <c r="AZ89" i="6"/>
  <c r="BC89" i="6"/>
  <c r="BD89" i="6"/>
  <c r="AY90" i="6"/>
  <c r="AZ90" i="6"/>
  <c r="BC90" i="6"/>
  <c r="BD90" i="6"/>
  <c r="AY91" i="6"/>
  <c r="AZ91" i="6"/>
  <c r="BC91" i="6"/>
  <c r="BD91" i="6"/>
  <c r="BD87" i="6"/>
  <c r="BC87" i="6"/>
  <c r="AY87" i="6"/>
  <c r="AY81" i="6"/>
  <c r="AZ81" i="6"/>
  <c r="BC81" i="6"/>
  <c r="BD81" i="6"/>
  <c r="AY82" i="6"/>
  <c r="AZ82" i="6"/>
  <c r="BC82" i="6"/>
  <c r="BD82" i="6"/>
  <c r="AY83" i="6"/>
  <c r="AZ83" i="6"/>
  <c r="BC83" i="6"/>
  <c r="BD83" i="6"/>
  <c r="AY84" i="6"/>
  <c r="AZ84" i="6"/>
  <c r="BC84" i="6"/>
  <c r="BD84" i="6"/>
  <c r="BD80" i="6"/>
  <c r="BC80" i="6"/>
  <c r="AY80" i="6"/>
  <c r="AY74" i="6"/>
  <c r="AZ74" i="6"/>
  <c r="BC74" i="6"/>
  <c r="BD74" i="6"/>
  <c r="AY75" i="6"/>
  <c r="AZ75" i="6"/>
  <c r="BC75" i="6"/>
  <c r="BD75" i="6"/>
  <c r="AY76" i="6"/>
  <c r="AZ76" i="6"/>
  <c r="BC76" i="6"/>
  <c r="BD76" i="6"/>
  <c r="AY77" i="6"/>
  <c r="AZ77" i="6"/>
  <c r="BC77" i="6"/>
  <c r="BD77" i="6"/>
  <c r="AZ73" i="6"/>
  <c r="AY73" i="6"/>
  <c r="BD73" i="6"/>
  <c r="BC73" i="6"/>
  <c r="AY60" i="6"/>
  <c r="AZ60" i="6"/>
  <c r="BC60" i="6"/>
  <c r="BD60" i="6"/>
  <c r="AY61" i="6"/>
  <c r="AZ61" i="6"/>
  <c r="BC61" i="6"/>
  <c r="BD61" i="6"/>
  <c r="AY62" i="6"/>
  <c r="AZ62" i="6"/>
  <c r="BC62" i="6"/>
  <c r="BD62" i="6"/>
  <c r="AY63" i="6"/>
  <c r="AZ63" i="6"/>
  <c r="BC63" i="6"/>
  <c r="BD63" i="6"/>
  <c r="BD59" i="6"/>
  <c r="BC59" i="6"/>
  <c r="AZ59" i="6"/>
  <c r="AY59" i="6"/>
  <c r="AY67" i="6"/>
  <c r="AZ67" i="6"/>
  <c r="BC67" i="6"/>
  <c r="BD67" i="6"/>
  <c r="AY68" i="6"/>
  <c r="AZ68" i="6"/>
  <c r="BC68" i="6"/>
  <c r="BD68" i="6"/>
  <c r="AY69" i="6"/>
  <c r="AZ69" i="6"/>
  <c r="BC69" i="6"/>
  <c r="BD69" i="6"/>
  <c r="AY70" i="6"/>
  <c r="BC70" i="6"/>
  <c r="BD70" i="6"/>
  <c r="BD66" i="6"/>
  <c r="BC66" i="6"/>
  <c r="AZ66" i="6"/>
  <c r="AY66" i="6"/>
  <c r="BD41" i="6"/>
  <c r="AY41" i="6"/>
  <c r="AY42" i="6"/>
  <c r="AZ42" i="6"/>
  <c r="BC42" i="6"/>
  <c r="BD42" i="6"/>
  <c r="AY39" i="6"/>
  <c r="AZ39" i="6"/>
  <c r="BC39" i="6"/>
  <c r="BD39" i="6"/>
  <c r="AY40" i="6"/>
  <c r="AZ40" i="6"/>
  <c r="BC40" i="6"/>
  <c r="BD40" i="6"/>
  <c r="AZ41" i="6"/>
  <c r="BC41" i="6"/>
  <c r="BD38" i="6"/>
  <c r="BC38" i="6"/>
  <c r="AZ38" i="6"/>
  <c r="AY38" i="6"/>
  <c r="E6" i="4"/>
  <c r="AY46" i="6"/>
  <c r="AZ46" i="6"/>
  <c r="BC46" i="6"/>
  <c r="BD46" i="6"/>
  <c r="AY47" i="6"/>
  <c r="AZ47" i="6"/>
  <c r="BC47" i="6"/>
  <c r="BD47" i="6"/>
  <c r="AY48" i="6"/>
  <c r="AZ48" i="6"/>
  <c r="BC48" i="6"/>
  <c r="BD48" i="6"/>
  <c r="AY49" i="6"/>
  <c r="AZ49" i="6"/>
  <c r="BC49" i="6"/>
  <c r="BD49" i="6"/>
  <c r="AY45" i="6"/>
  <c r="BD45" i="6"/>
  <c r="BC45" i="6"/>
  <c r="AY53" i="6"/>
  <c r="AZ53" i="6"/>
  <c r="BC53" i="6"/>
  <c r="BD53" i="6"/>
  <c r="AY54" i="6"/>
  <c r="AZ54" i="6"/>
  <c r="BC54" i="6"/>
  <c r="BD54" i="6"/>
  <c r="AY55" i="6"/>
  <c r="AZ55" i="6"/>
  <c r="BC55" i="6"/>
  <c r="BD55" i="6"/>
  <c r="AY56" i="6"/>
  <c r="AZ56" i="6"/>
  <c r="BC56" i="6"/>
  <c r="BD56" i="6"/>
  <c r="AZ52" i="6"/>
  <c r="BD52" i="6"/>
  <c r="BC52" i="6"/>
  <c r="AY52" i="6"/>
  <c r="BD31" i="6"/>
  <c r="BC31" i="6"/>
  <c r="AZ31" i="6"/>
  <c r="BD24" i="6"/>
  <c r="BC24" i="6"/>
  <c r="AY31" i="6"/>
  <c r="BD35" i="6"/>
  <c r="BC35" i="6"/>
  <c r="AZ35" i="6"/>
  <c r="AY35" i="6"/>
  <c r="BD34" i="6"/>
  <c r="BC34" i="6"/>
  <c r="AZ34" i="6"/>
  <c r="AY34" i="6"/>
  <c r="BD33" i="6"/>
  <c r="BC33" i="6"/>
  <c r="AZ33" i="6"/>
  <c r="AY33" i="6"/>
  <c r="BD32" i="6"/>
  <c r="BC32" i="6"/>
  <c r="AZ32" i="6"/>
  <c r="AY32" i="6"/>
  <c r="AY24" i="6"/>
  <c r="BD28" i="6"/>
  <c r="BC28" i="6"/>
  <c r="AZ28" i="6"/>
  <c r="AY28" i="6"/>
  <c r="BD27" i="6"/>
  <c r="BC27" i="6"/>
  <c r="AZ27" i="6"/>
  <c r="AY27" i="6"/>
  <c r="BD26" i="6"/>
  <c r="BC26" i="6"/>
  <c r="AZ26" i="6"/>
  <c r="AY26" i="6"/>
  <c r="BD25" i="6"/>
  <c r="BC25" i="6"/>
  <c r="AZ25" i="6"/>
  <c r="AY25" i="6"/>
  <c r="AZ21" i="6"/>
  <c r="AZ20" i="6"/>
  <c r="AZ19" i="6"/>
  <c r="AZ18" i="6"/>
  <c r="AZ10" i="6"/>
  <c r="AZ14" i="6"/>
  <c r="AZ13" i="6"/>
  <c r="AZ12" i="6"/>
  <c r="AZ11" i="6"/>
  <c r="AZ4" i="6"/>
  <c r="AZ5" i="6"/>
  <c r="AZ6" i="6"/>
  <c r="AZ7" i="6"/>
  <c r="AZ3" i="6"/>
  <c r="AY21" i="6"/>
  <c r="BC21" i="6"/>
  <c r="BD21" i="6"/>
  <c r="AY18" i="6"/>
  <c r="BC18" i="6"/>
  <c r="BD18" i="6"/>
  <c r="AY19" i="6"/>
  <c r="BC19" i="6"/>
  <c r="BD19" i="6"/>
  <c r="AY20" i="6"/>
  <c r="BC20" i="6"/>
  <c r="BD20" i="6"/>
  <c r="BD17" i="6"/>
  <c r="BC17" i="6"/>
  <c r="AY17" i="6"/>
  <c r="AY14" i="6"/>
  <c r="AY11" i="6"/>
  <c r="BC11" i="6"/>
  <c r="BD11" i="6"/>
  <c r="AY12" i="6"/>
  <c r="BC12" i="6"/>
  <c r="BD12" i="6"/>
  <c r="AY13" i="6"/>
  <c r="BC13" i="6"/>
  <c r="BD13" i="6"/>
  <c r="BC14" i="6"/>
  <c r="BD14" i="6"/>
  <c r="BD10" i="6"/>
  <c r="BC10" i="6"/>
  <c r="AY10" i="6"/>
  <c r="H212" i="6"/>
  <c r="G212" i="6"/>
  <c r="F212" i="6"/>
  <c r="H93" i="6"/>
  <c r="AH95" i="6" s="1"/>
  <c r="H72" i="6"/>
  <c r="H44" i="6"/>
  <c r="BB47" i="6" s="1"/>
  <c r="H9" i="6"/>
  <c r="BB11" i="6" s="1"/>
  <c r="AY5" i="6"/>
  <c r="AY4" i="6"/>
  <c r="AY6" i="6"/>
  <c r="AY7" i="6"/>
  <c r="AY3" i="6"/>
  <c r="BC4" i="6"/>
  <c r="BD4" i="6"/>
  <c r="BC5" i="6"/>
  <c r="BD5" i="6"/>
  <c r="BC6" i="6"/>
  <c r="BD6" i="6"/>
  <c r="BC7" i="6"/>
  <c r="BD7" i="6"/>
  <c r="BD3" i="6"/>
  <c r="BC3" i="6"/>
  <c r="H2" i="6"/>
  <c r="AH3" i="6" s="1"/>
  <c r="H156" i="6"/>
  <c r="H177" i="6"/>
  <c r="H163" i="6"/>
  <c r="H255" i="6"/>
  <c r="H248" i="6"/>
  <c r="H114" i="6"/>
  <c r="AH115" i="6" s="1"/>
  <c r="H23" i="6"/>
  <c r="BB26" i="6" s="1"/>
  <c r="H16" i="6"/>
  <c r="BF19" i="6" s="1"/>
  <c r="H100" i="6"/>
  <c r="AH103" i="6" s="1"/>
  <c r="H205" i="6"/>
  <c r="H37" i="6"/>
  <c r="BE42" i="6" s="1"/>
  <c r="H121" i="6"/>
  <c r="AH124" i="6" s="1"/>
  <c r="H198" i="6"/>
  <c r="H65" i="6"/>
  <c r="BE67" i="6" s="1"/>
  <c r="H191" i="6"/>
  <c r="H58" i="6"/>
  <c r="BF61" i="6" s="1"/>
  <c r="H51" i="6"/>
  <c r="BB53" i="6" s="1"/>
  <c r="H86" i="6"/>
  <c r="AH88" i="6" s="1"/>
  <c r="H79" i="6"/>
  <c r="AH81" i="6" s="1"/>
  <c r="H241" i="6"/>
  <c r="H234" i="6"/>
  <c r="H219" i="6"/>
  <c r="H170" i="6"/>
  <c r="H149" i="6"/>
  <c r="H128" i="6"/>
  <c r="AH130" i="6" s="1"/>
  <c r="H142" i="6"/>
  <c r="H226" i="6"/>
  <c r="H184" i="6"/>
  <c r="H30" i="6"/>
  <c r="BF35" i="6" s="1"/>
  <c r="H107" i="6"/>
  <c r="AH109" i="6" s="1"/>
  <c r="AH62" i="2"/>
  <c r="AH63" i="2"/>
  <c r="H135" i="6"/>
  <c r="AH140" i="6" s="1"/>
  <c r="Z2" i="2"/>
  <c r="Y2" i="2"/>
  <c r="F219" i="6"/>
  <c r="G219" i="6"/>
  <c r="G241" i="6"/>
  <c r="G234" i="6"/>
  <c r="F241" i="6"/>
  <c r="F234" i="6"/>
  <c r="AL2" i="2"/>
  <c r="G156" i="6"/>
  <c r="G177" i="6"/>
  <c r="G163" i="6"/>
  <c r="G255" i="6"/>
  <c r="G248" i="6"/>
  <c r="G114" i="6"/>
  <c r="G23" i="6"/>
  <c r="AX24" i="6" s="1"/>
  <c r="G16" i="6"/>
  <c r="G44" i="6"/>
  <c r="G93" i="6"/>
  <c r="G100" i="6"/>
  <c r="G205" i="6"/>
  <c r="G9" i="6"/>
  <c r="G37" i="6"/>
  <c r="G121" i="6"/>
  <c r="G198" i="6"/>
  <c r="G2" i="6"/>
  <c r="G65" i="6"/>
  <c r="G191" i="6"/>
  <c r="G58" i="6"/>
  <c r="G51" i="6"/>
  <c r="G86" i="6"/>
  <c r="G79" i="6"/>
  <c r="U81" i="6" s="1"/>
  <c r="T81" i="6" s="1"/>
  <c r="W81" i="6" s="1"/>
  <c r="G170" i="6"/>
  <c r="G149" i="6"/>
  <c r="G128" i="6"/>
  <c r="G142" i="6"/>
  <c r="G72" i="6"/>
  <c r="G226" i="6"/>
  <c r="W230" i="6" s="1"/>
  <c r="G184" i="6"/>
  <c r="G30" i="6"/>
  <c r="G107" i="6"/>
  <c r="F156" i="6"/>
  <c r="F177" i="6"/>
  <c r="F163" i="6"/>
  <c r="F255" i="6"/>
  <c r="F248" i="6"/>
  <c r="F114" i="6"/>
  <c r="F23" i="6"/>
  <c r="AV24" i="6" s="1"/>
  <c r="BA24" i="6" s="1"/>
  <c r="F16" i="6"/>
  <c r="F44" i="6"/>
  <c r="F93" i="6"/>
  <c r="F100" i="6"/>
  <c r="F205" i="6"/>
  <c r="F9" i="6"/>
  <c r="F37" i="6"/>
  <c r="F121" i="6"/>
  <c r="F198" i="6"/>
  <c r="F2" i="6"/>
  <c r="F65" i="6"/>
  <c r="F191" i="6"/>
  <c r="F58" i="6"/>
  <c r="F51" i="6"/>
  <c r="F86" i="6"/>
  <c r="F79" i="6"/>
  <c r="F170" i="6"/>
  <c r="F149" i="6"/>
  <c r="F128" i="6"/>
  <c r="F142" i="6"/>
  <c r="F72" i="6"/>
  <c r="O74" i="6" s="1"/>
  <c r="N74" i="6" s="1"/>
  <c r="Q74" i="6" s="1"/>
  <c r="F226" i="6"/>
  <c r="F184" i="6"/>
  <c r="F30" i="6"/>
  <c r="F107" i="6"/>
  <c r="G135" i="6"/>
  <c r="F135" i="6"/>
  <c r="P65" i="2"/>
  <c r="N65" i="2"/>
  <c r="M65" i="2"/>
  <c r="K65" i="2"/>
  <c r="J65" i="2"/>
  <c r="H65" i="2"/>
  <c r="G65" i="2"/>
  <c r="F65" i="2"/>
  <c r="E65" i="2"/>
  <c r="D65" i="2"/>
  <c r="C65" i="2"/>
  <c r="B65" i="2"/>
  <c r="P64" i="2"/>
  <c r="N64" i="2"/>
  <c r="M64" i="2"/>
  <c r="K64" i="2"/>
  <c r="J64" i="2"/>
  <c r="H64" i="2"/>
  <c r="G64" i="2"/>
  <c r="F64" i="2"/>
  <c r="E64" i="2"/>
  <c r="D64" i="2"/>
  <c r="C64" i="2"/>
  <c r="B64" i="2"/>
  <c r="O63" i="2"/>
  <c r="L63" i="2"/>
  <c r="I63" i="2"/>
  <c r="O62" i="2"/>
  <c r="L62" i="2"/>
  <c r="I62" i="2"/>
  <c r="O61" i="2"/>
  <c r="L61" i="2"/>
  <c r="I61" i="2"/>
  <c r="O60" i="2"/>
  <c r="L60" i="2"/>
  <c r="I60" i="2"/>
  <c r="O59" i="2"/>
  <c r="L59" i="2"/>
  <c r="I59" i="2"/>
  <c r="O58" i="2"/>
  <c r="L58" i="2"/>
  <c r="I58" i="2"/>
  <c r="O57" i="2"/>
  <c r="L57" i="2"/>
  <c r="I57" i="2"/>
  <c r="O56" i="2"/>
  <c r="L56" i="2"/>
  <c r="I56" i="2"/>
  <c r="O55" i="2"/>
  <c r="L55" i="2"/>
  <c r="I55" i="2"/>
  <c r="O54" i="2"/>
  <c r="L54" i="2"/>
  <c r="I54" i="2"/>
  <c r="O53" i="2"/>
  <c r="L53" i="2"/>
  <c r="I53" i="2"/>
  <c r="O52" i="2"/>
  <c r="L52" i="2"/>
  <c r="I52" i="2"/>
  <c r="O51" i="2"/>
  <c r="L51" i="2"/>
  <c r="I51" i="2"/>
  <c r="O50" i="2"/>
  <c r="L50" i="2"/>
  <c r="I50" i="2"/>
  <c r="P49" i="2"/>
  <c r="N49" i="2"/>
  <c r="M49" i="2"/>
  <c r="K49" i="2"/>
  <c r="J49" i="2"/>
  <c r="H49" i="2"/>
  <c r="G49" i="2"/>
  <c r="F49" i="2"/>
  <c r="E49" i="2"/>
  <c r="D49" i="2"/>
  <c r="C49" i="2"/>
  <c r="B49" i="2"/>
  <c r="O48" i="2"/>
  <c r="L48" i="2"/>
  <c r="I48" i="2"/>
  <c r="O47" i="2"/>
  <c r="L47" i="2"/>
  <c r="I47" i="2"/>
  <c r="O46" i="2"/>
  <c r="L46" i="2"/>
  <c r="I46" i="2"/>
  <c r="O45" i="2"/>
  <c r="L45" i="2"/>
  <c r="I45" i="2"/>
  <c r="O44" i="2"/>
  <c r="L44" i="2"/>
  <c r="I44" i="2"/>
  <c r="O43" i="2"/>
  <c r="L43" i="2"/>
  <c r="I43" i="2"/>
  <c r="P42" i="2"/>
  <c r="N42" i="2"/>
  <c r="M42" i="2"/>
  <c r="K42" i="2"/>
  <c r="J42" i="2"/>
  <c r="H42" i="2"/>
  <c r="G42" i="2"/>
  <c r="F42" i="2"/>
  <c r="E42" i="2"/>
  <c r="D42" i="2"/>
  <c r="C42" i="2"/>
  <c r="B42" i="2"/>
  <c r="O35" i="2"/>
  <c r="L35" i="2"/>
  <c r="I35" i="2"/>
  <c r="O34" i="2"/>
  <c r="L34" i="2"/>
  <c r="I34" i="2"/>
  <c r="O33" i="2"/>
  <c r="L33" i="2"/>
  <c r="I33" i="2"/>
  <c r="P32" i="2"/>
  <c r="N32" i="2"/>
  <c r="M32" i="2"/>
  <c r="K32" i="2"/>
  <c r="J32" i="2"/>
  <c r="H32" i="2"/>
  <c r="G32" i="2"/>
  <c r="F32" i="2"/>
  <c r="E32" i="2"/>
  <c r="D32" i="2"/>
  <c r="C32" i="2"/>
  <c r="B32" i="2"/>
  <c r="O31" i="2"/>
  <c r="L31" i="2"/>
  <c r="I31" i="2"/>
  <c r="P30" i="2"/>
  <c r="N30" i="2"/>
  <c r="M30" i="2"/>
  <c r="K30" i="2"/>
  <c r="J30" i="2"/>
  <c r="H30" i="2"/>
  <c r="G30" i="2"/>
  <c r="F30" i="2"/>
  <c r="E30" i="2"/>
  <c r="D30" i="2"/>
  <c r="C30" i="2"/>
  <c r="B30" i="2"/>
  <c r="O29" i="2"/>
  <c r="L29" i="2"/>
  <c r="I29" i="2"/>
  <c r="O28" i="2"/>
  <c r="L28" i="2"/>
  <c r="I28" i="2"/>
  <c r="O27" i="2"/>
  <c r="L27" i="2"/>
  <c r="I27" i="2"/>
  <c r="O26" i="2"/>
  <c r="L26" i="2"/>
  <c r="I26" i="2"/>
  <c r="P25" i="2"/>
  <c r="N25" i="2"/>
  <c r="M25" i="2"/>
  <c r="K25" i="2"/>
  <c r="J25" i="2"/>
  <c r="H25" i="2"/>
  <c r="G25" i="2"/>
  <c r="F25" i="2"/>
  <c r="E25" i="2"/>
  <c r="D25" i="2"/>
  <c r="C25" i="2"/>
  <c r="B25" i="2"/>
  <c r="O24" i="2"/>
  <c r="L24" i="2"/>
  <c r="I24" i="2"/>
  <c r="O23" i="2"/>
  <c r="L23" i="2"/>
  <c r="I23" i="2"/>
  <c r="O22" i="2"/>
  <c r="L22" i="2"/>
  <c r="I22" i="2"/>
  <c r="O21" i="2"/>
  <c r="L21" i="2"/>
  <c r="I21" i="2"/>
  <c r="P20" i="2"/>
  <c r="N20" i="2"/>
  <c r="M20" i="2"/>
  <c r="K20" i="2"/>
  <c r="J20" i="2"/>
  <c r="H20" i="2"/>
  <c r="G20" i="2"/>
  <c r="F20" i="2"/>
  <c r="E20" i="2"/>
  <c r="D20" i="2"/>
  <c r="C20" i="2"/>
  <c r="B20" i="2"/>
  <c r="O19" i="2"/>
  <c r="L19" i="2"/>
  <c r="I19" i="2"/>
  <c r="P18" i="2"/>
  <c r="N18" i="2"/>
  <c r="M18" i="2"/>
  <c r="K18" i="2"/>
  <c r="J18" i="2"/>
  <c r="H18" i="2"/>
  <c r="G18" i="2"/>
  <c r="F18" i="2"/>
  <c r="E18" i="2"/>
  <c r="D18" i="2"/>
  <c r="C18" i="2"/>
  <c r="B18" i="2"/>
  <c r="O17" i="2"/>
  <c r="L17" i="2"/>
  <c r="I17" i="2"/>
  <c r="O16" i="2"/>
  <c r="L16" i="2"/>
  <c r="I16" i="2"/>
  <c r="O15" i="2"/>
  <c r="L15" i="2"/>
  <c r="I15" i="2"/>
  <c r="O14" i="2"/>
  <c r="L14" i="2"/>
  <c r="I14" i="2"/>
  <c r="O13" i="2"/>
  <c r="L13" i="2"/>
  <c r="I13" i="2"/>
  <c r="O12" i="2"/>
  <c r="L12" i="2"/>
  <c r="I12" i="2"/>
  <c r="O11" i="2"/>
  <c r="L11" i="2"/>
  <c r="I11" i="2"/>
  <c r="O10" i="2"/>
  <c r="L10" i="2"/>
  <c r="I10" i="2"/>
  <c r="P9" i="2"/>
  <c r="N9" i="2"/>
  <c r="M9" i="2"/>
  <c r="K9" i="2"/>
  <c r="J9" i="2"/>
  <c r="H9" i="2"/>
  <c r="G9" i="2"/>
  <c r="F9" i="2"/>
  <c r="E9" i="2"/>
  <c r="D9" i="2"/>
  <c r="C9" i="2"/>
  <c r="B9" i="2"/>
  <c r="O8" i="2"/>
  <c r="L8" i="2"/>
  <c r="I8" i="2"/>
  <c r="O7" i="2"/>
  <c r="L7" i="2"/>
  <c r="I7" i="2"/>
  <c r="P6" i="2"/>
  <c r="N6" i="2"/>
  <c r="M6" i="2"/>
  <c r="K6" i="2"/>
  <c r="J6" i="2"/>
  <c r="H6" i="2"/>
  <c r="G6" i="2"/>
  <c r="F6" i="2"/>
  <c r="E6" i="2"/>
  <c r="D6" i="2"/>
  <c r="C6" i="2"/>
  <c r="B6" i="2"/>
  <c r="O5" i="2"/>
  <c r="L5" i="2"/>
  <c r="I5" i="2"/>
  <c r="O4" i="2"/>
  <c r="L4" i="2"/>
  <c r="I4" i="2"/>
  <c r="O3" i="2"/>
  <c r="L3" i="2"/>
  <c r="I3" i="2"/>
  <c r="O2" i="2"/>
  <c r="L2" i="2"/>
  <c r="I2" i="2"/>
  <c r="D20" i="4"/>
  <c r="E20" i="4" s="1"/>
  <c r="C20" i="4"/>
  <c r="H20" i="4"/>
  <c r="I20" i="4" s="1"/>
  <c r="F20" i="4"/>
  <c r="G20" i="4" s="1"/>
  <c r="I19" i="4"/>
  <c r="G19" i="4"/>
  <c r="E19" i="4"/>
  <c r="I18" i="4"/>
  <c r="G18" i="4"/>
  <c r="E18" i="4"/>
  <c r="I17" i="4"/>
  <c r="G17" i="4"/>
  <c r="E17" i="4"/>
  <c r="I16" i="4"/>
  <c r="G16" i="4"/>
  <c r="E16" i="4"/>
  <c r="I15" i="4"/>
  <c r="G15" i="4"/>
  <c r="E15" i="4"/>
  <c r="I14" i="4"/>
  <c r="G14" i="4"/>
  <c r="E14" i="4"/>
  <c r="I13" i="4"/>
  <c r="G13" i="4"/>
  <c r="E13" i="4"/>
  <c r="I12" i="4"/>
  <c r="G12" i="4"/>
  <c r="E12" i="4"/>
  <c r="I11" i="4"/>
  <c r="G11" i="4"/>
  <c r="E11" i="4"/>
  <c r="I10" i="4"/>
  <c r="G10" i="4"/>
  <c r="E10" i="4"/>
  <c r="I9" i="4"/>
  <c r="G9" i="4"/>
  <c r="E9" i="4"/>
  <c r="I8" i="4"/>
  <c r="G8" i="4"/>
  <c r="E8" i="4"/>
  <c r="I7" i="4"/>
  <c r="G7" i="4"/>
  <c r="E7" i="4"/>
  <c r="I6" i="4"/>
  <c r="G6" i="4"/>
  <c r="I5" i="4"/>
  <c r="G5" i="4"/>
  <c r="E5" i="4"/>
  <c r="I4" i="4"/>
  <c r="G4" i="4"/>
  <c r="E4" i="4"/>
  <c r="I3" i="4"/>
  <c r="G3" i="4"/>
  <c r="E3" i="4"/>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18" i="3"/>
  <c r="B64" i="3"/>
  <c r="B60" i="3"/>
  <c r="B54" i="3"/>
  <c r="B31" i="3"/>
  <c r="B23" i="3"/>
  <c r="B18" i="3"/>
  <c r="X56" i="21" l="1"/>
  <c r="R13" i="20"/>
  <c r="S13" i="20" s="1"/>
  <c r="E8" i="21" s="1"/>
  <c r="BB109" i="20"/>
  <c r="BB237" i="20"/>
  <c r="BB198" i="20"/>
  <c r="W11" i="20"/>
  <c r="Y11" i="20" s="1"/>
  <c r="J8" i="21" s="1"/>
  <c r="BB246" i="20"/>
  <c r="BB190" i="20"/>
  <c r="S11" i="20"/>
  <c r="C8" i="21" s="1"/>
  <c r="AD51" i="20"/>
  <c r="AE51" i="20" s="1"/>
  <c r="Q13" i="21" s="1"/>
  <c r="AF38" i="15"/>
  <c r="AF17" i="15"/>
  <c r="AF15" i="15"/>
  <c r="AF18" i="15"/>
  <c r="AF37" i="15"/>
  <c r="AF34" i="15"/>
  <c r="AF31" i="15"/>
  <c r="AF32" i="15"/>
  <c r="AF36" i="15"/>
  <c r="AF42" i="15"/>
  <c r="AF19" i="15"/>
  <c r="AF20" i="15"/>
  <c r="AB45" i="15"/>
  <c r="AB44" i="15"/>
  <c r="AB28" i="15"/>
  <c r="F4" i="25"/>
  <c r="AJ56" i="10"/>
  <c r="AF56" i="10"/>
  <c r="AG53" i="10"/>
  <c r="AF54" i="10"/>
  <c r="O6" i="16" s="1"/>
  <c r="AH56" i="10"/>
  <c r="AC62" i="15"/>
  <c r="F13" i="25"/>
  <c r="F19" i="25" s="1"/>
  <c r="AD62" i="15"/>
  <c r="F23" i="16" s="1"/>
  <c r="F3" i="25"/>
  <c r="AE62" i="15"/>
  <c r="F24" i="16" s="1"/>
  <c r="F14" i="25"/>
  <c r="F21" i="25" s="1"/>
  <c r="AC32" i="21"/>
  <c r="AC43" i="15"/>
  <c r="AJ23" i="10"/>
  <c r="F16" i="16"/>
  <c r="F12" i="16"/>
  <c r="AF23" i="10"/>
  <c r="AH39" i="10"/>
  <c r="AJ53" i="10"/>
  <c r="AE26" i="15"/>
  <c r="AD43" i="15"/>
  <c r="AD60" i="20"/>
  <c r="AE60" i="20" s="1"/>
  <c r="R14" i="21" s="1"/>
  <c r="X13" i="20"/>
  <c r="Y13" i="20" s="1"/>
  <c r="L8" i="21" s="1"/>
  <c r="BB222" i="20"/>
  <c r="BB244" i="20"/>
  <c r="BB38" i="20"/>
  <c r="BB117" i="20"/>
  <c r="BB53" i="20"/>
  <c r="BB13" i="20"/>
  <c r="BB229" i="20"/>
  <c r="BB230" i="20"/>
  <c r="BB70" i="20"/>
  <c r="BB85" i="20"/>
  <c r="AI23" i="10"/>
  <c r="AF39" i="10"/>
  <c r="AG39" i="10"/>
  <c r="AE43" i="15"/>
  <c r="AD53" i="20"/>
  <c r="AE53" i="20" s="1"/>
  <c r="S13" i="21" s="1"/>
  <c r="BB133" i="20"/>
  <c r="BB238" i="20"/>
  <c r="AB59" i="15"/>
  <c r="O12" i="16" s="1"/>
  <c r="O3" i="16"/>
  <c r="AG8" i="10"/>
  <c r="AD26" i="15"/>
  <c r="F14" i="16"/>
  <c r="AH23" i="10"/>
  <c r="AJ39" i="10"/>
  <c r="AI32" i="10"/>
  <c r="AI31" i="10"/>
  <c r="AB13" i="15"/>
  <c r="AF13" i="15" s="1"/>
  <c r="F5" i="16"/>
  <c r="F22" i="16"/>
  <c r="AC26" i="15"/>
  <c r="O11" i="16"/>
  <c r="AB43" i="15"/>
  <c r="R14" i="20"/>
  <c r="S14" i="20" s="1"/>
  <c r="F8" i="21" s="1"/>
  <c r="BB205" i="20"/>
  <c r="BB219" i="20"/>
  <c r="BB91" i="20"/>
  <c r="BB243" i="20"/>
  <c r="S53" i="20"/>
  <c r="E13" i="21" s="1"/>
  <c r="BB68" i="20"/>
  <c r="BB212" i="20"/>
  <c r="S51" i="20"/>
  <c r="C13" i="21" s="1"/>
  <c r="O48" i="17"/>
  <c r="N48" i="17" s="1"/>
  <c r="O47" i="17"/>
  <c r="N47" i="17" s="1"/>
  <c r="P49" i="17"/>
  <c r="P50" i="17"/>
  <c r="P44" i="17"/>
  <c r="P46" i="17"/>
  <c r="P43" i="17"/>
  <c r="P45" i="17"/>
  <c r="R112" i="20"/>
  <c r="Q112" i="20"/>
  <c r="R108" i="20"/>
  <c r="Q108" i="20"/>
  <c r="Q203" i="20"/>
  <c r="R203" i="20"/>
  <c r="Q208" i="20"/>
  <c r="R208" i="20"/>
  <c r="Q134" i="20"/>
  <c r="R134" i="20"/>
  <c r="R132" i="20"/>
  <c r="Q132" i="20"/>
  <c r="R221" i="20"/>
  <c r="Q221" i="20"/>
  <c r="Q96" i="20"/>
  <c r="R96" i="20"/>
  <c r="Q166" i="20"/>
  <c r="R166" i="20"/>
  <c r="Q168" i="20"/>
  <c r="R168" i="20"/>
  <c r="X184" i="20"/>
  <c r="W184" i="20"/>
  <c r="U34" i="19"/>
  <c r="T34" i="19" s="1"/>
  <c r="U41" i="19"/>
  <c r="T41" i="19" s="1"/>
  <c r="U38" i="19"/>
  <c r="T38" i="19" s="1"/>
  <c r="U36" i="19"/>
  <c r="T36" i="19" s="1"/>
  <c r="U40" i="19"/>
  <c r="T40" i="19" s="1"/>
  <c r="U39" i="19"/>
  <c r="T39" i="19" s="1"/>
  <c r="U35" i="19"/>
  <c r="T35" i="19" s="1"/>
  <c r="U37" i="19"/>
  <c r="T37" i="19" s="1"/>
  <c r="X24" i="20"/>
  <c r="W24" i="20"/>
  <c r="X20" i="20"/>
  <c r="W20" i="20"/>
  <c r="Y20" i="20" s="1"/>
  <c r="K9" i="21" s="1"/>
  <c r="X116" i="20"/>
  <c r="W116" i="20"/>
  <c r="X46" i="20"/>
  <c r="W46" i="20"/>
  <c r="Y46" i="20" s="1"/>
  <c r="M12" i="21" s="1"/>
  <c r="X43" i="20"/>
  <c r="W43" i="20"/>
  <c r="W3" i="20"/>
  <c r="X3" i="20"/>
  <c r="W5" i="20"/>
  <c r="X5" i="20"/>
  <c r="W59" i="20"/>
  <c r="X59" i="20"/>
  <c r="Y62" i="20"/>
  <c r="M14" i="21" s="1"/>
  <c r="X61" i="20"/>
  <c r="W61" i="20"/>
  <c r="W176" i="20"/>
  <c r="X176" i="20"/>
  <c r="W126" i="20"/>
  <c r="X126" i="20"/>
  <c r="W128" i="20"/>
  <c r="X128" i="20"/>
  <c r="AC190" i="20"/>
  <c r="AD190" i="20"/>
  <c r="AD54" i="20"/>
  <c r="AC54" i="20"/>
  <c r="AD11" i="20"/>
  <c r="AC11" i="20"/>
  <c r="AD15" i="20"/>
  <c r="AC15" i="20"/>
  <c r="AC72" i="20"/>
  <c r="AD72" i="20"/>
  <c r="AC70" i="20"/>
  <c r="AD70" i="20"/>
  <c r="AC195" i="20"/>
  <c r="AD195" i="20"/>
  <c r="AD212" i="20"/>
  <c r="AC212" i="20"/>
  <c r="AH28" i="19"/>
  <c r="AH30" i="19"/>
  <c r="AH24" i="19"/>
  <c r="AH29" i="19"/>
  <c r="AH26" i="19"/>
  <c r="AH27" i="19"/>
  <c r="AH31" i="19"/>
  <c r="AH25" i="19"/>
  <c r="Q188" i="20"/>
  <c r="R188" i="20"/>
  <c r="Q55" i="20"/>
  <c r="R55" i="20"/>
  <c r="R56" i="20"/>
  <c r="Q56" i="20"/>
  <c r="Q69" i="20"/>
  <c r="R69" i="20"/>
  <c r="Q70" i="20"/>
  <c r="R70" i="20"/>
  <c r="P26" i="19"/>
  <c r="R26" i="19" s="1"/>
  <c r="P30" i="19"/>
  <c r="R30" i="19" s="1"/>
  <c r="P29" i="19"/>
  <c r="R29" i="19" s="1"/>
  <c r="P31" i="19"/>
  <c r="R31" i="19" s="1"/>
  <c r="P27" i="19"/>
  <c r="R27" i="19" s="1"/>
  <c r="O25" i="19"/>
  <c r="N25" i="19" s="1"/>
  <c r="P28" i="19"/>
  <c r="R28" i="19" s="1"/>
  <c r="O24" i="19"/>
  <c r="N24" i="19" s="1"/>
  <c r="AC197" i="20"/>
  <c r="AD197" i="20"/>
  <c r="Q195" i="20"/>
  <c r="R195" i="20"/>
  <c r="R214" i="20"/>
  <c r="Q214" i="20"/>
  <c r="W206" i="20"/>
  <c r="X206" i="20"/>
  <c r="W208" i="20"/>
  <c r="X208" i="20"/>
  <c r="W134" i="20"/>
  <c r="X134" i="20"/>
  <c r="X133" i="20"/>
  <c r="W133" i="20"/>
  <c r="X144" i="20"/>
  <c r="W144" i="20"/>
  <c r="W76" i="20"/>
  <c r="X76" i="20"/>
  <c r="W100" i="20"/>
  <c r="X100" i="20"/>
  <c r="W104" i="20"/>
  <c r="X104" i="20"/>
  <c r="W152" i="20"/>
  <c r="X152" i="20"/>
  <c r="X147" i="20"/>
  <c r="W147" i="20"/>
  <c r="W88" i="20"/>
  <c r="X88" i="20"/>
  <c r="X35" i="20"/>
  <c r="W35" i="20"/>
  <c r="W40" i="20"/>
  <c r="X40" i="20"/>
  <c r="AB49" i="17"/>
  <c r="AD49" i="17" s="1"/>
  <c r="AD10" i="18" s="1"/>
  <c r="AA48" i="17"/>
  <c r="Z48" i="17" s="1"/>
  <c r="AA47" i="17"/>
  <c r="Z47" i="17" s="1"/>
  <c r="AB50" i="17"/>
  <c r="AD50" i="17" s="1"/>
  <c r="AE10" i="18" s="1"/>
  <c r="AB44" i="17"/>
  <c r="AD44" i="17" s="1"/>
  <c r="Y10" i="18" s="1"/>
  <c r="AB43" i="17"/>
  <c r="AD43" i="17" s="1"/>
  <c r="X10" i="18" s="1"/>
  <c r="AB45" i="17"/>
  <c r="AD45" i="17" s="1"/>
  <c r="Z10" i="18" s="1"/>
  <c r="AB46" i="17"/>
  <c r="AD46" i="17" s="1"/>
  <c r="AA10" i="18" s="1"/>
  <c r="AC109" i="20"/>
  <c r="AD109" i="20"/>
  <c r="AD110" i="20"/>
  <c r="AC110" i="20"/>
  <c r="AC44" i="20"/>
  <c r="AD44" i="20"/>
  <c r="AC4" i="20"/>
  <c r="AD4" i="20"/>
  <c r="AC7" i="20"/>
  <c r="AD7" i="20"/>
  <c r="AC62" i="20"/>
  <c r="AD62" i="20"/>
  <c r="AA17" i="19"/>
  <c r="Z17" i="19" s="1"/>
  <c r="AA14" i="19"/>
  <c r="Z14" i="19" s="1"/>
  <c r="AB19" i="19"/>
  <c r="AD19" i="19" s="1"/>
  <c r="AA16" i="19"/>
  <c r="Z16" i="19" s="1"/>
  <c r="AA21" i="19"/>
  <c r="Z21" i="19" s="1"/>
  <c r="AB20" i="19"/>
  <c r="AD20" i="19" s="1"/>
  <c r="AB18" i="19"/>
  <c r="AD18" i="19" s="1"/>
  <c r="AA15" i="19"/>
  <c r="Z15" i="19" s="1"/>
  <c r="AC175" i="20"/>
  <c r="AD175" i="20"/>
  <c r="AC124" i="20"/>
  <c r="AD124" i="20"/>
  <c r="AC123" i="20"/>
  <c r="AD123" i="20"/>
  <c r="BF7" i="17"/>
  <c r="AH8" i="17"/>
  <c r="AM6" i="18" s="1"/>
  <c r="AH9" i="17"/>
  <c r="AN6" i="18" s="1"/>
  <c r="AH10" i="17"/>
  <c r="AO6" i="18" s="1"/>
  <c r="BF4" i="17"/>
  <c r="BB6" i="17"/>
  <c r="BF3" i="17"/>
  <c r="AH6" i="17"/>
  <c r="AK6" i="18" s="1"/>
  <c r="BE6" i="17"/>
  <c r="BF5" i="17"/>
  <c r="BE5" i="17"/>
  <c r="BF6" i="17"/>
  <c r="BE4" i="17"/>
  <c r="BE7" i="17"/>
  <c r="BB7" i="17"/>
  <c r="BB3" i="17"/>
  <c r="AH5" i="17"/>
  <c r="AJ6" i="18" s="1"/>
  <c r="BB4" i="17"/>
  <c r="BE3" i="17"/>
  <c r="AH7" i="17"/>
  <c r="AL6" i="18" s="1"/>
  <c r="BB5" i="17"/>
  <c r="AH4" i="17"/>
  <c r="AI6" i="18" s="1"/>
  <c r="AH3" i="17"/>
  <c r="AH20" i="17"/>
  <c r="AO7" i="18" s="1"/>
  <c r="AH19" i="17"/>
  <c r="AH18" i="17"/>
  <c r="AM7" i="18" s="1"/>
  <c r="AH17" i="17"/>
  <c r="AL7" i="18" s="1"/>
  <c r="AH14" i="17"/>
  <c r="AI7" i="18" s="1"/>
  <c r="AH13" i="17"/>
  <c r="AH7" i="18" s="1"/>
  <c r="AH16" i="17"/>
  <c r="AK7" i="18" s="1"/>
  <c r="AH15" i="17"/>
  <c r="AJ7" i="18" s="1"/>
  <c r="Z7" i="21"/>
  <c r="AK5" i="20"/>
  <c r="BB43" i="20"/>
  <c r="Q48" i="20"/>
  <c r="R48" i="20"/>
  <c r="R47" i="20"/>
  <c r="Q47" i="20"/>
  <c r="R4" i="20"/>
  <c r="Q4" i="20"/>
  <c r="BB5" i="20"/>
  <c r="Q60" i="20"/>
  <c r="R60" i="20"/>
  <c r="BB62" i="20"/>
  <c r="Q64" i="20"/>
  <c r="R64" i="20"/>
  <c r="BB171" i="20"/>
  <c r="Q174" i="20"/>
  <c r="R174" i="20"/>
  <c r="BB126" i="20"/>
  <c r="Q128" i="20"/>
  <c r="R128" i="20"/>
  <c r="Q127" i="20"/>
  <c r="R127" i="20"/>
  <c r="X191" i="20"/>
  <c r="W191" i="20"/>
  <c r="Y53" i="20"/>
  <c r="L13" i="21" s="1"/>
  <c r="W222" i="20"/>
  <c r="X222" i="20"/>
  <c r="X91" i="20"/>
  <c r="W91" i="20"/>
  <c r="W168" i="20"/>
  <c r="X168" i="20"/>
  <c r="AX6" i="19"/>
  <c r="U4" i="19"/>
  <c r="T4" i="19" s="1"/>
  <c r="AX7" i="19"/>
  <c r="U7" i="19"/>
  <c r="T7" i="19" s="1"/>
  <c r="AX8" i="19"/>
  <c r="AX4" i="19"/>
  <c r="U9" i="19"/>
  <c r="T9" i="19" s="1"/>
  <c r="U6" i="19"/>
  <c r="T6" i="19" s="1"/>
  <c r="U11" i="19"/>
  <c r="T11" i="19" s="1"/>
  <c r="U10" i="19"/>
  <c r="T10" i="19" s="1"/>
  <c r="U5" i="19"/>
  <c r="T5" i="19" s="1"/>
  <c r="AX5" i="19"/>
  <c r="U8" i="19"/>
  <c r="T8" i="19" s="1"/>
  <c r="AC182" i="20"/>
  <c r="AD182" i="20"/>
  <c r="AA40" i="19"/>
  <c r="Z40" i="19" s="1"/>
  <c r="AB38" i="19"/>
  <c r="AD38" i="19" s="1"/>
  <c r="AA37" i="19"/>
  <c r="Z37" i="19" s="1"/>
  <c r="AA34" i="19"/>
  <c r="Z34" i="19" s="1"/>
  <c r="AA41" i="19"/>
  <c r="Z41" i="19" s="1"/>
  <c r="AA36" i="19"/>
  <c r="Z36" i="19" s="1"/>
  <c r="AB39" i="19"/>
  <c r="AD39" i="19" s="1"/>
  <c r="AA35" i="19"/>
  <c r="Z35" i="19" s="1"/>
  <c r="AD22" i="20"/>
  <c r="AC22" i="20"/>
  <c r="AD24" i="20"/>
  <c r="AC24" i="20"/>
  <c r="AC120" i="20"/>
  <c r="AD120" i="20"/>
  <c r="AD139" i="20"/>
  <c r="AC139" i="20"/>
  <c r="AC80" i="20"/>
  <c r="AD80" i="20"/>
  <c r="AC102" i="20"/>
  <c r="AD102" i="20"/>
  <c r="AD104" i="20"/>
  <c r="AC104" i="20"/>
  <c r="AD149" i="20"/>
  <c r="AC149" i="20"/>
  <c r="AC84" i="20"/>
  <c r="AD84" i="20"/>
  <c r="AC86" i="20"/>
  <c r="AD86" i="20"/>
  <c r="AD40" i="20"/>
  <c r="AC40" i="20"/>
  <c r="AD159" i="20"/>
  <c r="AC159" i="20"/>
  <c r="AC155" i="20"/>
  <c r="AD155" i="20"/>
  <c r="AH40" i="19"/>
  <c r="AH39" i="19"/>
  <c r="AH37" i="19"/>
  <c r="AH38" i="19"/>
  <c r="AH36" i="19"/>
  <c r="AH41" i="19"/>
  <c r="AH35" i="19"/>
  <c r="AH34" i="19"/>
  <c r="AA35" i="21"/>
  <c r="AA36" i="21"/>
  <c r="BB180" i="20"/>
  <c r="R180" i="20"/>
  <c r="Q180" i="20"/>
  <c r="Q183" i="20"/>
  <c r="R183" i="20"/>
  <c r="BB19" i="20"/>
  <c r="BB30" i="20"/>
  <c r="Q24" i="20"/>
  <c r="R24" i="20"/>
  <c r="BB115" i="20"/>
  <c r="Q118" i="20"/>
  <c r="R118" i="20"/>
  <c r="Q116" i="20"/>
  <c r="R116" i="20"/>
  <c r="R141" i="20"/>
  <c r="Q141" i="20"/>
  <c r="Q143" i="20"/>
  <c r="R143" i="20"/>
  <c r="BB75" i="20"/>
  <c r="BB77" i="20"/>
  <c r="R79" i="20"/>
  <c r="Q79" i="20"/>
  <c r="Q101" i="20"/>
  <c r="R101" i="20"/>
  <c r="R103" i="20"/>
  <c r="Q103" i="20"/>
  <c r="BB252" i="20"/>
  <c r="BB253" i="20"/>
  <c r="BB150" i="20"/>
  <c r="R152" i="20"/>
  <c r="Q152" i="20"/>
  <c r="BB83" i="20"/>
  <c r="R84" i="20"/>
  <c r="Q84" i="20"/>
  <c r="R38" i="20"/>
  <c r="Q38" i="20"/>
  <c r="P158" i="20"/>
  <c r="O158" i="20" s="1"/>
  <c r="P157" i="20"/>
  <c r="O157" i="20" s="1"/>
  <c r="P159" i="20"/>
  <c r="O159" i="20" s="1"/>
  <c r="P155" i="20"/>
  <c r="O155" i="20" s="1"/>
  <c r="P156" i="20"/>
  <c r="O156" i="20" s="1"/>
  <c r="P160" i="20"/>
  <c r="O160" i="20" s="1"/>
  <c r="AW155" i="20"/>
  <c r="AW157" i="20"/>
  <c r="AW158" i="20"/>
  <c r="AW156" i="20"/>
  <c r="U47" i="19"/>
  <c r="T47" i="19" s="1"/>
  <c r="U50" i="19"/>
  <c r="T50" i="19" s="1"/>
  <c r="U44" i="19"/>
  <c r="T44" i="19" s="1"/>
  <c r="U48" i="19"/>
  <c r="T48" i="19" s="1"/>
  <c r="U45" i="19"/>
  <c r="T45" i="19" s="1"/>
  <c r="U46" i="19"/>
  <c r="T46" i="19" s="1"/>
  <c r="U51" i="19"/>
  <c r="T51" i="19" s="1"/>
  <c r="U49" i="19"/>
  <c r="T49" i="19" s="1"/>
  <c r="X110" i="20"/>
  <c r="W110" i="20"/>
  <c r="BB12" i="20"/>
  <c r="X12" i="20"/>
  <c r="W12" i="20"/>
  <c r="W71" i="20"/>
  <c r="X71" i="20"/>
  <c r="X70" i="20"/>
  <c r="W70" i="20"/>
  <c r="W197" i="20"/>
  <c r="X197" i="20"/>
  <c r="W200" i="20"/>
  <c r="X200" i="20"/>
  <c r="W212" i="20"/>
  <c r="X212" i="20"/>
  <c r="AD208" i="20"/>
  <c r="AC208" i="20"/>
  <c r="AC205" i="20"/>
  <c r="AD205" i="20"/>
  <c r="AC135" i="20"/>
  <c r="AD135" i="20"/>
  <c r="AC221" i="20"/>
  <c r="AD221" i="20"/>
  <c r="AC95" i="20"/>
  <c r="AD95" i="20"/>
  <c r="AD91" i="20"/>
  <c r="AC91" i="20"/>
  <c r="AE91" i="20" s="1"/>
  <c r="Q18" i="21" s="1"/>
  <c r="AD163" i="20"/>
  <c r="AC163" i="20"/>
  <c r="AA11" i="19"/>
  <c r="Z11" i="19" s="1"/>
  <c r="AA4" i="19"/>
  <c r="Z4" i="19" s="1"/>
  <c r="AA8" i="19"/>
  <c r="Z8" i="19" s="1"/>
  <c r="AA7" i="19"/>
  <c r="Z7" i="19" s="1"/>
  <c r="AA5" i="19"/>
  <c r="Z5" i="19" s="1"/>
  <c r="AA9" i="19"/>
  <c r="Z9" i="19" s="1"/>
  <c r="AA10" i="19"/>
  <c r="Z10" i="19" s="1"/>
  <c r="AA6" i="19"/>
  <c r="Z6" i="19" s="1"/>
  <c r="AH46" i="19"/>
  <c r="AH47" i="19"/>
  <c r="AH44" i="19"/>
  <c r="AH49" i="19"/>
  <c r="AH50" i="19"/>
  <c r="AH51" i="19"/>
  <c r="AH48" i="19"/>
  <c r="AH45" i="19"/>
  <c r="O48" i="19"/>
  <c r="N48" i="19" s="1"/>
  <c r="P47" i="19"/>
  <c r="R47" i="19" s="1"/>
  <c r="P45" i="19"/>
  <c r="R45" i="19" s="1"/>
  <c r="P46" i="19"/>
  <c r="R46" i="19" s="1"/>
  <c r="P50" i="19"/>
  <c r="R50" i="19" s="1"/>
  <c r="P44" i="19"/>
  <c r="R44" i="19" s="1"/>
  <c r="P51" i="19"/>
  <c r="R51" i="19" s="1"/>
  <c r="O49" i="19"/>
  <c r="N49" i="19" s="1"/>
  <c r="R111" i="20"/>
  <c r="Q111" i="20"/>
  <c r="Q110" i="20"/>
  <c r="R110" i="20"/>
  <c r="R204" i="20"/>
  <c r="Q204" i="20"/>
  <c r="R133" i="20"/>
  <c r="Q133" i="20"/>
  <c r="Q136" i="20"/>
  <c r="R136" i="20"/>
  <c r="Q222" i="20"/>
  <c r="R222" i="20"/>
  <c r="Q95" i="20"/>
  <c r="R95" i="20"/>
  <c r="R94" i="20"/>
  <c r="Q94" i="20"/>
  <c r="Q163" i="20"/>
  <c r="R163" i="20"/>
  <c r="AV6" i="17"/>
  <c r="O8" i="17"/>
  <c r="N8" i="17" s="1"/>
  <c r="O6" i="17"/>
  <c r="N6" i="17" s="1"/>
  <c r="O4" i="17"/>
  <c r="N4" i="17" s="1"/>
  <c r="O7" i="17"/>
  <c r="N7" i="17" s="1"/>
  <c r="O3" i="17"/>
  <c r="N3" i="17" s="1"/>
  <c r="O10" i="17"/>
  <c r="N10" i="17" s="1"/>
  <c r="O5" i="17"/>
  <c r="N5" i="17" s="1"/>
  <c r="O9" i="17"/>
  <c r="N9" i="17" s="1"/>
  <c r="AV5" i="17"/>
  <c r="AV7" i="17"/>
  <c r="AV4" i="17"/>
  <c r="AV3" i="17"/>
  <c r="W180" i="20"/>
  <c r="X180" i="20"/>
  <c r="X181" i="20"/>
  <c r="W181" i="20"/>
  <c r="W182" i="20"/>
  <c r="X182" i="20"/>
  <c r="X22" i="20"/>
  <c r="W22" i="20"/>
  <c r="W115" i="20"/>
  <c r="X115" i="20"/>
  <c r="W120" i="20"/>
  <c r="X120" i="20"/>
  <c r="W47" i="20"/>
  <c r="X47" i="20"/>
  <c r="X4" i="20"/>
  <c r="W4" i="20"/>
  <c r="X7" i="20"/>
  <c r="W7" i="20"/>
  <c r="X60" i="20"/>
  <c r="W60" i="20"/>
  <c r="X172" i="20"/>
  <c r="W172" i="20"/>
  <c r="X171" i="20"/>
  <c r="W171" i="20"/>
  <c r="X124" i="20"/>
  <c r="W124" i="20"/>
  <c r="AC188" i="20"/>
  <c r="AD188" i="20"/>
  <c r="AD191" i="20"/>
  <c r="AC191" i="20"/>
  <c r="AD52" i="20"/>
  <c r="AC52" i="20"/>
  <c r="AD14" i="20"/>
  <c r="AC14" i="20"/>
  <c r="AD69" i="20"/>
  <c r="AC69" i="20"/>
  <c r="AD68" i="20"/>
  <c r="AC68" i="20"/>
  <c r="AC196" i="20"/>
  <c r="AD196" i="20"/>
  <c r="AC213" i="20"/>
  <c r="AD213" i="20"/>
  <c r="AD211" i="20"/>
  <c r="AC211" i="20"/>
  <c r="Q190" i="20"/>
  <c r="R190" i="20"/>
  <c r="Q189" i="20"/>
  <c r="R189" i="20"/>
  <c r="Q12" i="20"/>
  <c r="R12" i="20"/>
  <c r="R15" i="20"/>
  <c r="Q15" i="20"/>
  <c r="R67" i="20"/>
  <c r="Q67" i="20"/>
  <c r="Q68" i="20"/>
  <c r="R68" i="20"/>
  <c r="Q198" i="20"/>
  <c r="R198" i="20"/>
  <c r="R196" i="20"/>
  <c r="Q196" i="20"/>
  <c r="Q211" i="20"/>
  <c r="R211" i="20"/>
  <c r="Q216" i="20"/>
  <c r="R216" i="20"/>
  <c r="X207" i="20"/>
  <c r="W207" i="20"/>
  <c r="X136" i="20"/>
  <c r="W136" i="20"/>
  <c r="W140" i="20"/>
  <c r="X140" i="20"/>
  <c r="W75" i="20"/>
  <c r="X75" i="20"/>
  <c r="W77" i="20"/>
  <c r="X77" i="20"/>
  <c r="W102" i="20"/>
  <c r="X102" i="20"/>
  <c r="W99" i="20"/>
  <c r="X99" i="20"/>
  <c r="X149" i="20"/>
  <c r="W149" i="20"/>
  <c r="X148" i="20"/>
  <c r="W148" i="20"/>
  <c r="W85" i="20"/>
  <c r="X85" i="20"/>
  <c r="X83" i="20"/>
  <c r="W83" i="20"/>
  <c r="X39" i="20"/>
  <c r="W39" i="20"/>
  <c r="AA49" i="19"/>
  <c r="Z49" i="19" s="1"/>
  <c r="AB47" i="19"/>
  <c r="AD47" i="19" s="1"/>
  <c r="AB50" i="19"/>
  <c r="AD50" i="19" s="1"/>
  <c r="AB51" i="19"/>
  <c r="AD51" i="19" s="1"/>
  <c r="AA48" i="19"/>
  <c r="Z48" i="19" s="1"/>
  <c r="AB45" i="19"/>
  <c r="AD45" i="19" s="1"/>
  <c r="AB46" i="19"/>
  <c r="AD46" i="19" s="1"/>
  <c r="AB44" i="19"/>
  <c r="AD44" i="19" s="1"/>
  <c r="AC111" i="20"/>
  <c r="AD111" i="20"/>
  <c r="AC43" i="20"/>
  <c r="AD43" i="20"/>
  <c r="AC45" i="20"/>
  <c r="AD45" i="20"/>
  <c r="AC3" i="20"/>
  <c r="AD3" i="20"/>
  <c r="AC59" i="20"/>
  <c r="AD59" i="20"/>
  <c r="AC64" i="20"/>
  <c r="AD64" i="20"/>
  <c r="AC174" i="20"/>
  <c r="AD174" i="20"/>
  <c r="AC125" i="20"/>
  <c r="AD125" i="20"/>
  <c r="AC126" i="20"/>
  <c r="AD126" i="20"/>
  <c r="BF7" i="19"/>
  <c r="BF5" i="19"/>
  <c r="AH7" i="19"/>
  <c r="BB7" i="19"/>
  <c r="BB4" i="19"/>
  <c r="AH6" i="19"/>
  <c r="BF4" i="19"/>
  <c r="BE6" i="19"/>
  <c r="AH5" i="19"/>
  <c r="AH4" i="19"/>
  <c r="AH10" i="19"/>
  <c r="BB5" i="19"/>
  <c r="AH8" i="19"/>
  <c r="BE8" i="19"/>
  <c r="AH11" i="19"/>
  <c r="BE7" i="19"/>
  <c r="AH9" i="19"/>
  <c r="BE5" i="19"/>
  <c r="BF6" i="19"/>
  <c r="BE4" i="19"/>
  <c r="BB8" i="19"/>
  <c r="BB6" i="19"/>
  <c r="BF8" i="19"/>
  <c r="AK4" i="20"/>
  <c r="Y7" i="21"/>
  <c r="BG29" i="20"/>
  <c r="AI32" i="20"/>
  <c r="AC10" i="21" s="1"/>
  <c r="AC22" i="21" s="1"/>
  <c r="AI31" i="20"/>
  <c r="AB10" i="21" s="1"/>
  <c r="AB22" i="21" s="1"/>
  <c r="BC27" i="20"/>
  <c r="BF29" i="20"/>
  <c r="BC28" i="20"/>
  <c r="AI29" i="20"/>
  <c r="Z10" i="21" s="1"/>
  <c r="BC30" i="20"/>
  <c r="AI28" i="20"/>
  <c r="Y10" i="21" s="1"/>
  <c r="AI30" i="20"/>
  <c r="AA10" i="21" s="1"/>
  <c r="BG30" i="20"/>
  <c r="BC29" i="20"/>
  <c r="BG27" i="20"/>
  <c r="AI27" i="20"/>
  <c r="X10" i="21" s="1"/>
  <c r="BF27" i="20"/>
  <c r="BF30" i="20"/>
  <c r="BF28" i="20"/>
  <c r="BG28" i="20"/>
  <c r="BB46" i="20"/>
  <c r="R46" i="20"/>
  <c r="Q46" i="20"/>
  <c r="Q45" i="20"/>
  <c r="R45" i="20"/>
  <c r="BB6" i="20"/>
  <c r="Q5" i="20"/>
  <c r="R5" i="20"/>
  <c r="BB59" i="20"/>
  <c r="BB61" i="20"/>
  <c r="R63" i="20"/>
  <c r="Q63" i="20"/>
  <c r="R171" i="20"/>
  <c r="Q171" i="20"/>
  <c r="BB173" i="20"/>
  <c r="R176" i="20"/>
  <c r="Q176" i="20"/>
  <c r="BB124" i="20"/>
  <c r="X188" i="20"/>
  <c r="W188" i="20"/>
  <c r="W51" i="20"/>
  <c r="X51" i="20"/>
  <c r="BB54" i="20"/>
  <c r="X219" i="20"/>
  <c r="W219" i="20"/>
  <c r="W221" i="20"/>
  <c r="X221" i="20"/>
  <c r="W220" i="20"/>
  <c r="X220" i="20"/>
  <c r="W94" i="20"/>
  <c r="X94" i="20"/>
  <c r="X96" i="20"/>
  <c r="W96" i="20"/>
  <c r="X164" i="20"/>
  <c r="W164" i="20"/>
  <c r="AY262" i="20"/>
  <c r="AY259" i="20"/>
  <c r="AY261" i="20"/>
  <c r="AY260" i="20"/>
  <c r="AC184" i="20"/>
  <c r="AD184" i="20"/>
  <c r="AA39" i="17"/>
  <c r="Z39" i="17" s="1"/>
  <c r="AA33" i="17"/>
  <c r="Z33" i="17" s="1"/>
  <c r="AA36" i="17"/>
  <c r="Z36" i="17" s="1"/>
  <c r="AB38" i="17"/>
  <c r="AD38" i="17" s="1"/>
  <c r="AC9" i="18" s="1"/>
  <c r="AA35" i="17"/>
  <c r="Z35" i="17" s="1"/>
  <c r="AA34" i="17"/>
  <c r="Z34" i="17" s="1"/>
  <c r="AA40" i="17"/>
  <c r="Z40" i="17" s="1"/>
  <c r="AB37" i="17"/>
  <c r="AD37" i="17" s="1"/>
  <c r="AB9" i="18" s="1"/>
  <c r="AC21" i="20"/>
  <c r="AD21" i="20"/>
  <c r="AC117" i="20"/>
  <c r="AD117" i="20"/>
  <c r="AD115" i="20"/>
  <c r="AC115" i="20"/>
  <c r="AD142" i="20"/>
  <c r="AC142" i="20"/>
  <c r="AD75" i="20"/>
  <c r="AC75" i="20"/>
  <c r="AC77" i="20"/>
  <c r="AD77" i="20"/>
  <c r="AC100" i="20"/>
  <c r="AD100" i="20"/>
  <c r="AD148" i="20"/>
  <c r="AC148" i="20"/>
  <c r="AC151" i="20"/>
  <c r="AD151" i="20"/>
  <c r="AD88" i="20"/>
  <c r="AC88" i="20"/>
  <c r="AD37" i="20"/>
  <c r="AC37" i="20"/>
  <c r="AD36" i="20"/>
  <c r="AC36" i="20"/>
  <c r="AC157" i="20"/>
  <c r="AD157" i="20"/>
  <c r="BB181" i="20"/>
  <c r="R184" i="20"/>
  <c r="Q184" i="20"/>
  <c r="P38" i="17"/>
  <c r="O33" i="17"/>
  <c r="N33" i="17" s="1"/>
  <c r="O40" i="17"/>
  <c r="N40" i="17" s="1"/>
  <c r="O35" i="17"/>
  <c r="N35" i="17" s="1"/>
  <c r="O36" i="17"/>
  <c r="N36" i="17" s="1"/>
  <c r="O34" i="17"/>
  <c r="N34" i="17" s="1"/>
  <c r="O39" i="17"/>
  <c r="N39" i="17" s="1"/>
  <c r="P37" i="17"/>
  <c r="BB29" i="20"/>
  <c r="BB36" i="20"/>
  <c r="Q23" i="20"/>
  <c r="R23" i="20"/>
  <c r="BB116" i="20"/>
  <c r="Q117" i="20"/>
  <c r="R117" i="20"/>
  <c r="R120" i="20"/>
  <c r="Q120" i="20"/>
  <c r="BB139" i="20"/>
  <c r="Q144" i="20"/>
  <c r="R144" i="20"/>
  <c r="Q75" i="20"/>
  <c r="R75" i="20"/>
  <c r="Q77" i="20"/>
  <c r="R77" i="20"/>
  <c r="R76" i="20"/>
  <c r="Q76" i="20"/>
  <c r="BB102" i="20"/>
  <c r="Q104" i="20"/>
  <c r="R104" i="20"/>
  <c r="Q148" i="20"/>
  <c r="R148" i="20"/>
  <c r="BB149" i="20"/>
  <c r="R150" i="20"/>
  <c r="Q150" i="20"/>
  <c r="BB86" i="20"/>
  <c r="R83" i="20"/>
  <c r="Q83" i="20"/>
  <c r="R37" i="20"/>
  <c r="Q37" i="20"/>
  <c r="Q39" i="20"/>
  <c r="R39" i="20"/>
  <c r="W108" i="20"/>
  <c r="X108" i="20"/>
  <c r="BB11" i="20"/>
  <c r="W16" i="20"/>
  <c r="X16" i="20"/>
  <c r="W72" i="20"/>
  <c r="X72" i="20"/>
  <c r="U25" i="19"/>
  <c r="T25" i="19" s="1"/>
  <c r="U31" i="19"/>
  <c r="T31" i="19" s="1"/>
  <c r="U28" i="19"/>
  <c r="T28" i="19" s="1"/>
  <c r="U30" i="19"/>
  <c r="T30" i="19" s="1"/>
  <c r="U26" i="19"/>
  <c r="T26" i="19" s="1"/>
  <c r="U27" i="19"/>
  <c r="T27" i="19" s="1"/>
  <c r="U24" i="19"/>
  <c r="T24" i="19" s="1"/>
  <c r="U29" i="19"/>
  <c r="T29" i="19" s="1"/>
  <c r="W195" i="20"/>
  <c r="X195" i="20"/>
  <c r="X196" i="20"/>
  <c r="W196" i="20"/>
  <c r="X215" i="20"/>
  <c r="W215" i="20"/>
  <c r="AD203" i="20"/>
  <c r="AC203" i="20"/>
  <c r="AC207" i="20"/>
  <c r="AD207" i="20"/>
  <c r="AC134" i="20"/>
  <c r="AD134" i="20"/>
  <c r="AC222" i="20"/>
  <c r="AD222" i="20"/>
  <c r="AD92" i="20"/>
  <c r="AC92" i="20"/>
  <c r="AC93" i="20"/>
  <c r="AD93" i="20"/>
  <c r="AD164" i="20"/>
  <c r="AC164" i="20"/>
  <c r="AA9" i="17"/>
  <c r="Z9" i="17" s="1"/>
  <c r="AA10" i="17"/>
  <c r="Z10" i="17" s="1"/>
  <c r="AA6" i="17"/>
  <c r="Z6" i="17" s="1"/>
  <c r="AA5" i="17"/>
  <c r="Z5" i="17" s="1"/>
  <c r="AA8" i="17"/>
  <c r="Z8" i="17" s="1"/>
  <c r="AA4" i="17"/>
  <c r="Z4" i="17" s="1"/>
  <c r="AA3" i="17"/>
  <c r="Z3" i="17" s="1"/>
  <c r="AA7" i="17"/>
  <c r="Z7" i="17" s="1"/>
  <c r="Q109" i="20"/>
  <c r="R109" i="20"/>
  <c r="R207" i="20"/>
  <c r="Q207" i="20"/>
  <c r="Q135" i="20"/>
  <c r="R135" i="20"/>
  <c r="R220" i="20"/>
  <c r="Q220" i="20"/>
  <c r="Q223" i="20"/>
  <c r="R223" i="20"/>
  <c r="Q92" i="20"/>
  <c r="R92" i="20"/>
  <c r="Q167" i="20"/>
  <c r="R167" i="20"/>
  <c r="Q164" i="20"/>
  <c r="R164" i="20"/>
  <c r="O8" i="19"/>
  <c r="N8" i="19" s="1"/>
  <c r="O7" i="19"/>
  <c r="N7" i="19" s="1"/>
  <c r="AV6" i="19"/>
  <c r="O5" i="19"/>
  <c r="N5" i="19" s="1"/>
  <c r="O9" i="19"/>
  <c r="N9" i="19" s="1"/>
  <c r="O4" i="19"/>
  <c r="N4" i="19" s="1"/>
  <c r="AV8" i="19"/>
  <c r="O10" i="19"/>
  <c r="N10" i="19" s="1"/>
  <c r="O6" i="19"/>
  <c r="N6" i="19" s="1"/>
  <c r="AV5" i="19"/>
  <c r="BA5" i="19" s="1"/>
  <c r="AV4" i="19"/>
  <c r="O11" i="19"/>
  <c r="N11" i="19" s="1"/>
  <c r="AV7" i="19"/>
  <c r="BA7" i="19" s="1"/>
  <c r="X183" i="20"/>
  <c r="W183" i="20"/>
  <c r="U40" i="17"/>
  <c r="T40" i="17" s="1"/>
  <c r="U37" i="17"/>
  <c r="T37" i="17" s="1"/>
  <c r="U36" i="17"/>
  <c r="T36" i="17" s="1"/>
  <c r="U38" i="17"/>
  <c r="T38" i="17" s="1"/>
  <c r="U39" i="17"/>
  <c r="T39" i="17" s="1"/>
  <c r="U34" i="17"/>
  <c r="T34" i="17" s="1"/>
  <c r="U35" i="17"/>
  <c r="T35" i="17" s="1"/>
  <c r="U33" i="17"/>
  <c r="T33" i="17" s="1"/>
  <c r="W23" i="20"/>
  <c r="X23" i="20"/>
  <c r="W118" i="20"/>
  <c r="X118" i="20"/>
  <c r="W117" i="20"/>
  <c r="X117" i="20"/>
  <c r="X44" i="20"/>
  <c r="W44" i="20"/>
  <c r="X8" i="20"/>
  <c r="W8" i="20"/>
  <c r="W63" i="20"/>
  <c r="X63" i="20"/>
  <c r="U17" i="17"/>
  <c r="T17" i="17" s="1"/>
  <c r="U13" i="17"/>
  <c r="T13" i="17" s="1"/>
  <c r="U14" i="17"/>
  <c r="T14" i="17" s="1"/>
  <c r="U16" i="17"/>
  <c r="T16" i="17" s="1"/>
  <c r="V19" i="17"/>
  <c r="X19" i="17" s="1"/>
  <c r="U15" i="17"/>
  <c r="T15" i="17" s="1"/>
  <c r="U18" i="17"/>
  <c r="T18" i="17" s="1"/>
  <c r="U20" i="17"/>
  <c r="T20" i="17" s="1"/>
  <c r="X175" i="20"/>
  <c r="W175" i="20"/>
  <c r="X174" i="20"/>
  <c r="W174" i="20"/>
  <c r="W125" i="20"/>
  <c r="X125" i="20"/>
  <c r="AC192" i="20"/>
  <c r="AD192" i="20"/>
  <c r="AC187" i="20"/>
  <c r="AD187" i="20"/>
  <c r="AC55" i="20"/>
  <c r="AD55" i="20"/>
  <c r="AC13" i="20"/>
  <c r="AD13" i="20"/>
  <c r="AC67" i="20"/>
  <c r="AD67" i="20"/>
  <c r="AB27" i="19"/>
  <c r="AD27" i="19" s="1"/>
  <c r="AB28" i="19"/>
  <c r="AD28" i="19" s="1"/>
  <c r="AA25" i="19"/>
  <c r="Z25" i="19" s="1"/>
  <c r="AB29" i="19"/>
  <c r="AD29" i="19" s="1"/>
  <c r="AA24" i="19"/>
  <c r="Z24" i="19" s="1"/>
  <c r="AB31" i="19"/>
  <c r="AD31" i="19" s="1"/>
  <c r="AB26" i="19"/>
  <c r="AD26" i="19" s="1"/>
  <c r="AB30" i="19"/>
  <c r="AD30" i="19" s="1"/>
  <c r="AC200" i="20"/>
  <c r="AD200" i="20"/>
  <c r="AC215" i="20"/>
  <c r="AD215" i="20"/>
  <c r="AC214" i="20"/>
  <c r="AD214" i="20"/>
  <c r="R192" i="20"/>
  <c r="Q192" i="20"/>
  <c r="Q191" i="20"/>
  <c r="R191" i="20"/>
  <c r="Q54" i="20"/>
  <c r="R54" i="20"/>
  <c r="R16" i="20"/>
  <c r="Q16" i="20"/>
  <c r="Q71" i="20"/>
  <c r="R71" i="20"/>
  <c r="O24" i="17"/>
  <c r="N24" i="17" s="1"/>
  <c r="O23" i="17"/>
  <c r="N23" i="17" s="1"/>
  <c r="P29" i="17"/>
  <c r="P30" i="17"/>
  <c r="P28" i="17"/>
  <c r="P27" i="17"/>
  <c r="P26" i="17"/>
  <c r="P25" i="17"/>
  <c r="Q197" i="20"/>
  <c r="R197" i="20"/>
  <c r="AC198" i="20"/>
  <c r="AD198" i="20"/>
  <c r="Q213" i="20"/>
  <c r="R213" i="20"/>
  <c r="R212" i="20"/>
  <c r="Q212" i="20"/>
  <c r="W205" i="20"/>
  <c r="X205" i="20"/>
  <c r="W204" i="20"/>
  <c r="X204" i="20"/>
  <c r="W132" i="20"/>
  <c r="X132" i="20"/>
  <c r="W141" i="20"/>
  <c r="X141" i="20"/>
  <c r="X143" i="20"/>
  <c r="W143" i="20"/>
  <c r="W79" i="20"/>
  <c r="X79" i="20"/>
  <c r="X78" i="20"/>
  <c r="W78" i="20"/>
  <c r="W103" i="20"/>
  <c r="X103" i="20"/>
  <c r="W150" i="20"/>
  <c r="X150" i="20"/>
  <c r="X87" i="20"/>
  <c r="W87" i="20"/>
  <c r="W86" i="20"/>
  <c r="X86" i="20"/>
  <c r="W36" i="20"/>
  <c r="X36" i="20"/>
  <c r="V158" i="20"/>
  <c r="U158" i="20" s="1"/>
  <c r="V159" i="20"/>
  <c r="U159" i="20" s="1"/>
  <c r="V157" i="20"/>
  <c r="U157" i="20" s="1"/>
  <c r="V160" i="20"/>
  <c r="U160" i="20" s="1"/>
  <c r="V155" i="20"/>
  <c r="U155" i="20" s="1"/>
  <c r="V156" i="20"/>
  <c r="U156" i="20" s="1"/>
  <c r="AY158" i="20"/>
  <c r="AY156" i="20"/>
  <c r="AY157" i="20"/>
  <c r="AY155" i="20"/>
  <c r="AC112" i="20"/>
  <c r="AD112" i="20"/>
  <c r="AD48" i="20"/>
  <c r="AC48" i="20"/>
  <c r="AD46" i="20"/>
  <c r="AC46" i="20"/>
  <c r="AC5" i="20"/>
  <c r="AD5" i="20"/>
  <c r="AD63" i="20"/>
  <c r="AC63" i="20"/>
  <c r="AD171" i="20"/>
  <c r="AC171" i="20"/>
  <c r="AC176" i="20"/>
  <c r="AD176" i="20"/>
  <c r="AC128" i="20"/>
  <c r="AD128" i="20"/>
  <c r="BF262" i="20"/>
  <c r="BC262" i="20"/>
  <c r="BF259" i="20"/>
  <c r="BG262" i="20"/>
  <c r="BF261" i="20"/>
  <c r="BC261" i="20"/>
  <c r="BC260" i="20"/>
  <c r="BG261" i="20"/>
  <c r="BF260" i="20"/>
  <c r="BG260" i="20"/>
  <c r="BC259" i="20"/>
  <c r="BG259" i="20"/>
  <c r="BB44" i="20"/>
  <c r="Q44" i="20"/>
  <c r="R44" i="20"/>
  <c r="R6" i="20"/>
  <c r="Q6" i="20"/>
  <c r="Q3" i="20"/>
  <c r="R3" i="20"/>
  <c r="Q8" i="20"/>
  <c r="R8" i="20"/>
  <c r="R59" i="20"/>
  <c r="Q59" i="20"/>
  <c r="Q61" i="20"/>
  <c r="R61" i="20"/>
  <c r="O21" i="19"/>
  <c r="N21" i="19" s="1"/>
  <c r="P19" i="19"/>
  <c r="R19" i="19" s="1"/>
  <c r="P18" i="19"/>
  <c r="R18" i="19" s="1"/>
  <c r="P20" i="19"/>
  <c r="R20" i="19" s="1"/>
  <c r="O17" i="19"/>
  <c r="N17" i="19" s="1"/>
  <c r="O14" i="19"/>
  <c r="N14" i="19" s="1"/>
  <c r="O15" i="19"/>
  <c r="N15" i="19" s="1"/>
  <c r="O16" i="19"/>
  <c r="N16" i="19" s="1"/>
  <c r="BB172" i="20"/>
  <c r="BB174" i="20"/>
  <c r="Q175" i="20"/>
  <c r="R175" i="20"/>
  <c r="Q125" i="20"/>
  <c r="R125" i="20"/>
  <c r="Q123" i="20"/>
  <c r="R123" i="20"/>
  <c r="W192" i="20"/>
  <c r="X192" i="20"/>
  <c r="X187" i="20"/>
  <c r="W187" i="20"/>
  <c r="W52" i="20"/>
  <c r="X52" i="20"/>
  <c r="W55" i="20"/>
  <c r="X55" i="20"/>
  <c r="W224" i="20"/>
  <c r="X224" i="20"/>
  <c r="X93" i="20"/>
  <c r="W93" i="20"/>
  <c r="X163" i="20"/>
  <c r="W163" i="20"/>
  <c r="W167" i="20"/>
  <c r="X167" i="20"/>
  <c r="X166" i="20"/>
  <c r="W166" i="20"/>
  <c r="AD180" i="20"/>
  <c r="AC180" i="20"/>
  <c r="AC183" i="20"/>
  <c r="AD183" i="20"/>
  <c r="AC23" i="20"/>
  <c r="AD23" i="20"/>
  <c r="AC118" i="20"/>
  <c r="AD118" i="20"/>
  <c r="AC116" i="20"/>
  <c r="AD116" i="20"/>
  <c r="AC143" i="20"/>
  <c r="AD143" i="20"/>
  <c r="AC76" i="20"/>
  <c r="AD76" i="20"/>
  <c r="AC79" i="20"/>
  <c r="AD79" i="20"/>
  <c r="AC99" i="20"/>
  <c r="AD99" i="20"/>
  <c r="AC150" i="20"/>
  <c r="AD150" i="20"/>
  <c r="AD147" i="20"/>
  <c r="AC147" i="20"/>
  <c r="AC87" i="20"/>
  <c r="AD87" i="20"/>
  <c r="AD35" i="20"/>
  <c r="AC35" i="20"/>
  <c r="AC39" i="20"/>
  <c r="AD39" i="20"/>
  <c r="AC158" i="20"/>
  <c r="AD158" i="20"/>
  <c r="AH39" i="17"/>
  <c r="AN9" i="18" s="1"/>
  <c r="AH38" i="17"/>
  <c r="AM9" i="18" s="1"/>
  <c r="AH40" i="17"/>
  <c r="AO9" i="18" s="1"/>
  <c r="AH34" i="17"/>
  <c r="AI9" i="18" s="1"/>
  <c r="AH35" i="17"/>
  <c r="AJ9" i="18" s="1"/>
  <c r="AH33" i="17"/>
  <c r="AH9" i="18" s="1"/>
  <c r="AH37" i="17"/>
  <c r="AL9" i="18" s="1"/>
  <c r="AH36" i="17"/>
  <c r="AK9" i="18" s="1"/>
  <c r="BB182" i="20"/>
  <c r="Q181" i="20"/>
  <c r="R181" i="20"/>
  <c r="O41" i="19"/>
  <c r="N41" i="19" s="1"/>
  <c r="P38" i="19"/>
  <c r="R38" i="19" s="1"/>
  <c r="O37" i="19"/>
  <c r="N37" i="19" s="1"/>
  <c r="O35" i="19"/>
  <c r="N35" i="19" s="1"/>
  <c r="O36" i="19"/>
  <c r="N36" i="19" s="1"/>
  <c r="P39" i="19"/>
  <c r="R39" i="19" s="1"/>
  <c r="O40" i="19"/>
  <c r="N40" i="19" s="1"/>
  <c r="O34" i="19"/>
  <c r="N34" i="19" s="1"/>
  <c r="BB21" i="20"/>
  <c r="BB28" i="20"/>
  <c r="R22" i="20"/>
  <c r="Q22" i="20"/>
  <c r="Q21" i="20"/>
  <c r="R21" i="20"/>
  <c r="R115" i="20"/>
  <c r="Q115" i="20"/>
  <c r="BB140" i="20"/>
  <c r="Q140" i="20"/>
  <c r="R140" i="20"/>
  <c r="Q139" i="20"/>
  <c r="R139" i="20"/>
  <c r="BB76" i="20"/>
  <c r="Q78" i="20"/>
  <c r="R78" i="20"/>
  <c r="BB100" i="20"/>
  <c r="R100" i="20"/>
  <c r="Q100" i="20"/>
  <c r="Q102" i="20"/>
  <c r="R102" i="20"/>
  <c r="BB147" i="20"/>
  <c r="Q149" i="20"/>
  <c r="R149" i="20"/>
  <c r="Q151" i="20"/>
  <c r="R151" i="20"/>
  <c r="R85" i="20"/>
  <c r="Q85" i="20"/>
  <c r="Q86" i="20"/>
  <c r="R86" i="20"/>
  <c r="BB35" i="20"/>
  <c r="Q36" i="20"/>
  <c r="R36" i="20"/>
  <c r="U48" i="17"/>
  <c r="T48" i="17" s="1"/>
  <c r="U44" i="17"/>
  <c r="T44" i="17" s="1"/>
  <c r="U49" i="17"/>
  <c r="T49" i="17" s="1"/>
  <c r="U50" i="17"/>
  <c r="T50" i="17" s="1"/>
  <c r="U47" i="17"/>
  <c r="T47" i="17" s="1"/>
  <c r="U45" i="17"/>
  <c r="T45" i="17" s="1"/>
  <c r="U43" i="17"/>
  <c r="T43" i="17" s="1"/>
  <c r="U46" i="17"/>
  <c r="T46" i="17" s="1"/>
  <c r="BB107" i="20"/>
  <c r="X111" i="20"/>
  <c r="W111" i="20"/>
  <c r="W112" i="20"/>
  <c r="X112" i="20"/>
  <c r="W68" i="20"/>
  <c r="X68" i="20"/>
  <c r="U30" i="17"/>
  <c r="T30" i="17" s="1"/>
  <c r="U29" i="17"/>
  <c r="T29" i="17" s="1"/>
  <c r="U27" i="17"/>
  <c r="T27" i="17" s="1"/>
  <c r="U24" i="17"/>
  <c r="T24" i="17" s="1"/>
  <c r="U25" i="17"/>
  <c r="T25" i="17" s="1"/>
  <c r="U23" i="17"/>
  <c r="T23" i="17" s="1"/>
  <c r="U26" i="17"/>
  <c r="T26" i="17" s="1"/>
  <c r="U28" i="17"/>
  <c r="T28" i="17" s="1"/>
  <c r="X199" i="20"/>
  <c r="W199" i="20"/>
  <c r="W213" i="20"/>
  <c r="X213" i="20"/>
  <c r="W216" i="20"/>
  <c r="X216" i="20"/>
  <c r="AD204" i="20"/>
  <c r="AC204" i="20"/>
  <c r="AD136" i="20"/>
  <c r="AC136" i="20"/>
  <c r="AD132" i="20"/>
  <c r="AC132" i="20"/>
  <c r="AC223" i="20"/>
  <c r="AD223" i="20"/>
  <c r="AD220" i="20"/>
  <c r="AC220" i="20"/>
  <c r="AD96" i="20"/>
  <c r="AC96" i="20"/>
  <c r="AD167" i="20"/>
  <c r="AC167" i="20"/>
  <c r="AC168" i="20"/>
  <c r="AD168" i="20"/>
  <c r="X54" i="21"/>
  <c r="X55" i="21"/>
  <c r="E22" i="25" s="1"/>
  <c r="AH49" i="17"/>
  <c r="AN10" i="18" s="1"/>
  <c r="AH48" i="17"/>
  <c r="AM10" i="18" s="1"/>
  <c r="AH44" i="17"/>
  <c r="AI10" i="18" s="1"/>
  <c r="AH45" i="17"/>
  <c r="AJ10" i="18" s="1"/>
  <c r="AH50" i="17"/>
  <c r="AH47" i="17"/>
  <c r="AL10" i="18" s="1"/>
  <c r="AH46" i="17"/>
  <c r="AK10" i="18" s="1"/>
  <c r="AH43" i="17"/>
  <c r="AH10" i="18" s="1"/>
  <c r="AI159" i="20"/>
  <c r="AB31" i="21" s="1"/>
  <c r="AB39" i="21" s="1"/>
  <c r="AI160" i="20"/>
  <c r="AC31" i="21" s="1"/>
  <c r="AC39" i="21" s="1"/>
  <c r="BG157" i="20"/>
  <c r="BF158" i="20"/>
  <c r="BF157" i="20"/>
  <c r="BC158" i="20"/>
  <c r="AI158" i="20"/>
  <c r="AA31" i="21" s="1"/>
  <c r="BC157" i="20"/>
  <c r="BG158" i="20"/>
  <c r="AI157" i="20"/>
  <c r="Z31" i="21" s="1"/>
  <c r="Z39" i="21" s="1"/>
  <c r="BF156" i="20"/>
  <c r="AI155" i="20"/>
  <c r="X31" i="21" s="1"/>
  <c r="AI156" i="20"/>
  <c r="Y31" i="21" s="1"/>
  <c r="Y39" i="21" s="1"/>
  <c r="BG156" i="20"/>
  <c r="BC155" i="20"/>
  <c r="BC156" i="20"/>
  <c r="BF155" i="20"/>
  <c r="BG155" i="20"/>
  <c r="Q107" i="20"/>
  <c r="R107" i="20"/>
  <c r="BB203" i="20"/>
  <c r="R205" i="20"/>
  <c r="Q205" i="20"/>
  <c r="Q206" i="20"/>
  <c r="R206" i="20"/>
  <c r="BB131" i="20"/>
  <c r="Q131" i="20"/>
  <c r="R131" i="20"/>
  <c r="R219" i="20"/>
  <c r="Q219" i="20"/>
  <c r="R224" i="20"/>
  <c r="Q224" i="20"/>
  <c r="R93" i="20"/>
  <c r="Q93" i="20"/>
  <c r="Q91" i="20"/>
  <c r="R91" i="20"/>
  <c r="R165" i="20"/>
  <c r="Q165" i="20"/>
  <c r="AW259" i="20"/>
  <c r="AW261" i="20"/>
  <c r="BB261" i="20" s="1"/>
  <c r="AW262" i="20"/>
  <c r="BB262" i="20" s="1"/>
  <c r="AW260" i="20"/>
  <c r="X179" i="20"/>
  <c r="W179" i="20"/>
  <c r="W21" i="20"/>
  <c r="X21" i="20"/>
  <c r="X19" i="20"/>
  <c r="W19" i="20"/>
  <c r="W119" i="20"/>
  <c r="X119" i="20"/>
  <c r="X48" i="20"/>
  <c r="W48" i="20"/>
  <c r="W45" i="20"/>
  <c r="X45" i="20"/>
  <c r="W6" i="20"/>
  <c r="X6" i="20"/>
  <c r="W64" i="20"/>
  <c r="X64" i="20"/>
  <c r="U19" i="19"/>
  <c r="T19" i="19" s="1"/>
  <c r="U15" i="19"/>
  <c r="T15" i="19" s="1"/>
  <c r="U18" i="19"/>
  <c r="T18" i="19" s="1"/>
  <c r="U21" i="19"/>
  <c r="T21" i="19" s="1"/>
  <c r="U14" i="19"/>
  <c r="T14" i="19" s="1"/>
  <c r="V20" i="19"/>
  <c r="X20" i="19" s="1"/>
  <c r="U17" i="19"/>
  <c r="T17" i="19" s="1"/>
  <c r="U16" i="19"/>
  <c r="T16" i="19" s="1"/>
  <c r="W173" i="20"/>
  <c r="X173" i="20"/>
  <c r="X127" i="20"/>
  <c r="W127" i="20"/>
  <c r="X123" i="20"/>
  <c r="W123" i="20"/>
  <c r="AC189" i="20"/>
  <c r="AD189" i="20"/>
  <c r="AC27" i="20"/>
  <c r="AD27" i="20"/>
  <c r="AD56" i="20"/>
  <c r="AC56" i="20"/>
  <c r="AD12" i="20"/>
  <c r="AC12" i="20"/>
  <c r="AC16" i="20"/>
  <c r="AD16" i="20"/>
  <c r="AC71" i="20"/>
  <c r="AD71" i="20"/>
  <c r="AA24" i="17"/>
  <c r="Z24" i="17" s="1"/>
  <c r="AA23" i="17"/>
  <c r="Z23" i="17" s="1"/>
  <c r="AB29" i="17"/>
  <c r="AD29" i="17" s="1"/>
  <c r="AD8" i="18" s="1"/>
  <c r="AB25" i="17"/>
  <c r="AD25" i="17" s="1"/>
  <c r="Z8" i="18" s="1"/>
  <c r="AB28" i="17"/>
  <c r="AD28" i="17" s="1"/>
  <c r="AC8" i="18" s="1"/>
  <c r="AB26" i="17"/>
  <c r="AD26" i="17" s="1"/>
  <c r="AA8" i="18" s="1"/>
  <c r="AB30" i="17"/>
  <c r="AD30" i="17" s="1"/>
  <c r="AE8" i="18" s="1"/>
  <c r="AB27" i="17"/>
  <c r="AD27" i="17" s="1"/>
  <c r="AB8" i="18" s="1"/>
  <c r="AC199" i="20"/>
  <c r="AD199" i="20"/>
  <c r="AC216" i="20"/>
  <c r="AD216" i="20"/>
  <c r="AH29" i="17"/>
  <c r="AN8" i="18" s="1"/>
  <c r="AH30" i="17"/>
  <c r="AO8" i="18" s="1"/>
  <c r="AH28" i="17"/>
  <c r="AM8" i="18" s="1"/>
  <c r="AH27" i="17"/>
  <c r="AL8" i="18" s="1"/>
  <c r="AH24" i="17"/>
  <c r="AI8" i="18" s="1"/>
  <c r="AH23" i="17"/>
  <c r="AH8" i="18" s="1"/>
  <c r="AH26" i="17"/>
  <c r="AK8" i="18" s="1"/>
  <c r="AH25" i="17"/>
  <c r="AJ8" i="18" s="1"/>
  <c r="R187" i="20"/>
  <c r="Q187" i="20"/>
  <c r="P32" i="20"/>
  <c r="O32" i="20" s="1"/>
  <c r="P31" i="20"/>
  <c r="O31" i="20" s="1"/>
  <c r="AW27" i="20"/>
  <c r="P29" i="20"/>
  <c r="O29" i="20" s="1"/>
  <c r="P30" i="20"/>
  <c r="O30" i="20" s="1"/>
  <c r="P28" i="20"/>
  <c r="O28" i="20" s="1"/>
  <c r="P27" i="20"/>
  <c r="O27" i="20" s="1"/>
  <c r="Q52" i="20"/>
  <c r="R52" i="20"/>
  <c r="R72" i="20"/>
  <c r="Q72" i="20"/>
  <c r="Q199" i="20"/>
  <c r="R199" i="20"/>
  <c r="Q200" i="20"/>
  <c r="R200" i="20"/>
  <c r="Q215" i="20"/>
  <c r="R215" i="20"/>
  <c r="X203" i="20"/>
  <c r="W203" i="20"/>
  <c r="W135" i="20"/>
  <c r="X135" i="20"/>
  <c r="X131" i="20"/>
  <c r="W131" i="20"/>
  <c r="W139" i="20"/>
  <c r="X139" i="20"/>
  <c r="W142" i="20"/>
  <c r="X142" i="20"/>
  <c r="X80" i="20"/>
  <c r="W80" i="20"/>
  <c r="W101" i="20"/>
  <c r="X101" i="20"/>
  <c r="X151" i="20"/>
  <c r="W151" i="20"/>
  <c r="X84" i="20"/>
  <c r="W84" i="20"/>
  <c r="X37" i="20"/>
  <c r="W37" i="20"/>
  <c r="W38" i="20"/>
  <c r="X38" i="20"/>
  <c r="AC107" i="20"/>
  <c r="AD107" i="20"/>
  <c r="AC108" i="20"/>
  <c r="AD108" i="20"/>
  <c r="AD47" i="20"/>
  <c r="AC47" i="20"/>
  <c r="AC6" i="20"/>
  <c r="AD6" i="20"/>
  <c r="AC8" i="20"/>
  <c r="AD8" i="20"/>
  <c r="AA20" i="17"/>
  <c r="Z20" i="17" s="1"/>
  <c r="AA14" i="17"/>
  <c r="Z14" i="17" s="1"/>
  <c r="AA15" i="17"/>
  <c r="Z15" i="17" s="1"/>
  <c r="AA16" i="17"/>
  <c r="Z16" i="17" s="1"/>
  <c r="AB19" i="17"/>
  <c r="AD19" i="17" s="1"/>
  <c r="AB18" i="17"/>
  <c r="AD18" i="17" s="1"/>
  <c r="AC7" i="18" s="1"/>
  <c r="AA13" i="17"/>
  <c r="Z13" i="17" s="1"/>
  <c r="AB17" i="17"/>
  <c r="AD17" i="17" s="1"/>
  <c r="AB7" i="18" s="1"/>
  <c r="AC172" i="20"/>
  <c r="AD172" i="20"/>
  <c r="AC173" i="20"/>
  <c r="AD173" i="20"/>
  <c r="AD127" i="20"/>
  <c r="AC127" i="20"/>
  <c r="AH16" i="19"/>
  <c r="AH18" i="19"/>
  <c r="AH17" i="19"/>
  <c r="AH21" i="19"/>
  <c r="AH14" i="19"/>
  <c r="AH19" i="19"/>
  <c r="AH15" i="19"/>
  <c r="AH20" i="19"/>
  <c r="X7" i="21"/>
  <c r="AK3" i="20"/>
  <c r="AA7" i="21"/>
  <c r="AK6" i="20"/>
  <c r="BB45" i="20"/>
  <c r="Q43" i="20"/>
  <c r="R43" i="20"/>
  <c r="BB3" i="20"/>
  <c r="BB4" i="20"/>
  <c r="Q7" i="20"/>
  <c r="R7" i="20"/>
  <c r="BB60" i="20"/>
  <c r="Q62" i="20"/>
  <c r="R62" i="20"/>
  <c r="O16" i="17"/>
  <c r="N16" i="17" s="1"/>
  <c r="O13" i="17"/>
  <c r="N13" i="17" s="1"/>
  <c r="O20" i="17"/>
  <c r="N20" i="17" s="1"/>
  <c r="O15" i="17"/>
  <c r="N15" i="17" s="1"/>
  <c r="O14" i="17"/>
  <c r="N14" i="17" s="1"/>
  <c r="P19" i="17"/>
  <c r="R19" i="17" s="1"/>
  <c r="P18" i="17"/>
  <c r="P17" i="17"/>
  <c r="R172" i="20"/>
  <c r="Q172" i="20"/>
  <c r="R173" i="20"/>
  <c r="Q173" i="20"/>
  <c r="BB125" i="20"/>
  <c r="Q124" i="20"/>
  <c r="R124" i="20"/>
  <c r="Q126" i="20"/>
  <c r="R126" i="20"/>
  <c r="X190" i="20"/>
  <c r="W190" i="20"/>
  <c r="W189" i="20"/>
  <c r="X189" i="20"/>
  <c r="W31" i="20"/>
  <c r="Y31" i="20" s="1"/>
  <c r="N10" i="21" s="1"/>
  <c r="W32" i="20"/>
  <c r="Y32" i="20" s="1"/>
  <c r="O10" i="21" s="1"/>
  <c r="W28" i="20"/>
  <c r="Y28" i="20" s="1"/>
  <c r="K10" i="21" s="1"/>
  <c r="W29" i="20"/>
  <c r="Y29" i="20" s="1"/>
  <c r="L10" i="21" s="1"/>
  <c r="W30" i="20"/>
  <c r="Y30" i="20" s="1"/>
  <c r="M10" i="21" s="1"/>
  <c r="V27" i="20"/>
  <c r="U27" i="20" s="1"/>
  <c r="AY27" i="20"/>
  <c r="W54" i="20"/>
  <c r="X54" i="20"/>
  <c r="X56" i="20"/>
  <c r="W56" i="20"/>
  <c r="W223" i="20"/>
  <c r="X223" i="20"/>
  <c r="W92" i="20"/>
  <c r="X92" i="20"/>
  <c r="BB94" i="20"/>
  <c r="W95" i="20"/>
  <c r="X95" i="20"/>
  <c r="X165" i="20"/>
  <c r="W165" i="20"/>
  <c r="AX7" i="17"/>
  <c r="U7" i="17"/>
  <c r="T7" i="17" s="1"/>
  <c r="U8" i="17"/>
  <c r="T8" i="17" s="1"/>
  <c r="U6" i="17"/>
  <c r="T6" i="17" s="1"/>
  <c r="U3" i="17"/>
  <c r="T3" i="17" s="1"/>
  <c r="U9" i="17"/>
  <c r="T9" i="17" s="1"/>
  <c r="U10" i="17"/>
  <c r="T10" i="17" s="1"/>
  <c r="U4" i="17"/>
  <c r="T4" i="17" s="1"/>
  <c r="U5" i="17"/>
  <c r="T5" i="17" s="1"/>
  <c r="AX6" i="17"/>
  <c r="AX5" i="17"/>
  <c r="AX3" i="17"/>
  <c r="AX4" i="17"/>
  <c r="AC179" i="20"/>
  <c r="AD179" i="20"/>
  <c r="AC181" i="20"/>
  <c r="AD181" i="20"/>
  <c r="AD20" i="20"/>
  <c r="AC20" i="20"/>
  <c r="AD19" i="20"/>
  <c r="AC19" i="20"/>
  <c r="AC119" i="20"/>
  <c r="AD119" i="20"/>
  <c r="AD140" i="20"/>
  <c r="AC140" i="20"/>
  <c r="AC144" i="20"/>
  <c r="AD144" i="20"/>
  <c r="AC78" i="20"/>
  <c r="AD78" i="20"/>
  <c r="AC101" i="20"/>
  <c r="AD101" i="20"/>
  <c r="AC103" i="20"/>
  <c r="AD103" i="20"/>
  <c r="AC152" i="20"/>
  <c r="AD152" i="20"/>
  <c r="AC85" i="20"/>
  <c r="AD85" i="20"/>
  <c r="AD83" i="20"/>
  <c r="AC83" i="20"/>
  <c r="AC38" i="20"/>
  <c r="AD38" i="20"/>
  <c r="AC160" i="20"/>
  <c r="AD160" i="20"/>
  <c r="AD156" i="20"/>
  <c r="AC156" i="20"/>
  <c r="BB179" i="20"/>
  <c r="Q179" i="20"/>
  <c r="R179" i="20"/>
  <c r="Q182" i="20"/>
  <c r="R182" i="20"/>
  <c r="BB22" i="20"/>
  <c r="BB20" i="20"/>
  <c r="R20" i="20"/>
  <c r="Q20" i="20"/>
  <c r="Q19" i="20"/>
  <c r="R19" i="20"/>
  <c r="BB118" i="20"/>
  <c r="Q119" i="20"/>
  <c r="R119" i="20"/>
  <c r="BB141" i="20"/>
  <c r="BB142" i="20"/>
  <c r="Q142" i="20"/>
  <c r="R142" i="20"/>
  <c r="BB78" i="20"/>
  <c r="R80" i="20"/>
  <c r="Q80" i="20"/>
  <c r="BB99" i="20"/>
  <c r="R99" i="20"/>
  <c r="Q99" i="20"/>
  <c r="BB251" i="20"/>
  <c r="BB254" i="20"/>
  <c r="BB148" i="20"/>
  <c r="Q147" i="20"/>
  <c r="R147" i="20"/>
  <c r="BB84" i="20"/>
  <c r="Q88" i="20"/>
  <c r="R88" i="20"/>
  <c r="R87" i="20"/>
  <c r="Q87" i="20"/>
  <c r="R35" i="20"/>
  <c r="Q35" i="20"/>
  <c r="R40" i="20"/>
  <c r="Q40" i="20"/>
  <c r="W109" i="20"/>
  <c r="X109" i="20"/>
  <c r="X107" i="20"/>
  <c r="W107" i="20"/>
  <c r="W14" i="20"/>
  <c r="X14" i="20"/>
  <c r="X15" i="20"/>
  <c r="W15" i="20"/>
  <c r="W67" i="20"/>
  <c r="X67" i="20"/>
  <c r="W69" i="20"/>
  <c r="X69" i="20"/>
  <c r="X198" i="20"/>
  <c r="W198" i="20"/>
  <c r="W214" i="20"/>
  <c r="X214" i="20"/>
  <c r="W211" i="20"/>
  <c r="X211" i="20"/>
  <c r="AD206" i="20"/>
  <c r="AC206" i="20"/>
  <c r="AC133" i="20"/>
  <c r="AD133" i="20"/>
  <c r="AD131" i="20"/>
  <c r="AC131" i="20"/>
  <c r="AC219" i="20"/>
  <c r="AD219" i="20"/>
  <c r="AC224" i="20"/>
  <c r="AD224" i="20"/>
  <c r="AD94" i="20"/>
  <c r="AC94" i="20"/>
  <c r="AC166" i="20"/>
  <c r="AD166" i="20"/>
  <c r="AD165" i="20"/>
  <c r="AC165" i="20"/>
  <c r="V35" i="12"/>
  <c r="U35" i="12" s="1"/>
  <c r="V36" i="12"/>
  <c r="U36" i="12" s="1"/>
  <c r="V34" i="12"/>
  <c r="U34" i="12" s="1"/>
  <c r="V33" i="12"/>
  <c r="U33" i="12" s="1"/>
  <c r="X33" i="12" s="1"/>
  <c r="AI87" i="12"/>
  <c r="V25" i="15" s="1"/>
  <c r="AI90" i="12"/>
  <c r="Y25" i="15" s="1"/>
  <c r="AI89" i="12"/>
  <c r="X25" i="15" s="1"/>
  <c r="AI88" i="12"/>
  <c r="W25" i="15" s="1"/>
  <c r="AB10" i="12"/>
  <c r="AB9" i="12"/>
  <c r="AA9" i="12" s="1"/>
  <c r="AD9" i="12" s="1"/>
  <c r="AB11" i="12"/>
  <c r="AB12" i="12"/>
  <c r="AI33" i="12"/>
  <c r="V16" i="15" s="1"/>
  <c r="AI36" i="12"/>
  <c r="Y16" i="15" s="1"/>
  <c r="AI35" i="12"/>
  <c r="X16" i="15" s="1"/>
  <c r="AI34" i="12"/>
  <c r="W16" i="15" s="1"/>
  <c r="AB77" i="12"/>
  <c r="AA77" i="12" s="1"/>
  <c r="AB75" i="12"/>
  <c r="AA75" i="12" s="1"/>
  <c r="AD75" i="12" s="1"/>
  <c r="AB78" i="12"/>
  <c r="AA78" i="12" s="1"/>
  <c r="AB76" i="12"/>
  <c r="AA76" i="12" s="1"/>
  <c r="AB83" i="12"/>
  <c r="AA83" i="12" s="1"/>
  <c r="AB84" i="12"/>
  <c r="AA84" i="12" s="1"/>
  <c r="AB82" i="12"/>
  <c r="AA82" i="12" s="1"/>
  <c r="AB81" i="12"/>
  <c r="AA81" i="12" s="1"/>
  <c r="AD81" i="12" s="1"/>
  <c r="AB90" i="12"/>
  <c r="AA90" i="12" s="1"/>
  <c r="AB88" i="12"/>
  <c r="AA88" i="12" s="1"/>
  <c r="AB89" i="12"/>
  <c r="AA89" i="12" s="1"/>
  <c r="AB87" i="12"/>
  <c r="AA87" i="12" s="1"/>
  <c r="AD87" i="12" s="1"/>
  <c r="AI75" i="12"/>
  <c r="V23" i="15" s="1"/>
  <c r="AI77" i="12"/>
  <c r="X23" i="15" s="1"/>
  <c r="AI76" i="12"/>
  <c r="W23" i="15" s="1"/>
  <c r="AI78" i="12"/>
  <c r="Y23" i="15" s="1"/>
  <c r="P10" i="12"/>
  <c r="O10" i="12" s="1"/>
  <c r="R10" i="12" s="1"/>
  <c r="P9" i="12"/>
  <c r="O9" i="12" s="1"/>
  <c r="P12" i="12"/>
  <c r="P11" i="12"/>
  <c r="O11" i="12" s="1"/>
  <c r="R11" i="12" s="1"/>
  <c r="F2" i="15"/>
  <c r="AB34" i="12"/>
  <c r="AA34" i="12" s="1"/>
  <c r="AB35" i="12"/>
  <c r="AA35" i="12" s="1"/>
  <c r="AB36" i="12"/>
  <c r="AA36" i="12" s="1"/>
  <c r="AB33" i="12"/>
  <c r="AA33" i="12" s="1"/>
  <c r="AD33" i="12" s="1"/>
  <c r="P77" i="12"/>
  <c r="O77" i="12" s="1"/>
  <c r="P78" i="12"/>
  <c r="O78" i="12" s="1"/>
  <c r="P76" i="12"/>
  <c r="O76" i="12" s="1"/>
  <c r="P75" i="12"/>
  <c r="O75" i="12" s="1"/>
  <c r="R75" i="12" s="1"/>
  <c r="P82" i="12"/>
  <c r="O82" i="12" s="1"/>
  <c r="P84" i="12"/>
  <c r="O84" i="12" s="1"/>
  <c r="P81" i="12"/>
  <c r="O81" i="12" s="1"/>
  <c r="R81" i="12" s="1"/>
  <c r="P83" i="12"/>
  <c r="O83" i="12" s="1"/>
  <c r="P89" i="12"/>
  <c r="O89" i="12" s="1"/>
  <c r="P88" i="12"/>
  <c r="O88" i="12" s="1"/>
  <c r="P87" i="12"/>
  <c r="O87" i="12" s="1"/>
  <c r="R87" i="12" s="1"/>
  <c r="P90" i="12"/>
  <c r="O90" i="12" s="1"/>
  <c r="AI84" i="12"/>
  <c r="AI83" i="12"/>
  <c r="AI82" i="12"/>
  <c r="W24" i="15" s="1"/>
  <c r="AB6" i="12"/>
  <c r="AA6" i="12" s="1"/>
  <c r="AD6" i="12" s="1"/>
  <c r="AB4" i="12"/>
  <c r="AA4" i="12" s="1"/>
  <c r="AD4" i="12" s="1"/>
  <c r="AB3" i="12"/>
  <c r="AA3" i="12" s="1"/>
  <c r="AD3" i="12" s="1"/>
  <c r="AB5" i="12"/>
  <c r="AA5" i="12" s="1"/>
  <c r="AD5" i="12" s="1"/>
  <c r="V6" i="12"/>
  <c r="U6" i="12" s="1"/>
  <c r="X6" i="12" s="1"/>
  <c r="V3" i="12"/>
  <c r="U3" i="12" s="1"/>
  <c r="X3" i="12" s="1"/>
  <c r="V5" i="12"/>
  <c r="U5" i="12" s="1"/>
  <c r="X5" i="12" s="1"/>
  <c r="V4" i="12"/>
  <c r="U4" i="12" s="1"/>
  <c r="X4" i="12" s="1"/>
  <c r="V11" i="12"/>
  <c r="U11" i="12" s="1"/>
  <c r="X11" i="12" s="1"/>
  <c r="V12" i="12"/>
  <c r="U12" i="12" s="1"/>
  <c r="X12" i="12" s="1"/>
  <c r="V10" i="12"/>
  <c r="U10" i="12" s="1"/>
  <c r="X10" i="12" s="1"/>
  <c r="V9" i="12"/>
  <c r="U9" i="12" s="1"/>
  <c r="X9" i="12" s="1"/>
  <c r="P34" i="12"/>
  <c r="O34" i="12" s="1"/>
  <c r="P33" i="12"/>
  <c r="O33" i="12" s="1"/>
  <c r="R33" i="12" s="1"/>
  <c r="P36" i="12"/>
  <c r="O36" i="12" s="1"/>
  <c r="P35" i="12"/>
  <c r="O35" i="12" s="1"/>
  <c r="V76" i="12"/>
  <c r="U76" i="12" s="1"/>
  <c r="V78" i="12"/>
  <c r="U78" i="12" s="1"/>
  <c r="V75" i="12"/>
  <c r="U75" i="12" s="1"/>
  <c r="X75" i="12" s="1"/>
  <c r="V77" i="12"/>
  <c r="U77" i="12" s="1"/>
  <c r="V81" i="12"/>
  <c r="U81" i="12" s="1"/>
  <c r="X81" i="12" s="1"/>
  <c r="V82" i="12"/>
  <c r="U82" i="12" s="1"/>
  <c r="V84" i="12"/>
  <c r="U84" i="12" s="1"/>
  <c r="V83" i="12"/>
  <c r="U83" i="12" s="1"/>
  <c r="V87" i="12"/>
  <c r="U87" i="12" s="1"/>
  <c r="X87" i="12" s="1"/>
  <c r="V90" i="12"/>
  <c r="U90" i="12" s="1"/>
  <c r="V88" i="12"/>
  <c r="U88" i="12" s="1"/>
  <c r="V89" i="12"/>
  <c r="U89" i="12" s="1"/>
  <c r="O3" i="12"/>
  <c r="R3" i="12" s="1"/>
  <c r="P6" i="12"/>
  <c r="O6" i="12" s="1"/>
  <c r="R6" i="12" s="1"/>
  <c r="P4" i="12"/>
  <c r="O4" i="12" s="1"/>
  <c r="R4" i="12" s="1"/>
  <c r="P5" i="12"/>
  <c r="O5" i="12" s="1"/>
  <c r="R5" i="12" s="1"/>
  <c r="AI3" i="12"/>
  <c r="AK3" i="12" s="1"/>
  <c r="AI5" i="12"/>
  <c r="AI4" i="12"/>
  <c r="AI6" i="12"/>
  <c r="Y11" i="15" s="1"/>
  <c r="AI10" i="12"/>
  <c r="W12" i="15" s="1"/>
  <c r="AI12" i="12"/>
  <c r="Y12" i="15" s="1"/>
  <c r="AI11" i="12"/>
  <c r="X12" i="15" s="1"/>
  <c r="AW84" i="12"/>
  <c r="AW6" i="12"/>
  <c r="BG12" i="12"/>
  <c r="AI9" i="12"/>
  <c r="V12" i="15" s="1"/>
  <c r="BF84" i="12"/>
  <c r="AI81" i="12"/>
  <c r="V24" i="15" s="1"/>
  <c r="O146" i="6"/>
  <c r="N146" i="6" s="1"/>
  <c r="Q146" i="6" s="1"/>
  <c r="O147" i="6"/>
  <c r="N147" i="6" s="1"/>
  <c r="Q147" i="6" s="1"/>
  <c r="O144" i="6"/>
  <c r="N144" i="6" s="1"/>
  <c r="Q144" i="6" s="1"/>
  <c r="O143" i="6"/>
  <c r="N143" i="6" s="1"/>
  <c r="Q143" i="6" s="1"/>
  <c r="O145" i="6"/>
  <c r="N145" i="6" s="1"/>
  <c r="Q145" i="6" s="1"/>
  <c r="O140" i="6"/>
  <c r="N140" i="6" s="1"/>
  <c r="Q140" i="6" s="1"/>
  <c r="O136" i="6"/>
  <c r="N136" i="6" s="1"/>
  <c r="Q136" i="6" s="1"/>
  <c r="O139" i="6"/>
  <c r="N139" i="6" s="1"/>
  <c r="Q139" i="6" s="1"/>
  <c r="O137" i="6"/>
  <c r="N137" i="6" s="1"/>
  <c r="Q137" i="6" s="1"/>
  <c r="O138" i="6"/>
  <c r="N138" i="6" s="1"/>
  <c r="Q138" i="6" s="1"/>
  <c r="O189" i="6"/>
  <c r="N189" i="6" s="1"/>
  <c r="P189" i="6" s="1"/>
  <c r="O187" i="6"/>
  <c r="N187" i="6" s="1"/>
  <c r="Q187" i="6" s="1"/>
  <c r="O185" i="6"/>
  <c r="N185" i="6" s="1"/>
  <c r="Q185" i="6" s="1"/>
  <c r="O188" i="6"/>
  <c r="N188" i="6" s="1"/>
  <c r="O186" i="6"/>
  <c r="N186" i="6" s="1"/>
  <c r="O91" i="6"/>
  <c r="N91" i="6" s="1"/>
  <c r="Q91" i="6" s="1"/>
  <c r="O89" i="6"/>
  <c r="N89" i="6" s="1"/>
  <c r="Q89" i="6" s="1"/>
  <c r="O87" i="6"/>
  <c r="N87" i="6" s="1"/>
  <c r="Q87" i="6" s="1"/>
  <c r="O90" i="6"/>
  <c r="N90" i="6" s="1"/>
  <c r="Q90" i="6" s="1"/>
  <c r="O88" i="6"/>
  <c r="N88" i="6" s="1"/>
  <c r="Q88" i="6" s="1"/>
  <c r="U138" i="6"/>
  <c r="T138" i="6" s="1"/>
  <c r="W138" i="6" s="1"/>
  <c r="U137" i="6"/>
  <c r="T137" i="6" s="1"/>
  <c r="W137" i="6" s="1"/>
  <c r="U140" i="6"/>
  <c r="T140" i="6" s="1"/>
  <c r="W140" i="6" s="1"/>
  <c r="U136" i="6"/>
  <c r="T136" i="6" s="1"/>
  <c r="W136" i="6" s="1"/>
  <c r="U139" i="6"/>
  <c r="T139" i="6" s="1"/>
  <c r="W139" i="6" s="1"/>
  <c r="O153" i="6"/>
  <c r="N153" i="6" s="1"/>
  <c r="Q153" i="6" s="1"/>
  <c r="O150" i="6"/>
  <c r="N150" i="6" s="1"/>
  <c r="Q150" i="6" s="1"/>
  <c r="O154" i="6"/>
  <c r="N154" i="6" s="1"/>
  <c r="Q154" i="6" s="1"/>
  <c r="O152" i="6"/>
  <c r="N152" i="6" s="1"/>
  <c r="Q152" i="6" s="1"/>
  <c r="O151" i="6"/>
  <c r="N151" i="6" s="1"/>
  <c r="Q151" i="6" s="1"/>
  <c r="O54" i="6"/>
  <c r="N54" i="6" s="1"/>
  <c r="Q54" i="6" s="1"/>
  <c r="O55" i="6"/>
  <c r="N55" i="6" s="1"/>
  <c r="Q55" i="6" s="1"/>
  <c r="O56" i="6"/>
  <c r="N56" i="6" s="1"/>
  <c r="Q56" i="6" s="1"/>
  <c r="O53" i="6"/>
  <c r="N53" i="6" s="1"/>
  <c r="Q53" i="6" s="1"/>
  <c r="O52" i="6"/>
  <c r="N52" i="6" s="1"/>
  <c r="Q52" i="6" s="1"/>
  <c r="AV47" i="6"/>
  <c r="O47" i="6"/>
  <c r="N47" i="6" s="1"/>
  <c r="Q47" i="6" s="1"/>
  <c r="O48" i="6"/>
  <c r="N48" i="6" s="1"/>
  <c r="Q48" i="6" s="1"/>
  <c r="O49" i="6"/>
  <c r="N49" i="6" s="1"/>
  <c r="Q49" i="6" s="1"/>
  <c r="O46" i="6"/>
  <c r="N46" i="6" s="1"/>
  <c r="Q46" i="6" s="1"/>
  <c r="O45" i="6"/>
  <c r="N45" i="6" s="1"/>
  <c r="Q45" i="6" s="1"/>
  <c r="O160" i="6"/>
  <c r="N160" i="6" s="1"/>
  <c r="Q160" i="6" s="1"/>
  <c r="O158" i="6"/>
  <c r="N158" i="6" s="1"/>
  <c r="Q158" i="6" s="1"/>
  <c r="O157" i="6"/>
  <c r="N157" i="6" s="1"/>
  <c r="Q157" i="6" s="1"/>
  <c r="O161" i="6"/>
  <c r="N161" i="6" s="1"/>
  <c r="Q161" i="6" s="1"/>
  <c r="O159" i="6"/>
  <c r="N159" i="6" s="1"/>
  <c r="Q159" i="6" s="1"/>
  <c r="U154" i="6"/>
  <c r="T154" i="6" s="1"/>
  <c r="W154" i="6" s="1"/>
  <c r="U152" i="6"/>
  <c r="T152" i="6" s="1"/>
  <c r="W152" i="6" s="1"/>
  <c r="U151" i="6"/>
  <c r="T151" i="6" s="1"/>
  <c r="W151" i="6" s="1"/>
  <c r="U153" i="6"/>
  <c r="T153" i="6" s="1"/>
  <c r="W153" i="6" s="1"/>
  <c r="U150" i="6"/>
  <c r="T150" i="6" s="1"/>
  <c r="W150" i="6" s="1"/>
  <c r="U56" i="6"/>
  <c r="T56" i="6" s="1"/>
  <c r="W56" i="6" s="1"/>
  <c r="U53" i="6"/>
  <c r="T53" i="6" s="1"/>
  <c r="W53" i="6" s="1"/>
  <c r="U52" i="6"/>
  <c r="T52" i="6" s="1"/>
  <c r="U54" i="6"/>
  <c r="T54" i="6" s="1"/>
  <c r="W54" i="6" s="1"/>
  <c r="U55" i="6"/>
  <c r="T55" i="6" s="1"/>
  <c r="W55" i="6" s="1"/>
  <c r="AX11" i="6"/>
  <c r="U14" i="6"/>
  <c r="T14" i="6" s="1"/>
  <c r="W14" i="6" s="1"/>
  <c r="U11" i="6"/>
  <c r="T11" i="6" s="1"/>
  <c r="W11" i="6" s="1"/>
  <c r="U10" i="6"/>
  <c r="T10" i="6" s="1"/>
  <c r="W10" i="6" s="1"/>
  <c r="U12" i="6"/>
  <c r="T12" i="6" s="1"/>
  <c r="W12" i="6" s="1"/>
  <c r="U13" i="6"/>
  <c r="T13" i="6" s="1"/>
  <c r="W13" i="6" s="1"/>
  <c r="AX46" i="6"/>
  <c r="U49" i="6"/>
  <c r="T49" i="6" s="1"/>
  <c r="W49" i="6" s="1"/>
  <c r="U46" i="6"/>
  <c r="T46" i="6" s="1"/>
  <c r="W46" i="6" s="1"/>
  <c r="U45" i="6"/>
  <c r="T45" i="6" s="1"/>
  <c r="W45" i="6" s="1"/>
  <c r="U47" i="6"/>
  <c r="T47" i="6" s="1"/>
  <c r="W47" i="6" s="1"/>
  <c r="U48" i="6"/>
  <c r="T48" i="6" s="1"/>
  <c r="W48" i="6" s="1"/>
  <c r="U161" i="6"/>
  <c r="T161" i="6" s="1"/>
  <c r="W161" i="6" s="1"/>
  <c r="U159" i="6"/>
  <c r="T159" i="6" s="1"/>
  <c r="W159" i="6" s="1"/>
  <c r="U157" i="6"/>
  <c r="T157" i="6" s="1"/>
  <c r="W157" i="6" s="1"/>
  <c r="U160" i="6"/>
  <c r="T160" i="6" s="1"/>
  <c r="W160" i="6" s="1"/>
  <c r="U158" i="6"/>
  <c r="T158" i="6" s="1"/>
  <c r="W158" i="6" s="1"/>
  <c r="Z19" i="10"/>
  <c r="U216" i="6"/>
  <c r="T216" i="6" s="1"/>
  <c r="W216" i="6" s="1"/>
  <c r="U214" i="6"/>
  <c r="T214" i="6" s="1"/>
  <c r="W214" i="6" s="1"/>
  <c r="U217" i="6"/>
  <c r="T217" i="6" s="1"/>
  <c r="U215" i="6"/>
  <c r="T215" i="6" s="1"/>
  <c r="V215" i="6" s="1"/>
  <c r="AA47" i="6"/>
  <c r="Z47" i="6" s="1"/>
  <c r="AC47" i="6" s="1"/>
  <c r="AA48" i="6"/>
  <c r="Z48" i="6" s="1"/>
  <c r="AC48" i="6" s="1"/>
  <c r="AA49" i="6"/>
  <c r="Z49" i="6" s="1"/>
  <c r="AC49" i="6" s="1"/>
  <c r="AA46" i="6"/>
  <c r="Z46" i="6" s="1"/>
  <c r="AC46" i="6" s="1"/>
  <c r="AA45" i="6"/>
  <c r="Z45" i="6" s="1"/>
  <c r="AC45" i="6" s="1"/>
  <c r="AA11" i="6"/>
  <c r="Z11" i="6" s="1"/>
  <c r="AC11" i="6" s="1"/>
  <c r="AA10" i="6"/>
  <c r="Z10" i="6" s="1"/>
  <c r="AC10" i="6" s="1"/>
  <c r="AA12" i="6"/>
  <c r="Z12" i="6" s="1"/>
  <c r="AC12" i="6" s="1"/>
  <c r="AA13" i="6"/>
  <c r="Z13" i="6" s="1"/>
  <c r="AC13" i="6" s="1"/>
  <c r="AA14" i="6"/>
  <c r="Z14" i="6" s="1"/>
  <c r="AC14" i="6" s="1"/>
  <c r="AA132" i="6"/>
  <c r="Z132" i="6" s="1"/>
  <c r="AC132" i="6" s="1"/>
  <c r="AA130" i="6"/>
  <c r="Z130" i="6" s="1"/>
  <c r="AC130" i="6" s="1"/>
  <c r="AA131" i="6"/>
  <c r="Z131" i="6" s="1"/>
  <c r="AC131" i="6" s="1"/>
  <c r="AA133" i="6"/>
  <c r="Z133" i="6" s="1"/>
  <c r="AC133" i="6" s="1"/>
  <c r="AA129" i="6"/>
  <c r="Z129" i="6" s="1"/>
  <c r="AC129" i="6" s="1"/>
  <c r="AA115" i="6"/>
  <c r="Z115" i="6" s="1"/>
  <c r="AC115" i="6" s="1"/>
  <c r="AA118" i="6"/>
  <c r="Z118" i="6" s="1"/>
  <c r="AC118" i="6" s="1"/>
  <c r="AA119" i="6"/>
  <c r="Z119" i="6" s="1"/>
  <c r="AC119" i="6" s="1"/>
  <c r="AA117" i="6"/>
  <c r="Z117" i="6" s="1"/>
  <c r="AC117" i="6" s="1"/>
  <c r="AA116" i="6"/>
  <c r="Z116" i="6" s="1"/>
  <c r="AC116" i="6" s="1"/>
  <c r="AA167" i="6"/>
  <c r="Z167" i="6" s="1"/>
  <c r="AC167" i="6" s="1"/>
  <c r="AA168" i="6"/>
  <c r="Z168" i="6" s="1"/>
  <c r="AC168" i="6" s="1"/>
  <c r="AA165" i="6"/>
  <c r="Z165" i="6" s="1"/>
  <c r="AC165" i="6" s="1"/>
  <c r="AA164" i="6"/>
  <c r="Z164" i="6" s="1"/>
  <c r="AC164" i="6" s="1"/>
  <c r="AA166" i="6"/>
  <c r="Z166" i="6" s="1"/>
  <c r="AC166" i="6" s="1"/>
  <c r="AA196" i="6"/>
  <c r="Z196" i="6" s="1"/>
  <c r="AA193" i="6"/>
  <c r="Z193" i="6" s="1"/>
  <c r="AA194" i="6"/>
  <c r="Z194" i="6" s="1"/>
  <c r="AA192" i="6"/>
  <c r="Z192" i="6" s="1"/>
  <c r="AA146" i="6"/>
  <c r="Z146" i="6" s="1"/>
  <c r="AC146" i="6" s="1"/>
  <c r="AA147" i="6"/>
  <c r="Z147" i="6" s="1"/>
  <c r="AC147" i="6" s="1"/>
  <c r="AA144" i="6"/>
  <c r="Z144" i="6" s="1"/>
  <c r="AC144" i="6" s="1"/>
  <c r="AA143" i="6"/>
  <c r="Z143" i="6" s="1"/>
  <c r="AC143" i="6" s="1"/>
  <c r="AA145" i="6"/>
  <c r="Z145" i="6" s="1"/>
  <c r="AC145" i="6" s="1"/>
  <c r="AA201" i="6"/>
  <c r="Z201" i="6" s="1"/>
  <c r="AA202" i="6"/>
  <c r="Z202" i="6" s="1"/>
  <c r="AA200" i="6"/>
  <c r="Z200" i="6" s="1"/>
  <c r="AC200" i="6" s="1"/>
  <c r="AA199" i="6"/>
  <c r="Z199" i="6" s="1"/>
  <c r="AB199" i="6" s="1"/>
  <c r="AB137" i="12"/>
  <c r="AA137" i="12" s="1"/>
  <c r="AB138" i="12"/>
  <c r="AA138" i="12" s="1"/>
  <c r="AD138" i="12" s="1"/>
  <c r="AB136" i="12"/>
  <c r="AA136" i="12" s="1"/>
  <c r="AD136" i="12" s="1"/>
  <c r="AB135" i="12"/>
  <c r="AA135" i="12" s="1"/>
  <c r="AD135" i="12" s="1"/>
  <c r="V141" i="12"/>
  <c r="U141" i="12" s="1"/>
  <c r="V143" i="12"/>
  <c r="U143" i="12" s="1"/>
  <c r="W143" i="12" s="1"/>
  <c r="AB149" i="12"/>
  <c r="AA149" i="12" s="1"/>
  <c r="AD149" i="12" s="1"/>
  <c r="P147" i="12"/>
  <c r="O147" i="12" s="1"/>
  <c r="R147" i="12" s="1"/>
  <c r="P149" i="12"/>
  <c r="O149" i="12" s="1"/>
  <c r="R149" i="12" s="1"/>
  <c r="P150" i="12"/>
  <c r="O150" i="12" s="1"/>
  <c r="R150" i="12" s="1"/>
  <c r="P154" i="12"/>
  <c r="O154" i="12" s="1"/>
  <c r="R154" i="12" s="1"/>
  <c r="P153" i="12"/>
  <c r="O153" i="12" s="1"/>
  <c r="R153" i="12" s="1"/>
  <c r="P156" i="12"/>
  <c r="O156" i="12" s="1"/>
  <c r="P159" i="12"/>
  <c r="O159" i="12" s="1"/>
  <c r="R159" i="12" s="1"/>
  <c r="P160" i="12"/>
  <c r="O160" i="12" s="1"/>
  <c r="Q160" i="12" s="1"/>
  <c r="P174" i="12"/>
  <c r="P175" i="12"/>
  <c r="V167" i="12"/>
  <c r="X167" i="12" s="1"/>
  <c r="V168" i="12"/>
  <c r="U168" i="12" s="1"/>
  <c r="X168" i="12" s="1"/>
  <c r="V165" i="12"/>
  <c r="U165" i="12" s="1"/>
  <c r="W165" i="12" s="1"/>
  <c r="P179" i="12"/>
  <c r="P177" i="12"/>
  <c r="P178" i="12"/>
  <c r="P187" i="12"/>
  <c r="P184" i="12"/>
  <c r="O184" i="12" s="1"/>
  <c r="AB190" i="12"/>
  <c r="AA190" i="12" s="1"/>
  <c r="AB193" i="12"/>
  <c r="AA193" i="12" s="1"/>
  <c r="O112" i="6"/>
  <c r="N112" i="6" s="1"/>
  <c r="Q112" i="6" s="1"/>
  <c r="O108" i="6"/>
  <c r="N108" i="6" s="1"/>
  <c r="Q108" i="6" s="1"/>
  <c r="O109" i="6"/>
  <c r="N109" i="6" s="1"/>
  <c r="Q109" i="6" s="1"/>
  <c r="O110" i="6"/>
  <c r="N110" i="6" s="1"/>
  <c r="Q110" i="6" s="1"/>
  <c r="O111" i="6"/>
  <c r="N111" i="6" s="1"/>
  <c r="Q111" i="6" s="1"/>
  <c r="O173" i="6"/>
  <c r="N173" i="6" s="1"/>
  <c r="Q173" i="6" s="1"/>
  <c r="O171" i="6"/>
  <c r="N171" i="6" s="1"/>
  <c r="Q171" i="6" s="1"/>
  <c r="O175" i="6"/>
  <c r="N175" i="6" s="1"/>
  <c r="Q175" i="6" s="1"/>
  <c r="O172" i="6"/>
  <c r="N172" i="6" s="1"/>
  <c r="Q172" i="6" s="1"/>
  <c r="O174" i="6"/>
  <c r="N174" i="6" s="1"/>
  <c r="Q174" i="6" s="1"/>
  <c r="O63" i="6"/>
  <c r="N63" i="6" s="1"/>
  <c r="Q63" i="6" s="1"/>
  <c r="O60" i="6"/>
  <c r="N60" i="6" s="1"/>
  <c r="Q60" i="6" s="1"/>
  <c r="O61" i="6"/>
  <c r="N61" i="6" s="1"/>
  <c r="Q61" i="6" s="1"/>
  <c r="O59" i="6"/>
  <c r="Q59" i="6" s="1"/>
  <c r="O62" i="6"/>
  <c r="N62" i="6" s="1"/>
  <c r="Q62" i="6" s="1"/>
  <c r="O201" i="6"/>
  <c r="N201" i="6" s="1"/>
  <c r="O200" i="6"/>
  <c r="N200" i="6" s="1"/>
  <c r="Q200" i="6" s="1"/>
  <c r="O202" i="6"/>
  <c r="N202" i="6" s="1"/>
  <c r="O199" i="6"/>
  <c r="N199" i="6" s="1"/>
  <c r="O208" i="6"/>
  <c r="N208" i="6" s="1"/>
  <c r="O206" i="6"/>
  <c r="N206" i="6" s="1"/>
  <c r="P206" i="6" s="1"/>
  <c r="O210" i="6"/>
  <c r="N210" i="6" s="1"/>
  <c r="O209" i="6"/>
  <c r="N209" i="6" s="1"/>
  <c r="O207" i="6"/>
  <c r="N207" i="6" s="1"/>
  <c r="U108" i="6"/>
  <c r="T108" i="6" s="1"/>
  <c r="W108" i="6" s="1"/>
  <c r="U112" i="6"/>
  <c r="T112" i="6" s="1"/>
  <c r="W112" i="6" s="1"/>
  <c r="U111" i="6"/>
  <c r="T111" i="6" s="1"/>
  <c r="W111" i="6" s="1"/>
  <c r="U110" i="6"/>
  <c r="T110" i="6" s="1"/>
  <c r="W110" i="6" s="1"/>
  <c r="U109" i="6"/>
  <c r="T109" i="6" s="1"/>
  <c r="W109" i="6" s="1"/>
  <c r="U75" i="6"/>
  <c r="T75" i="6" s="1"/>
  <c r="W75" i="6" s="1"/>
  <c r="U77" i="6"/>
  <c r="T77" i="6" s="1"/>
  <c r="W77" i="6" s="1"/>
  <c r="U76" i="6"/>
  <c r="T76" i="6" s="1"/>
  <c r="W76" i="6" s="1"/>
  <c r="U74" i="6"/>
  <c r="T74" i="6" s="1"/>
  <c r="W74" i="6" s="1"/>
  <c r="U172" i="6"/>
  <c r="T172" i="6" s="1"/>
  <c r="W172" i="6" s="1"/>
  <c r="U174" i="6"/>
  <c r="T174" i="6" s="1"/>
  <c r="W174" i="6" s="1"/>
  <c r="U171" i="6"/>
  <c r="T171" i="6" s="1"/>
  <c r="W171" i="6" s="1"/>
  <c r="U175" i="6"/>
  <c r="T175" i="6" s="1"/>
  <c r="W175" i="6" s="1"/>
  <c r="U173" i="6"/>
  <c r="T173" i="6" s="1"/>
  <c r="W173" i="6" s="1"/>
  <c r="U62" i="6"/>
  <c r="T62" i="6" s="1"/>
  <c r="W62" i="6" s="1"/>
  <c r="U63" i="6"/>
  <c r="T63" i="6" s="1"/>
  <c r="W63" i="6" s="1"/>
  <c r="U60" i="6"/>
  <c r="T60" i="6" s="1"/>
  <c r="W60" i="6" s="1"/>
  <c r="U61" i="6"/>
  <c r="T61" i="6" s="1"/>
  <c r="W61" i="6" s="1"/>
  <c r="U202" i="6"/>
  <c r="T202" i="6" s="1"/>
  <c r="W202" i="6" s="1"/>
  <c r="U199" i="6"/>
  <c r="T199" i="6" s="1"/>
  <c r="V199" i="6" s="1"/>
  <c r="U201" i="6"/>
  <c r="T201" i="6" s="1"/>
  <c r="V201" i="6" s="1"/>
  <c r="U203" i="6"/>
  <c r="T203" i="6" s="1"/>
  <c r="U207" i="6"/>
  <c r="T207" i="6" s="1"/>
  <c r="V207" i="6" s="1"/>
  <c r="U208" i="6"/>
  <c r="T208" i="6" s="1"/>
  <c r="W208" i="6" s="1"/>
  <c r="U206" i="6"/>
  <c r="T206" i="6" s="1"/>
  <c r="V206" i="6" s="1"/>
  <c r="U20" i="6"/>
  <c r="T20" i="6" s="1"/>
  <c r="W20" i="6" s="1"/>
  <c r="U21" i="6"/>
  <c r="T21" i="6" s="1"/>
  <c r="W21" i="6" s="1"/>
  <c r="U18" i="6"/>
  <c r="T18" i="6" s="1"/>
  <c r="W18" i="6" s="1"/>
  <c r="U17" i="6"/>
  <c r="T17" i="6" s="1"/>
  <c r="U19" i="6"/>
  <c r="T19" i="6" s="1"/>
  <c r="W19" i="6" s="1"/>
  <c r="Z27" i="10"/>
  <c r="Z20" i="10"/>
  <c r="Y28" i="10"/>
  <c r="AA67" i="6"/>
  <c r="Z67" i="6" s="1"/>
  <c r="AC67" i="6" s="1"/>
  <c r="AA66" i="6"/>
  <c r="Z66" i="6" s="1"/>
  <c r="AC66" i="6" s="1"/>
  <c r="AA68" i="6"/>
  <c r="Z68" i="6" s="1"/>
  <c r="AC68" i="6" s="1"/>
  <c r="AA69" i="6"/>
  <c r="Z69" i="6" s="1"/>
  <c r="AC69" i="6" s="1"/>
  <c r="AA70" i="6"/>
  <c r="Z70" i="6" s="1"/>
  <c r="AC70" i="6" s="1"/>
  <c r="AA97" i="6"/>
  <c r="Z97" i="6" s="1"/>
  <c r="AC97" i="6" s="1"/>
  <c r="AA98" i="6"/>
  <c r="Z98" i="6" s="1"/>
  <c r="AC98" i="6" s="1"/>
  <c r="AA96" i="6"/>
  <c r="Z96" i="6" s="1"/>
  <c r="AC96" i="6" s="1"/>
  <c r="AA94" i="6"/>
  <c r="Z94" i="6" s="1"/>
  <c r="AC94" i="6" s="1"/>
  <c r="AA95" i="6"/>
  <c r="Z95" i="6" s="1"/>
  <c r="AC95" i="6" s="1"/>
  <c r="AA124" i="6"/>
  <c r="Z124" i="6" s="1"/>
  <c r="AC124" i="6" s="1"/>
  <c r="AA125" i="6"/>
  <c r="Z125" i="6" s="1"/>
  <c r="AC125" i="6" s="1"/>
  <c r="AA123" i="6"/>
  <c r="Z123" i="6" s="1"/>
  <c r="AC123" i="6" s="1"/>
  <c r="AA126" i="6"/>
  <c r="Z126" i="6" s="1"/>
  <c r="AC126" i="6" s="1"/>
  <c r="AA122" i="6"/>
  <c r="Z122" i="6" s="1"/>
  <c r="AC122" i="6" s="1"/>
  <c r="AA171" i="6"/>
  <c r="Z171" i="6" s="1"/>
  <c r="AC171" i="6" s="1"/>
  <c r="AA175" i="6"/>
  <c r="Z175" i="6" s="1"/>
  <c r="AC175" i="6" s="1"/>
  <c r="AA173" i="6"/>
  <c r="Z173" i="6" s="1"/>
  <c r="AC173" i="6" s="1"/>
  <c r="AA174" i="6"/>
  <c r="Z174" i="6" s="1"/>
  <c r="AC174" i="6" s="1"/>
  <c r="AA172" i="6"/>
  <c r="Z172" i="6" s="1"/>
  <c r="AC172" i="6" s="1"/>
  <c r="AA208" i="6"/>
  <c r="Z208" i="6" s="1"/>
  <c r="AA206" i="6"/>
  <c r="Z206" i="6" s="1"/>
  <c r="AA210" i="6"/>
  <c r="Z210" i="6" s="1"/>
  <c r="AA207" i="6"/>
  <c r="Z207" i="6" s="1"/>
  <c r="AA209" i="6"/>
  <c r="Z209" i="6" s="1"/>
  <c r="AB112" i="12"/>
  <c r="AA112" i="12" s="1"/>
  <c r="AD112" i="12" s="1"/>
  <c r="AB113" i="12"/>
  <c r="AA113" i="12" s="1"/>
  <c r="AD113" i="12" s="1"/>
  <c r="AA42" i="6"/>
  <c r="Z42" i="6" s="1"/>
  <c r="AC42" i="6" s="1"/>
  <c r="AA39" i="6"/>
  <c r="Z39" i="6" s="1"/>
  <c r="AC39" i="6" s="1"/>
  <c r="AA38" i="6"/>
  <c r="Z38" i="6" s="1"/>
  <c r="AC38" i="6" s="1"/>
  <c r="AA40" i="6"/>
  <c r="Z40" i="6" s="1"/>
  <c r="AC40" i="6" s="1"/>
  <c r="AA41" i="6"/>
  <c r="Z41" i="6" s="1"/>
  <c r="AC41" i="6" s="1"/>
  <c r="AA157" i="6"/>
  <c r="Z157" i="6" s="1"/>
  <c r="AC157" i="6" s="1"/>
  <c r="AA160" i="6"/>
  <c r="Z160" i="6" s="1"/>
  <c r="AC160" i="6" s="1"/>
  <c r="AA158" i="6"/>
  <c r="Z158" i="6" s="1"/>
  <c r="AC158" i="6" s="1"/>
  <c r="AA161" i="6"/>
  <c r="Z161" i="6" s="1"/>
  <c r="AC161" i="6" s="1"/>
  <c r="AA159" i="6"/>
  <c r="Z159" i="6" s="1"/>
  <c r="AC159" i="6" s="1"/>
  <c r="AB109" i="12"/>
  <c r="AA109" i="12" s="1"/>
  <c r="AB105" i="12"/>
  <c r="AB127" i="12"/>
  <c r="AA127" i="12" s="1"/>
  <c r="AB126" i="12"/>
  <c r="AA126" i="12" s="1"/>
  <c r="AD126" i="12" s="1"/>
  <c r="AB129" i="12"/>
  <c r="AA129" i="12" s="1"/>
  <c r="AD129" i="12" s="1"/>
  <c r="AB130" i="12"/>
  <c r="AA130" i="12" s="1"/>
  <c r="AD130" i="12" s="1"/>
  <c r="P136" i="12"/>
  <c r="O136" i="12" s="1"/>
  <c r="R136" i="12" s="1"/>
  <c r="P135" i="12"/>
  <c r="O135" i="12" s="1"/>
  <c r="R135" i="12" s="1"/>
  <c r="P138" i="12"/>
  <c r="O138" i="12" s="1"/>
  <c r="R138" i="12" s="1"/>
  <c r="P137" i="12"/>
  <c r="O137" i="12" s="1"/>
  <c r="R137" i="12" s="1"/>
  <c r="V149" i="12"/>
  <c r="U149" i="12" s="1"/>
  <c r="X149" i="12" s="1"/>
  <c r="V147" i="12"/>
  <c r="U147" i="12" s="1"/>
  <c r="X147" i="12" s="1"/>
  <c r="V156" i="12"/>
  <c r="U156" i="12" s="1"/>
  <c r="X156" i="12" s="1"/>
  <c r="V154" i="12"/>
  <c r="U154" i="12" s="1"/>
  <c r="V159" i="12"/>
  <c r="U159" i="12" s="1"/>
  <c r="X159" i="12" s="1"/>
  <c r="V160" i="12"/>
  <c r="U160" i="12" s="1"/>
  <c r="X160" i="12" s="1"/>
  <c r="V162" i="12"/>
  <c r="U162" i="12" s="1"/>
  <c r="X162" i="12" s="1"/>
  <c r="V175" i="12"/>
  <c r="U175" i="12" s="1"/>
  <c r="V172" i="12"/>
  <c r="V174" i="12"/>
  <c r="U174" i="12" s="1"/>
  <c r="X174" i="12" s="1"/>
  <c r="V173" i="12"/>
  <c r="U173" i="12" s="1"/>
  <c r="X173" i="12" s="1"/>
  <c r="V177" i="12"/>
  <c r="U177" i="12" s="1"/>
  <c r="X177" i="12" s="1"/>
  <c r="V179" i="12"/>
  <c r="U179" i="12" s="1"/>
  <c r="X179" i="12" s="1"/>
  <c r="V178" i="12"/>
  <c r="U178" i="12" s="1"/>
  <c r="X178" i="12" s="1"/>
  <c r="V180" i="12"/>
  <c r="U180" i="12" s="1"/>
  <c r="X180" i="12" s="1"/>
  <c r="W187" i="12"/>
  <c r="X187" i="12"/>
  <c r="P193" i="12"/>
  <c r="O193" i="12" s="1"/>
  <c r="P190" i="12"/>
  <c r="O190" i="12" s="1"/>
  <c r="P189" i="12"/>
  <c r="O196" i="6"/>
  <c r="N196" i="6" s="1"/>
  <c r="O193" i="6"/>
  <c r="N193" i="6" s="1"/>
  <c r="O195" i="6"/>
  <c r="N195" i="6" s="1"/>
  <c r="O194" i="6"/>
  <c r="N194" i="6" s="1"/>
  <c r="O192" i="6"/>
  <c r="N192" i="6" s="1"/>
  <c r="O123" i="6"/>
  <c r="N123" i="6" s="1"/>
  <c r="Q123" i="6" s="1"/>
  <c r="O125" i="6"/>
  <c r="N125" i="6" s="1"/>
  <c r="Q125" i="6" s="1"/>
  <c r="O126" i="6"/>
  <c r="N126" i="6" s="1"/>
  <c r="Q126" i="6" s="1"/>
  <c r="O124" i="6"/>
  <c r="N124" i="6" s="1"/>
  <c r="Q124" i="6" s="1"/>
  <c r="O122" i="6"/>
  <c r="N122" i="6" s="1"/>
  <c r="Q122" i="6" s="1"/>
  <c r="O103" i="6"/>
  <c r="N103" i="6" s="1"/>
  <c r="Q103" i="6" s="1"/>
  <c r="O104" i="6"/>
  <c r="N104" i="6" s="1"/>
  <c r="Q104" i="6" s="1"/>
  <c r="O102" i="6"/>
  <c r="N102" i="6" s="1"/>
  <c r="Q102" i="6" s="1"/>
  <c r="O105" i="6"/>
  <c r="N105" i="6" s="1"/>
  <c r="Q105" i="6" s="1"/>
  <c r="O101" i="6"/>
  <c r="N101" i="6" s="1"/>
  <c r="Q101" i="6" s="1"/>
  <c r="O165" i="6"/>
  <c r="N165" i="6" s="1"/>
  <c r="Q165" i="6" s="1"/>
  <c r="O167" i="6"/>
  <c r="N167" i="6" s="1"/>
  <c r="Q167" i="6" s="1"/>
  <c r="O168" i="6"/>
  <c r="N168" i="6" s="1"/>
  <c r="Q168" i="6" s="1"/>
  <c r="O166" i="6"/>
  <c r="N166" i="6" s="1"/>
  <c r="Q166" i="6" s="1"/>
  <c r="O164" i="6"/>
  <c r="N164" i="6" s="1"/>
  <c r="Q164" i="6" s="1"/>
  <c r="U31" i="6"/>
  <c r="T31" i="6" s="1"/>
  <c r="W31" i="6" s="1"/>
  <c r="U35" i="6"/>
  <c r="T35" i="6" s="1"/>
  <c r="W35" i="6" s="1"/>
  <c r="U32" i="6"/>
  <c r="T32" i="6" s="1"/>
  <c r="W32" i="6" s="1"/>
  <c r="U33" i="6"/>
  <c r="T33" i="6" s="1"/>
  <c r="W33" i="6" s="1"/>
  <c r="U34" i="6"/>
  <c r="T34" i="6" s="1"/>
  <c r="W34" i="6" s="1"/>
  <c r="U147" i="6"/>
  <c r="T147" i="6" s="1"/>
  <c r="W147" i="6" s="1"/>
  <c r="U144" i="6"/>
  <c r="T144" i="6" s="1"/>
  <c r="W144" i="6" s="1"/>
  <c r="U143" i="6"/>
  <c r="T143" i="6" s="1"/>
  <c r="W143" i="6" s="1"/>
  <c r="U145" i="6"/>
  <c r="T145" i="6" s="1"/>
  <c r="W145" i="6" s="1"/>
  <c r="U146" i="6"/>
  <c r="T146" i="6" s="1"/>
  <c r="W146" i="6" s="1"/>
  <c r="U195" i="6"/>
  <c r="W195" i="6" s="1"/>
  <c r="U192" i="6"/>
  <c r="T192" i="6" s="1"/>
  <c r="W192" i="6" s="1"/>
  <c r="U194" i="6"/>
  <c r="T194" i="6" s="1"/>
  <c r="V194" i="6" s="1"/>
  <c r="U196" i="6"/>
  <c r="T196" i="6" s="1"/>
  <c r="U193" i="6"/>
  <c r="T193" i="6" s="1"/>
  <c r="W193" i="6" s="1"/>
  <c r="U125" i="6"/>
  <c r="T125" i="6" s="1"/>
  <c r="W125" i="6" s="1"/>
  <c r="U126" i="6"/>
  <c r="T126" i="6" s="1"/>
  <c r="W126" i="6" s="1"/>
  <c r="U123" i="6"/>
  <c r="T123" i="6" s="1"/>
  <c r="W123" i="6" s="1"/>
  <c r="U124" i="6"/>
  <c r="T124" i="6" s="1"/>
  <c r="W124" i="6" s="1"/>
  <c r="U122" i="6"/>
  <c r="T122" i="6" s="1"/>
  <c r="W122" i="6" s="1"/>
  <c r="U102" i="6"/>
  <c r="T102" i="6" s="1"/>
  <c r="W102" i="6" s="1"/>
  <c r="U103" i="6"/>
  <c r="T103" i="6" s="1"/>
  <c r="W103" i="6" s="1"/>
  <c r="U101" i="6"/>
  <c r="T101" i="6" s="1"/>
  <c r="W101" i="6" s="1"/>
  <c r="U105" i="6"/>
  <c r="T105" i="6" s="1"/>
  <c r="W105" i="6" s="1"/>
  <c r="U104" i="6"/>
  <c r="T104" i="6" s="1"/>
  <c r="W104" i="6" s="1"/>
  <c r="U167" i="6"/>
  <c r="T167" i="6" s="1"/>
  <c r="W167" i="6" s="1"/>
  <c r="U165" i="6"/>
  <c r="T165" i="6" s="1"/>
  <c r="W165" i="6" s="1"/>
  <c r="U166" i="6"/>
  <c r="T166" i="6" s="1"/>
  <c r="W166" i="6" s="1"/>
  <c r="U164" i="6"/>
  <c r="T164" i="6" s="1"/>
  <c r="W164" i="6" s="1"/>
  <c r="U168" i="6"/>
  <c r="T168" i="6" s="1"/>
  <c r="W168" i="6" s="1"/>
  <c r="U221" i="6"/>
  <c r="T221" i="6" s="1"/>
  <c r="V221" i="6" s="1"/>
  <c r="U220" i="6"/>
  <c r="T220" i="6" s="1"/>
  <c r="U222" i="6"/>
  <c r="T222" i="6" s="1"/>
  <c r="W222" i="6" s="1"/>
  <c r="U223" i="6"/>
  <c r="T223" i="6" s="1"/>
  <c r="AC31" i="10"/>
  <c r="Z30" i="10"/>
  <c r="AA22" i="10"/>
  <c r="Z21" i="10"/>
  <c r="AA61" i="6"/>
  <c r="Z61" i="6" s="1"/>
  <c r="AC61" i="6" s="1"/>
  <c r="AA62" i="6"/>
  <c r="Z62" i="6" s="1"/>
  <c r="AC62" i="6" s="1"/>
  <c r="AA63" i="6"/>
  <c r="Z63" i="6" s="1"/>
  <c r="AC63" i="6" s="1"/>
  <c r="AA60" i="6"/>
  <c r="Z60" i="6" s="1"/>
  <c r="AC60" i="6" s="1"/>
  <c r="AA103" i="6"/>
  <c r="Z103" i="6" s="1"/>
  <c r="AC103" i="6" s="1"/>
  <c r="AA101" i="6"/>
  <c r="Z101" i="6" s="1"/>
  <c r="AC101" i="6" s="1"/>
  <c r="AA102" i="6"/>
  <c r="Z102" i="6" s="1"/>
  <c r="AC102" i="6" s="1"/>
  <c r="AA104" i="6"/>
  <c r="Z104" i="6" s="1"/>
  <c r="AC104" i="6" s="1"/>
  <c r="AA105" i="6"/>
  <c r="Z105" i="6" s="1"/>
  <c r="AC105" i="6" s="1"/>
  <c r="AA140" i="6"/>
  <c r="Z140" i="6" s="1"/>
  <c r="AC140" i="6" s="1"/>
  <c r="AA137" i="6"/>
  <c r="Z137" i="6" s="1"/>
  <c r="AC137" i="6" s="1"/>
  <c r="AA139" i="6"/>
  <c r="Z139" i="6" s="1"/>
  <c r="AC139" i="6" s="1"/>
  <c r="AA138" i="6"/>
  <c r="Z138" i="6" s="1"/>
  <c r="AC138" i="6" s="1"/>
  <c r="AA136" i="6"/>
  <c r="Z136" i="6" s="1"/>
  <c r="AC136" i="6" s="1"/>
  <c r="AA179" i="6"/>
  <c r="Z179" i="6" s="1"/>
  <c r="AC179" i="6" s="1"/>
  <c r="AA181" i="6"/>
  <c r="Z181" i="6" s="1"/>
  <c r="AC181" i="6" s="1"/>
  <c r="AA180" i="6"/>
  <c r="Z180" i="6" s="1"/>
  <c r="AC180" i="6" s="1"/>
  <c r="AA178" i="6"/>
  <c r="Z178" i="6" s="1"/>
  <c r="AC178" i="6" s="1"/>
  <c r="AA182" i="6"/>
  <c r="Z182" i="6" s="1"/>
  <c r="AC182" i="6" s="1"/>
  <c r="AA215" i="6"/>
  <c r="Z215" i="6" s="1"/>
  <c r="AA213" i="6"/>
  <c r="Z213" i="6" s="1"/>
  <c r="AA217" i="6"/>
  <c r="Z217" i="6" s="1"/>
  <c r="AA216" i="6"/>
  <c r="Z216" i="6" s="1"/>
  <c r="AA214" i="6"/>
  <c r="Z214" i="6" s="1"/>
  <c r="Q109" i="12"/>
  <c r="R109" i="12"/>
  <c r="P127" i="12"/>
  <c r="O127" i="12" s="1"/>
  <c r="P126" i="12"/>
  <c r="P125" i="12"/>
  <c r="O125" i="12" s="1"/>
  <c r="R125" i="12" s="1"/>
  <c r="P129" i="12"/>
  <c r="O129" i="12" s="1"/>
  <c r="R129" i="12" s="1"/>
  <c r="P130" i="12"/>
  <c r="O130" i="12" s="1"/>
  <c r="R130" i="12" s="1"/>
  <c r="V138" i="12"/>
  <c r="U138" i="12" s="1"/>
  <c r="X138" i="12" s="1"/>
  <c r="V137" i="12"/>
  <c r="U137" i="12" s="1"/>
  <c r="X137" i="12" s="1"/>
  <c r="AB141" i="12"/>
  <c r="AB144" i="12"/>
  <c r="AA144" i="12" s="1"/>
  <c r="AD144" i="12" s="1"/>
  <c r="V192" i="12"/>
  <c r="U192" i="12" s="1"/>
  <c r="W192" i="12" s="1"/>
  <c r="V191" i="12"/>
  <c r="X191" i="12" s="1"/>
  <c r="V189" i="12"/>
  <c r="U189" i="12" s="1"/>
  <c r="W189" i="12" s="1"/>
  <c r="V193" i="12"/>
  <c r="U193" i="12" s="1"/>
  <c r="W193" i="12" s="1"/>
  <c r="V190" i="12"/>
  <c r="U190" i="12" s="1"/>
  <c r="O132" i="6"/>
  <c r="N132" i="6" s="1"/>
  <c r="Q132" i="6" s="1"/>
  <c r="O130" i="6"/>
  <c r="N130" i="6" s="1"/>
  <c r="Q130" i="6" s="1"/>
  <c r="O129" i="6"/>
  <c r="N129" i="6" s="1"/>
  <c r="Q129" i="6" s="1"/>
  <c r="O133" i="6"/>
  <c r="N133" i="6" s="1"/>
  <c r="Q133" i="6" s="1"/>
  <c r="O131" i="6"/>
  <c r="N131" i="6" s="1"/>
  <c r="Q131" i="6" s="1"/>
  <c r="AV70" i="6"/>
  <c r="O69" i="6"/>
  <c r="N69" i="6" s="1"/>
  <c r="Q69" i="6" s="1"/>
  <c r="O70" i="6"/>
  <c r="N70" i="6" s="1"/>
  <c r="Q70" i="6" s="1"/>
  <c r="O67" i="6"/>
  <c r="N67" i="6" s="1"/>
  <c r="Q67" i="6" s="1"/>
  <c r="O66" i="6"/>
  <c r="N66" i="6" s="1"/>
  <c r="Q66" i="6" s="1"/>
  <c r="O68" i="6"/>
  <c r="N68" i="6" s="1"/>
  <c r="Q68" i="6" s="1"/>
  <c r="AV41" i="6"/>
  <c r="O38" i="6"/>
  <c r="N38" i="6" s="1"/>
  <c r="Q38" i="6" s="1"/>
  <c r="O40" i="6"/>
  <c r="N40" i="6" s="1"/>
  <c r="Q40" i="6" s="1"/>
  <c r="O39" i="6"/>
  <c r="N39" i="6" s="1"/>
  <c r="Q39" i="6" s="1"/>
  <c r="O42" i="6"/>
  <c r="N42" i="6" s="1"/>
  <c r="Q42" i="6" s="1"/>
  <c r="O41" i="6"/>
  <c r="N41" i="6" s="1"/>
  <c r="Q41" i="6" s="1"/>
  <c r="O96" i="6"/>
  <c r="N96" i="6" s="1"/>
  <c r="Q96" i="6" s="1"/>
  <c r="O95" i="6"/>
  <c r="N95" i="6" s="1"/>
  <c r="Q95" i="6" s="1"/>
  <c r="O97" i="6"/>
  <c r="N97" i="6" s="1"/>
  <c r="Q97" i="6" s="1"/>
  <c r="O94" i="6"/>
  <c r="N94" i="6" s="1"/>
  <c r="Q94" i="6" s="1"/>
  <c r="O98" i="6"/>
  <c r="N98" i="6" s="1"/>
  <c r="Q98" i="6" s="1"/>
  <c r="O118" i="6"/>
  <c r="N118" i="6" s="1"/>
  <c r="Q118" i="6" s="1"/>
  <c r="O119" i="6"/>
  <c r="N119" i="6" s="1"/>
  <c r="Q119" i="6" s="1"/>
  <c r="O117" i="6"/>
  <c r="N117" i="6" s="1"/>
  <c r="Q117" i="6" s="1"/>
  <c r="O116" i="6"/>
  <c r="N116" i="6" s="1"/>
  <c r="Q116" i="6" s="1"/>
  <c r="O115" i="6"/>
  <c r="N115" i="6" s="1"/>
  <c r="Q115" i="6" s="1"/>
  <c r="O181" i="6"/>
  <c r="N181" i="6" s="1"/>
  <c r="Q181" i="6" s="1"/>
  <c r="O179" i="6"/>
  <c r="N179" i="6" s="1"/>
  <c r="Q179" i="6" s="1"/>
  <c r="O180" i="6"/>
  <c r="N180" i="6" s="1"/>
  <c r="Q180" i="6" s="1"/>
  <c r="O182" i="6"/>
  <c r="N182" i="6" s="1"/>
  <c r="Q182" i="6" s="1"/>
  <c r="O178" i="6"/>
  <c r="N178" i="6" s="1"/>
  <c r="Q178" i="6" s="1"/>
  <c r="U188" i="6"/>
  <c r="T188" i="6" s="1"/>
  <c r="W188" i="6" s="1"/>
  <c r="U186" i="6"/>
  <c r="T186" i="6" s="1"/>
  <c r="W186" i="6" s="1"/>
  <c r="U189" i="6"/>
  <c r="T189" i="6" s="1"/>
  <c r="W189" i="6" s="1"/>
  <c r="U187" i="6"/>
  <c r="T187" i="6" s="1"/>
  <c r="W187" i="6" s="1"/>
  <c r="U185" i="6"/>
  <c r="T185" i="6" s="1"/>
  <c r="W185" i="6" s="1"/>
  <c r="U131" i="6"/>
  <c r="T131" i="6" s="1"/>
  <c r="W131" i="6" s="1"/>
  <c r="U129" i="6"/>
  <c r="T129" i="6" s="1"/>
  <c r="W129" i="6" s="1"/>
  <c r="U132" i="6"/>
  <c r="T132" i="6" s="1"/>
  <c r="W132" i="6" s="1"/>
  <c r="U130" i="6"/>
  <c r="T130" i="6" s="1"/>
  <c r="W130" i="6" s="1"/>
  <c r="U133" i="6"/>
  <c r="T133" i="6" s="1"/>
  <c r="W133" i="6" s="1"/>
  <c r="U90" i="6"/>
  <c r="T90" i="6" s="1"/>
  <c r="W90" i="6" s="1"/>
  <c r="U88" i="6"/>
  <c r="T88" i="6" s="1"/>
  <c r="W88" i="6" s="1"/>
  <c r="U91" i="6"/>
  <c r="T91" i="6" s="1"/>
  <c r="W91" i="6" s="1"/>
  <c r="U89" i="6"/>
  <c r="T89" i="6" s="1"/>
  <c r="W89" i="6" s="1"/>
  <c r="U87" i="6"/>
  <c r="T87" i="6" s="1"/>
  <c r="W87" i="6" s="1"/>
  <c r="AX69" i="6"/>
  <c r="U69" i="6"/>
  <c r="T69" i="6" s="1"/>
  <c r="W69" i="6" s="1"/>
  <c r="U66" i="6"/>
  <c r="T66" i="6" s="1"/>
  <c r="W66" i="6" s="1"/>
  <c r="U70" i="6"/>
  <c r="T70" i="6" s="1"/>
  <c r="W70" i="6" s="1"/>
  <c r="U67" i="6"/>
  <c r="T67" i="6" s="1"/>
  <c r="W67" i="6" s="1"/>
  <c r="U68" i="6"/>
  <c r="T68" i="6" s="1"/>
  <c r="W68" i="6" s="1"/>
  <c r="AX40" i="6"/>
  <c r="U39" i="6"/>
  <c r="T39" i="6" s="1"/>
  <c r="W39" i="6" s="1"/>
  <c r="U42" i="6"/>
  <c r="T42" i="6" s="1"/>
  <c r="W42" i="6" s="1"/>
  <c r="U41" i="6"/>
  <c r="T41" i="6" s="1"/>
  <c r="W41" i="6" s="1"/>
  <c r="U40" i="6"/>
  <c r="T40" i="6" s="1"/>
  <c r="W40" i="6" s="1"/>
  <c r="U38" i="6"/>
  <c r="T38" i="6" s="1"/>
  <c r="W38" i="6" s="1"/>
  <c r="U97" i="6"/>
  <c r="W97" i="6" s="1"/>
  <c r="U98" i="6"/>
  <c r="T98" i="6" s="1"/>
  <c r="W98" i="6" s="1"/>
  <c r="U96" i="6"/>
  <c r="T96" i="6" s="1"/>
  <c r="W96" i="6" s="1"/>
  <c r="U95" i="6"/>
  <c r="W95" i="6" s="1"/>
  <c r="U94" i="6"/>
  <c r="T94" i="6" s="1"/>
  <c r="W94" i="6" s="1"/>
  <c r="U118" i="6"/>
  <c r="T118" i="6" s="1"/>
  <c r="W118" i="6" s="1"/>
  <c r="U116" i="6"/>
  <c r="T116" i="6" s="1"/>
  <c r="W116" i="6" s="1"/>
  <c r="U117" i="6"/>
  <c r="T117" i="6" s="1"/>
  <c r="W117" i="6" s="1"/>
  <c r="U115" i="6"/>
  <c r="T115" i="6" s="1"/>
  <c r="W115" i="6" s="1"/>
  <c r="U119" i="6"/>
  <c r="T119" i="6" s="1"/>
  <c r="W119" i="6" s="1"/>
  <c r="U180" i="6"/>
  <c r="T180" i="6" s="1"/>
  <c r="W180" i="6" s="1"/>
  <c r="U178" i="6"/>
  <c r="T178" i="6" s="1"/>
  <c r="W178" i="6" s="1"/>
  <c r="U182" i="6"/>
  <c r="T182" i="6" s="1"/>
  <c r="W182" i="6" s="1"/>
  <c r="U179" i="6"/>
  <c r="T179" i="6" s="1"/>
  <c r="W179" i="6" s="1"/>
  <c r="U181" i="6"/>
  <c r="T181" i="6" s="1"/>
  <c r="W181" i="6" s="1"/>
  <c r="O224" i="6"/>
  <c r="N224" i="6" s="1"/>
  <c r="Q224" i="6" s="1"/>
  <c r="O221" i="6"/>
  <c r="N221" i="6" s="1"/>
  <c r="O222" i="6"/>
  <c r="N222" i="6" s="1"/>
  <c r="O223" i="6"/>
  <c r="N223" i="6" s="1"/>
  <c r="O220" i="6"/>
  <c r="N220" i="6" s="1"/>
  <c r="AA29" i="10"/>
  <c r="BB3" i="6"/>
  <c r="O213" i="6"/>
  <c r="N213" i="6" s="1"/>
  <c r="O217" i="6"/>
  <c r="N217" i="6" s="1"/>
  <c r="O215" i="6"/>
  <c r="N215" i="6" s="1"/>
  <c r="O216" i="6"/>
  <c r="N216" i="6" s="1"/>
  <c r="O214" i="6"/>
  <c r="N214" i="6" s="1"/>
  <c r="AA53" i="6"/>
  <c r="Z53" i="6" s="1"/>
  <c r="AC53" i="6" s="1"/>
  <c r="AA52" i="6"/>
  <c r="Z52" i="6" s="1"/>
  <c r="AC52" i="6" s="1"/>
  <c r="AA54" i="6"/>
  <c r="Z54" i="6" s="1"/>
  <c r="AC54" i="6" s="1"/>
  <c r="AA55" i="6"/>
  <c r="Z55" i="6" s="1"/>
  <c r="AC55" i="6" s="1"/>
  <c r="AA56" i="6"/>
  <c r="Z56" i="6" s="1"/>
  <c r="AC56" i="6" s="1"/>
  <c r="AA112" i="6"/>
  <c r="Z112" i="6" s="1"/>
  <c r="AC112" i="6" s="1"/>
  <c r="AA110" i="6"/>
  <c r="Z110" i="6" s="1"/>
  <c r="AC110" i="6" s="1"/>
  <c r="AA111" i="6"/>
  <c r="Z111" i="6" s="1"/>
  <c r="AC111" i="6" s="1"/>
  <c r="AA109" i="6"/>
  <c r="Z109" i="6" s="1"/>
  <c r="AC109" i="6" s="1"/>
  <c r="AA108" i="6"/>
  <c r="Z108" i="6" s="1"/>
  <c r="AC108" i="6" s="1"/>
  <c r="AA153" i="6"/>
  <c r="Z153" i="6" s="1"/>
  <c r="AC153" i="6" s="1"/>
  <c r="AA151" i="6"/>
  <c r="Z151" i="6" s="1"/>
  <c r="AC151" i="6" s="1"/>
  <c r="AA150" i="6"/>
  <c r="Z150" i="6" s="1"/>
  <c r="AC150" i="6" s="1"/>
  <c r="AA152" i="6"/>
  <c r="Z152" i="6" s="1"/>
  <c r="AC152" i="6" s="1"/>
  <c r="AA154" i="6"/>
  <c r="Z154" i="6" s="1"/>
  <c r="AC154" i="6" s="1"/>
  <c r="AA189" i="6"/>
  <c r="Z189" i="6" s="1"/>
  <c r="AA187" i="6"/>
  <c r="Z187" i="6" s="1"/>
  <c r="AA185" i="6"/>
  <c r="Z185" i="6" s="1"/>
  <c r="AB185" i="6" s="1"/>
  <c r="AA188" i="6"/>
  <c r="Z188" i="6" s="1"/>
  <c r="AA186" i="6"/>
  <c r="Z186" i="6" s="1"/>
  <c r="AC186" i="6" s="1"/>
  <c r="AA223" i="6"/>
  <c r="AA222" i="6"/>
  <c r="Z222" i="6" s="1"/>
  <c r="AA224" i="6"/>
  <c r="Z224" i="6" s="1"/>
  <c r="AA221" i="6"/>
  <c r="Z221" i="6" s="1"/>
  <c r="AA91" i="6"/>
  <c r="Z91" i="6" s="1"/>
  <c r="AC91" i="6" s="1"/>
  <c r="AA89" i="6"/>
  <c r="Z89" i="6" s="1"/>
  <c r="AC89" i="6" s="1"/>
  <c r="AA87" i="6"/>
  <c r="Z87" i="6" s="1"/>
  <c r="AC87" i="6" s="1"/>
  <c r="AA90" i="6"/>
  <c r="Z90" i="6" s="1"/>
  <c r="AC90" i="6" s="1"/>
  <c r="AA88" i="6"/>
  <c r="Z88" i="6" s="1"/>
  <c r="AC88" i="6" s="1"/>
  <c r="X109" i="12"/>
  <c r="W109" i="12"/>
  <c r="X127" i="12"/>
  <c r="W127" i="12"/>
  <c r="V131" i="12"/>
  <c r="U131" i="12" s="1"/>
  <c r="X131" i="12" s="1"/>
  <c r="V130" i="12"/>
  <c r="U130" i="12" s="1"/>
  <c r="X130" i="12" s="1"/>
  <c r="V129" i="12"/>
  <c r="U129" i="12" s="1"/>
  <c r="X129" i="12" s="1"/>
  <c r="P141" i="12"/>
  <c r="O141" i="12" s="1"/>
  <c r="R141" i="12" s="1"/>
  <c r="P144" i="12"/>
  <c r="O144" i="12" s="1"/>
  <c r="R144" i="12" s="1"/>
  <c r="AB150" i="12"/>
  <c r="AA150" i="12" s="1"/>
  <c r="AD150" i="12" s="1"/>
  <c r="AB147" i="12"/>
  <c r="AA147" i="12" s="1"/>
  <c r="AD147" i="12" s="1"/>
  <c r="AB156" i="12"/>
  <c r="AA156" i="12" s="1"/>
  <c r="AD156" i="12" s="1"/>
  <c r="AB154" i="12"/>
  <c r="AA154" i="12" s="1"/>
  <c r="AB153" i="12"/>
  <c r="AA153" i="12" s="1"/>
  <c r="AD153" i="12" s="1"/>
  <c r="AB160" i="12"/>
  <c r="AA160" i="12" s="1"/>
  <c r="AC160" i="12" s="1"/>
  <c r="AB159" i="12"/>
  <c r="AA159" i="12" s="1"/>
  <c r="P30" i="12"/>
  <c r="O30" i="12" s="1"/>
  <c r="R30" i="12" s="1"/>
  <c r="P28" i="12"/>
  <c r="O28" i="12" s="1"/>
  <c r="R28" i="12" s="1"/>
  <c r="P29" i="12"/>
  <c r="O29" i="12" s="1"/>
  <c r="R29" i="12" s="1"/>
  <c r="P27" i="12"/>
  <c r="O27" i="12" s="1"/>
  <c r="R27" i="12" s="1"/>
  <c r="AD103" i="12"/>
  <c r="AC103" i="12"/>
  <c r="AB64" i="12"/>
  <c r="AA64" i="12" s="1"/>
  <c r="AD64" i="12" s="1"/>
  <c r="AB63" i="12"/>
  <c r="AA63" i="12" s="1"/>
  <c r="AD63" i="12" s="1"/>
  <c r="AB65" i="12"/>
  <c r="AA65" i="12" s="1"/>
  <c r="AD65" i="12" s="1"/>
  <c r="Q103" i="12"/>
  <c r="R103" i="12"/>
  <c r="P64" i="12"/>
  <c r="O64" i="12" s="1"/>
  <c r="R64" i="12" s="1"/>
  <c r="P65" i="12"/>
  <c r="O65" i="12" s="1"/>
  <c r="R65" i="12" s="1"/>
  <c r="P63" i="12"/>
  <c r="O63" i="12" s="1"/>
  <c r="Q63" i="12" s="1"/>
  <c r="W103" i="12"/>
  <c r="X103" i="12"/>
  <c r="AB30" i="12"/>
  <c r="AA30" i="12" s="1"/>
  <c r="AD30" i="12" s="1"/>
  <c r="AB28" i="12"/>
  <c r="AA28" i="12" s="1"/>
  <c r="AD28" i="12" s="1"/>
  <c r="AB27" i="12"/>
  <c r="AA27" i="12" s="1"/>
  <c r="AD27" i="12" s="1"/>
  <c r="AB29" i="12"/>
  <c r="AA29" i="12" s="1"/>
  <c r="AD29" i="12" s="1"/>
  <c r="AV4" i="6"/>
  <c r="O4" i="6"/>
  <c r="O7" i="6"/>
  <c r="O5" i="6"/>
  <c r="O3" i="6"/>
  <c r="O6" i="6"/>
  <c r="AV11" i="6"/>
  <c r="O11" i="6"/>
  <c r="O10" i="6"/>
  <c r="O12" i="6"/>
  <c r="O13" i="6"/>
  <c r="O14" i="6"/>
  <c r="AX3" i="6"/>
  <c r="U4" i="6"/>
  <c r="T4" i="6" s="1"/>
  <c r="W4" i="6" s="1"/>
  <c r="U3" i="6"/>
  <c r="T3" i="6" s="1"/>
  <c r="W3" i="6" s="1"/>
  <c r="U5" i="6"/>
  <c r="T5" i="6" s="1"/>
  <c r="W5" i="6" s="1"/>
  <c r="U6" i="6"/>
  <c r="T6" i="6" s="1"/>
  <c r="W6" i="6" s="1"/>
  <c r="U7" i="6"/>
  <c r="T7" i="6" s="1"/>
  <c r="W7" i="6" s="1"/>
  <c r="AA34" i="6"/>
  <c r="AA31" i="6"/>
  <c r="Z31" i="6" s="1"/>
  <c r="AC31" i="6" s="1"/>
  <c r="AA32" i="6"/>
  <c r="AA33" i="6"/>
  <c r="AA35" i="6"/>
  <c r="AV31" i="6"/>
  <c r="O35" i="6"/>
  <c r="N35" i="6" s="1"/>
  <c r="Q35" i="6" s="1"/>
  <c r="O31" i="6"/>
  <c r="N31" i="6" s="1"/>
  <c r="Q31" i="6" s="1"/>
  <c r="O32" i="6"/>
  <c r="N32" i="6" s="1"/>
  <c r="Q32" i="6" s="1"/>
  <c r="O33" i="6"/>
  <c r="N33" i="6" s="1"/>
  <c r="Q33" i="6" s="1"/>
  <c r="O34" i="6"/>
  <c r="AA6" i="6"/>
  <c r="Z6" i="6" s="1"/>
  <c r="AC6" i="6" s="1"/>
  <c r="AA3" i="6"/>
  <c r="Z3" i="6" s="1"/>
  <c r="AC3" i="6" s="1"/>
  <c r="AA7" i="6"/>
  <c r="Z7" i="6" s="1"/>
  <c r="AC7" i="6" s="1"/>
  <c r="AA4" i="6"/>
  <c r="Z4" i="6" s="1"/>
  <c r="AC4" i="6" s="1"/>
  <c r="AA5" i="6"/>
  <c r="Z5" i="6" s="1"/>
  <c r="AC5" i="6" s="1"/>
  <c r="BA11" i="6"/>
  <c r="G110" i="12"/>
  <c r="F110" i="12"/>
  <c r="AV53" i="6"/>
  <c r="O76" i="6"/>
  <c r="N76" i="6" s="1"/>
  <c r="Q76" i="6" s="1"/>
  <c r="O77" i="6"/>
  <c r="O75" i="6"/>
  <c r="N75" i="6" s="1"/>
  <c r="Q75" i="6" s="1"/>
  <c r="O73" i="6"/>
  <c r="AV62" i="6"/>
  <c r="AV21" i="6"/>
  <c r="O21" i="6"/>
  <c r="O19" i="6"/>
  <c r="N19" i="6" s="1"/>
  <c r="Q19" i="6" s="1"/>
  <c r="O20" i="6"/>
  <c r="O18" i="6"/>
  <c r="N18" i="6" s="1"/>
  <c r="Q18" i="6" s="1"/>
  <c r="O17" i="6"/>
  <c r="N17" i="6" s="1"/>
  <c r="U73" i="6"/>
  <c r="AX60" i="6"/>
  <c r="U59" i="6"/>
  <c r="T59" i="6" s="1"/>
  <c r="W59" i="6" s="1"/>
  <c r="AX21" i="6"/>
  <c r="AC180" i="12"/>
  <c r="AB183" i="12"/>
  <c r="AA183" i="12" s="1"/>
  <c r="O80" i="6"/>
  <c r="N80" i="6" s="1"/>
  <c r="Q80" i="6" s="1"/>
  <c r="O84" i="6"/>
  <c r="N84" i="6" s="1"/>
  <c r="Q84" i="6" s="1"/>
  <c r="O81" i="6"/>
  <c r="N81" i="6" s="1"/>
  <c r="Q81" i="6" s="1"/>
  <c r="O83" i="6"/>
  <c r="N83" i="6" s="1"/>
  <c r="Q83" i="6" s="1"/>
  <c r="O82" i="6"/>
  <c r="N82" i="6" s="1"/>
  <c r="Q82" i="6" s="1"/>
  <c r="AX31" i="6"/>
  <c r="AX83" i="6"/>
  <c r="U82" i="6"/>
  <c r="T82" i="6" s="1"/>
  <c r="W82" i="6" s="1"/>
  <c r="U80" i="6"/>
  <c r="T80" i="6" s="1"/>
  <c r="W80" i="6" s="1"/>
  <c r="U83" i="6"/>
  <c r="T83" i="6" s="1"/>
  <c r="W83" i="6" s="1"/>
  <c r="P180" i="12"/>
  <c r="O180" i="12" s="1"/>
  <c r="Q180" i="12" s="1"/>
  <c r="P183" i="12"/>
  <c r="O183" i="12" s="1"/>
  <c r="R183" i="12" s="1"/>
  <c r="AB60" i="6"/>
  <c r="AD60" i="6" s="1"/>
  <c r="AA59" i="6"/>
  <c r="Z59" i="6" s="1"/>
  <c r="AC59" i="6" s="1"/>
  <c r="X186" i="12"/>
  <c r="V184" i="12"/>
  <c r="AW189" i="12"/>
  <c r="AX56" i="6"/>
  <c r="W52" i="6"/>
  <c r="AA82" i="6"/>
  <c r="Z82" i="6" s="1"/>
  <c r="AC82" i="6" s="1"/>
  <c r="AA80" i="6"/>
  <c r="Z80" i="6" s="1"/>
  <c r="AC80" i="6" s="1"/>
  <c r="AA84" i="6"/>
  <c r="Z84" i="6" s="1"/>
  <c r="AC84" i="6" s="1"/>
  <c r="AA83" i="6"/>
  <c r="Z83" i="6" s="1"/>
  <c r="AC83" i="6" s="1"/>
  <c r="AA81" i="6"/>
  <c r="Z81" i="6" s="1"/>
  <c r="AC81" i="6" s="1"/>
  <c r="AA75" i="6"/>
  <c r="AA77" i="6"/>
  <c r="AA76" i="6"/>
  <c r="AA74" i="6"/>
  <c r="AA73" i="6"/>
  <c r="F2" i="10"/>
  <c r="P107" i="12"/>
  <c r="O107" i="12" s="1"/>
  <c r="R107" i="12" s="1"/>
  <c r="P108" i="12"/>
  <c r="O108" i="12" s="1"/>
  <c r="R108" i="12" s="1"/>
  <c r="P105" i="12"/>
  <c r="O105" i="12" s="1"/>
  <c r="R105" i="12" s="1"/>
  <c r="P106" i="12"/>
  <c r="O106" i="12" s="1"/>
  <c r="R106" i="12" s="1"/>
  <c r="P148" i="12"/>
  <c r="P155" i="12"/>
  <c r="R156" i="12"/>
  <c r="P161" i="12"/>
  <c r="P162" i="12"/>
  <c r="O162" i="12" s="1"/>
  <c r="P168" i="12"/>
  <c r="P166" i="12"/>
  <c r="O166" i="12" s="1"/>
  <c r="Q166" i="12" s="1"/>
  <c r="P167" i="12"/>
  <c r="O167" i="12" s="1"/>
  <c r="O165" i="12"/>
  <c r="AW124" i="12"/>
  <c r="P124" i="12"/>
  <c r="O124" i="12" s="1"/>
  <c r="R124" i="12" s="1"/>
  <c r="P123" i="12"/>
  <c r="O126" i="12"/>
  <c r="R126" i="12" s="1"/>
  <c r="P131" i="12"/>
  <c r="O131" i="12" s="1"/>
  <c r="R131" i="12" s="1"/>
  <c r="P132" i="12"/>
  <c r="O132" i="12" s="1"/>
  <c r="R132" i="12" s="1"/>
  <c r="V135" i="12"/>
  <c r="V136" i="12"/>
  <c r="X141" i="12"/>
  <c r="V142" i="12"/>
  <c r="U142" i="12" s="1"/>
  <c r="X142" i="12" s="1"/>
  <c r="V144" i="12"/>
  <c r="V108" i="12"/>
  <c r="U108" i="12" s="1"/>
  <c r="X108" i="12" s="1"/>
  <c r="V106" i="12"/>
  <c r="U106" i="12" s="1"/>
  <c r="X106" i="12" s="1"/>
  <c r="V107" i="12"/>
  <c r="U107" i="12" s="1"/>
  <c r="X107" i="12" s="1"/>
  <c r="V105" i="12"/>
  <c r="U105" i="12" s="1"/>
  <c r="X105" i="12" s="1"/>
  <c r="AB119" i="12"/>
  <c r="AB118" i="12"/>
  <c r="AB117" i="12"/>
  <c r="AB120" i="12"/>
  <c r="AA120" i="12" s="1"/>
  <c r="AD120" i="12" s="1"/>
  <c r="V126" i="12"/>
  <c r="V123" i="12"/>
  <c r="V125" i="12"/>
  <c r="V124" i="12"/>
  <c r="X124" i="12" s="1"/>
  <c r="V132" i="12"/>
  <c r="V148" i="12"/>
  <c r="U148" i="12" s="1"/>
  <c r="X148" i="12" s="1"/>
  <c r="V150" i="12"/>
  <c r="V155" i="12"/>
  <c r="V153" i="12"/>
  <c r="X154" i="12"/>
  <c r="V161" i="12"/>
  <c r="AW174" i="12"/>
  <c r="V166" i="12"/>
  <c r="X166" i="12" s="1"/>
  <c r="AB108" i="12"/>
  <c r="AB106" i="12"/>
  <c r="AA106" i="12" s="1"/>
  <c r="AD106" i="12" s="1"/>
  <c r="AB107" i="12"/>
  <c r="AA107" i="12" s="1"/>
  <c r="AD107" i="12" s="1"/>
  <c r="AA105" i="12"/>
  <c r="AD105" i="12" s="1"/>
  <c r="V119" i="12"/>
  <c r="V117" i="12"/>
  <c r="U117" i="12" s="1"/>
  <c r="X117" i="12" s="1"/>
  <c r="V118" i="12"/>
  <c r="X118" i="12" s="1"/>
  <c r="V120" i="12"/>
  <c r="U120" i="12" s="1"/>
  <c r="X120" i="12" s="1"/>
  <c r="P117" i="12"/>
  <c r="O117" i="12" s="1"/>
  <c r="R117" i="12" s="1"/>
  <c r="P120" i="12"/>
  <c r="P118" i="12"/>
  <c r="O118" i="12" s="1"/>
  <c r="R118" i="12" s="1"/>
  <c r="R119" i="12"/>
  <c r="AD137" i="12"/>
  <c r="AB143" i="12"/>
  <c r="AA143" i="12" s="1"/>
  <c r="AD143" i="12" s="1"/>
  <c r="AB142" i="12"/>
  <c r="AA142" i="12" s="1"/>
  <c r="AD142" i="12" s="1"/>
  <c r="AA141" i="12"/>
  <c r="AD141" i="12" s="1"/>
  <c r="AB125" i="12"/>
  <c r="AB123" i="12"/>
  <c r="AB124" i="12"/>
  <c r="AB131" i="12"/>
  <c r="AA131" i="12" s="1"/>
  <c r="AD131" i="12" s="1"/>
  <c r="AB132" i="12"/>
  <c r="AA132" i="12" s="1"/>
  <c r="AD132" i="12" s="1"/>
  <c r="P142" i="12"/>
  <c r="O142" i="12" s="1"/>
  <c r="R142" i="12" s="1"/>
  <c r="P143" i="12"/>
  <c r="O143" i="12" s="1"/>
  <c r="R143" i="12" s="1"/>
  <c r="AB148" i="12"/>
  <c r="AD154" i="12"/>
  <c r="AB155" i="12"/>
  <c r="AB161" i="12"/>
  <c r="AA161" i="12" s="1"/>
  <c r="AD159" i="12"/>
  <c r="AB162" i="12"/>
  <c r="AA162" i="12" s="1"/>
  <c r="AB168" i="12"/>
  <c r="AA168" i="12" s="1"/>
  <c r="AB167" i="12"/>
  <c r="AA167" i="12" s="1"/>
  <c r="AB166" i="12"/>
  <c r="AA166" i="12" s="1"/>
  <c r="P21" i="12"/>
  <c r="O21" i="12" s="1"/>
  <c r="R21" i="12" s="1"/>
  <c r="P24" i="12"/>
  <c r="O24" i="12" s="1"/>
  <c r="R24" i="12" s="1"/>
  <c r="P23" i="12"/>
  <c r="O23" i="12" s="1"/>
  <c r="R23" i="12" s="1"/>
  <c r="P22" i="12"/>
  <c r="O22" i="12" s="1"/>
  <c r="R22" i="12" s="1"/>
  <c r="P52" i="12"/>
  <c r="O52" i="12" s="1"/>
  <c r="R52" i="12" s="1"/>
  <c r="P53" i="12"/>
  <c r="R53" i="12" s="1"/>
  <c r="P51" i="12"/>
  <c r="P54" i="12"/>
  <c r="R54" i="12" s="1"/>
  <c r="AB114" i="12"/>
  <c r="AB111" i="12"/>
  <c r="AB96" i="12"/>
  <c r="AB94" i="12"/>
  <c r="AB93" i="12"/>
  <c r="AA93" i="12" s="1"/>
  <c r="AD93" i="12" s="1"/>
  <c r="AD95" i="12"/>
  <c r="AB102" i="12"/>
  <c r="AA102" i="12" s="1"/>
  <c r="AD102" i="12" s="1"/>
  <c r="AB101" i="12"/>
  <c r="AB99" i="12"/>
  <c r="AB100" i="12"/>
  <c r="W24" i="12"/>
  <c r="Y24" i="12" s="1"/>
  <c r="M14" i="15" s="1"/>
  <c r="V21" i="12"/>
  <c r="U21" i="12" s="1"/>
  <c r="X21" i="12" s="1"/>
  <c r="AC47" i="12"/>
  <c r="AB46" i="12"/>
  <c r="AD46" i="12" s="1"/>
  <c r="AB48" i="12"/>
  <c r="AD48" i="12" s="1"/>
  <c r="AB47" i="12"/>
  <c r="AD47" i="12" s="1"/>
  <c r="AD45" i="12"/>
  <c r="AC40" i="12"/>
  <c r="AB42" i="12"/>
  <c r="AA42" i="12" s="1"/>
  <c r="AD42" i="12" s="1"/>
  <c r="AB39" i="12"/>
  <c r="AD39" i="12" s="1"/>
  <c r="AB40" i="12"/>
  <c r="AD40" i="12" s="1"/>
  <c r="AB41" i="12"/>
  <c r="AD41" i="12" s="1"/>
  <c r="V58" i="12"/>
  <c r="X57" i="12"/>
  <c r="V59" i="12"/>
  <c r="V60" i="12"/>
  <c r="W53" i="12"/>
  <c r="V54" i="12"/>
  <c r="X54" i="12" s="1"/>
  <c r="V52" i="12"/>
  <c r="U52" i="12" s="1"/>
  <c r="X52" i="12" s="1"/>
  <c r="V53" i="12"/>
  <c r="X53" i="12" s="1"/>
  <c r="V51" i="12"/>
  <c r="V64" i="12"/>
  <c r="X66" i="12"/>
  <c r="V63" i="12"/>
  <c r="U63" i="12" s="1"/>
  <c r="X63" i="12" s="1"/>
  <c r="V65" i="12"/>
  <c r="P96" i="12"/>
  <c r="P94" i="12"/>
  <c r="R95" i="12"/>
  <c r="P93" i="12"/>
  <c r="P99" i="12"/>
  <c r="O99" i="12" s="1"/>
  <c r="R99" i="12" s="1"/>
  <c r="P100" i="12"/>
  <c r="O100" i="12" s="1"/>
  <c r="R100" i="12" s="1"/>
  <c r="P102" i="12"/>
  <c r="O102" i="12" s="1"/>
  <c r="R102" i="12" s="1"/>
  <c r="P101" i="12"/>
  <c r="O101" i="12" s="1"/>
  <c r="R101" i="12" s="1"/>
  <c r="AW59" i="12"/>
  <c r="P59" i="12"/>
  <c r="O59" i="12" s="1"/>
  <c r="R59" i="12" s="1"/>
  <c r="P60" i="12"/>
  <c r="R57" i="12"/>
  <c r="P58" i="12"/>
  <c r="O58" i="12" s="1"/>
  <c r="R58" i="12" s="1"/>
  <c r="P66" i="12"/>
  <c r="AB18" i="12"/>
  <c r="AA18" i="12" s="1"/>
  <c r="AD18" i="12" s="1"/>
  <c r="AB16" i="12"/>
  <c r="AA16" i="12" s="1"/>
  <c r="AD16" i="12" s="1"/>
  <c r="AB17" i="12"/>
  <c r="AA17" i="12" s="1"/>
  <c r="AD17" i="12" s="1"/>
  <c r="AB15" i="12"/>
  <c r="AA15" i="12" s="1"/>
  <c r="AD15" i="12" s="1"/>
  <c r="R48" i="12"/>
  <c r="P47" i="12"/>
  <c r="O47" i="12" s="1"/>
  <c r="R47" i="12" s="1"/>
  <c r="P45" i="12"/>
  <c r="O45" i="12" s="1"/>
  <c r="R45" i="12" s="1"/>
  <c r="P46" i="12"/>
  <c r="O46" i="12" s="1"/>
  <c r="R46" i="12" s="1"/>
  <c r="P42" i="12"/>
  <c r="R42" i="12" s="1"/>
  <c r="P40" i="12"/>
  <c r="R40" i="12" s="1"/>
  <c r="P41" i="12"/>
  <c r="R41" i="12" s="1"/>
  <c r="P39" i="12"/>
  <c r="R39" i="12" s="1"/>
  <c r="AD71" i="12"/>
  <c r="AB70" i="12"/>
  <c r="AA70" i="12" s="1"/>
  <c r="AD70" i="12" s="1"/>
  <c r="AB69" i="12"/>
  <c r="AB72" i="12"/>
  <c r="V95" i="12"/>
  <c r="V93" i="12"/>
  <c r="U96" i="12"/>
  <c r="X96" i="12" s="1"/>
  <c r="V94" i="12"/>
  <c r="V100" i="12"/>
  <c r="U100" i="12" s="1"/>
  <c r="X100" i="12" s="1"/>
  <c r="V101" i="12"/>
  <c r="U101" i="12" s="1"/>
  <c r="X101" i="12" s="1"/>
  <c r="V102" i="12"/>
  <c r="U102" i="12" s="1"/>
  <c r="X102" i="12" s="1"/>
  <c r="V99" i="12"/>
  <c r="U99" i="12" s="1"/>
  <c r="X99" i="12" s="1"/>
  <c r="V69" i="12"/>
  <c r="U69" i="12" s="1"/>
  <c r="X69" i="12" s="1"/>
  <c r="V70" i="12"/>
  <c r="V72" i="12"/>
  <c r="U72" i="12" s="1"/>
  <c r="X72" i="12" s="1"/>
  <c r="V71" i="12"/>
  <c r="V29" i="12"/>
  <c r="U29" i="12" s="1"/>
  <c r="X29" i="12" s="1"/>
  <c r="V28" i="12"/>
  <c r="U30" i="12"/>
  <c r="X30" i="12" s="1"/>
  <c r="V27" i="12"/>
  <c r="U27" i="12" s="1"/>
  <c r="X27" i="12" s="1"/>
  <c r="V47" i="12"/>
  <c r="U47" i="12" s="1"/>
  <c r="X47" i="12" s="1"/>
  <c r="V46" i="12"/>
  <c r="U46" i="12" s="1"/>
  <c r="X46" i="12" s="1"/>
  <c r="V48" i="12"/>
  <c r="X48" i="12" s="1"/>
  <c r="V45" i="12"/>
  <c r="U45" i="12" s="1"/>
  <c r="X45" i="12" s="1"/>
  <c r="V42" i="12"/>
  <c r="X42" i="12" s="1"/>
  <c r="V41" i="12"/>
  <c r="X41" i="12" s="1"/>
  <c r="V40" i="12"/>
  <c r="X40" i="12" s="1"/>
  <c r="V39" i="12"/>
  <c r="X39" i="12" s="1"/>
  <c r="AC57" i="12"/>
  <c r="AB60" i="12"/>
  <c r="AB58" i="12"/>
  <c r="AD57" i="12"/>
  <c r="AB59" i="12"/>
  <c r="AB52" i="12"/>
  <c r="AA52" i="12" s="1"/>
  <c r="AD52" i="12" s="1"/>
  <c r="AB53" i="12"/>
  <c r="AD53" i="12" s="1"/>
  <c r="AB54" i="12"/>
  <c r="AD54" i="12" s="1"/>
  <c r="AB51" i="12"/>
  <c r="AA51" i="12" s="1"/>
  <c r="AD51" i="12" s="1"/>
  <c r="AB66" i="12"/>
  <c r="AA66" i="12" s="1"/>
  <c r="AD66" i="12" s="1"/>
  <c r="AW69" i="12"/>
  <c r="P69" i="12"/>
  <c r="R71" i="12"/>
  <c r="P72" i="12"/>
  <c r="O72" i="12" s="1"/>
  <c r="R72" i="12" s="1"/>
  <c r="P70" i="12"/>
  <c r="H14" i="12"/>
  <c r="BF17" i="12" s="1"/>
  <c r="F14" i="12"/>
  <c r="AW29" i="12" s="1"/>
  <c r="G14" i="12"/>
  <c r="W18" i="12" s="1"/>
  <c r="I16" i="6"/>
  <c r="AB18" i="6" s="1"/>
  <c r="AI57" i="12"/>
  <c r="V20" i="15" s="1"/>
  <c r="W57" i="12"/>
  <c r="AE198" i="12"/>
  <c r="AI54" i="12"/>
  <c r="Y19" i="15" s="1"/>
  <c r="W54" i="12"/>
  <c r="AI53" i="12"/>
  <c r="X19" i="15" s="1"/>
  <c r="Q53" i="12"/>
  <c r="AI51" i="12"/>
  <c r="V19" i="15" s="1"/>
  <c r="AI59" i="12"/>
  <c r="X20" i="15" s="1"/>
  <c r="Q197" i="12"/>
  <c r="AC54" i="12"/>
  <c r="Q54" i="12"/>
  <c r="AC53" i="12"/>
  <c r="AI52" i="12"/>
  <c r="W19" i="15" s="1"/>
  <c r="AI60" i="12"/>
  <c r="Y20" i="15" s="1"/>
  <c r="Q57" i="12"/>
  <c r="AY117" i="12"/>
  <c r="AY102" i="12"/>
  <c r="AI106" i="12"/>
  <c r="W33" i="15" s="1"/>
  <c r="BC106" i="12"/>
  <c r="AY119" i="12"/>
  <c r="BC186" i="12"/>
  <c r="AI153" i="12"/>
  <c r="V41" i="15" s="1"/>
  <c r="AI155" i="12"/>
  <c r="X41" i="15" s="1"/>
  <c r="BG34" i="12"/>
  <c r="BF63" i="12"/>
  <c r="BG76" i="12"/>
  <c r="AW95" i="12"/>
  <c r="AC201" i="6"/>
  <c r="BC34" i="12"/>
  <c r="BF64" i="12"/>
  <c r="AI69" i="12"/>
  <c r="V22" i="15" s="1"/>
  <c r="AI70" i="12"/>
  <c r="W22" i="15" s="1"/>
  <c r="BC70" i="12"/>
  <c r="BF77" i="12"/>
  <c r="W118" i="12"/>
  <c r="BG123" i="12"/>
  <c r="AY179" i="12"/>
  <c r="AA203" i="6"/>
  <c r="BF33" i="12"/>
  <c r="BF35" i="12"/>
  <c r="BG66" i="12"/>
  <c r="BF89" i="12"/>
  <c r="BG106" i="12"/>
  <c r="AW142" i="12"/>
  <c r="AW143" i="12"/>
  <c r="AW144" i="12"/>
  <c r="AW160" i="12"/>
  <c r="BG189" i="12"/>
  <c r="BC88" i="12"/>
  <c r="BF142" i="12"/>
  <c r="BC171" i="12"/>
  <c r="AI172" i="12"/>
  <c r="W49" i="15" s="1"/>
  <c r="AY192" i="12"/>
  <c r="BG65" i="12"/>
  <c r="AI66" i="12"/>
  <c r="Y21" i="15" s="1"/>
  <c r="BC66" i="12"/>
  <c r="BF72" i="12"/>
  <c r="BG87" i="12"/>
  <c r="BC94" i="12"/>
  <c r="AI108" i="12"/>
  <c r="Y33" i="15" s="1"/>
  <c r="BF108" i="12"/>
  <c r="BF143" i="12"/>
  <c r="BF161" i="12"/>
  <c r="BF174" i="12"/>
  <c r="AY166" i="12"/>
  <c r="BC183" i="12"/>
  <c r="R185" i="12"/>
  <c r="BC189" i="12"/>
  <c r="BC191" i="12"/>
  <c r="AY196" i="12"/>
  <c r="Q198" i="12"/>
  <c r="W23" i="12"/>
  <c r="Y23" i="12" s="1"/>
  <c r="L14" i="15" s="1"/>
  <c r="BC84" i="12"/>
  <c r="BC87" i="12"/>
  <c r="AW96" i="12"/>
  <c r="AW99" i="12"/>
  <c r="AW141" i="12"/>
  <c r="BF173" i="12"/>
  <c r="W196" i="12"/>
  <c r="AI40" i="12"/>
  <c r="W17" i="15" s="1"/>
  <c r="BG70" i="12"/>
  <c r="AI71" i="12"/>
  <c r="X22" i="15" s="1"/>
  <c r="BG88" i="12"/>
  <c r="AY101" i="12"/>
  <c r="BF141" i="12"/>
  <c r="AY147" i="12"/>
  <c r="BG171" i="12"/>
  <c r="AI173" i="12"/>
  <c r="X49" i="15" s="1"/>
  <c r="BC173" i="12"/>
  <c r="BG173" i="12"/>
  <c r="AI195" i="12"/>
  <c r="BF23" i="12"/>
  <c r="W42" i="12"/>
  <c r="AY76" i="12"/>
  <c r="AY77" i="12"/>
  <c r="BF81" i="12"/>
  <c r="AY87" i="12"/>
  <c r="AY107" i="12"/>
  <c r="AW118" i="12"/>
  <c r="AI123" i="12"/>
  <c r="V36" i="15" s="1"/>
  <c r="AW129" i="12"/>
  <c r="BG147" i="12"/>
  <c r="BC148" i="12"/>
  <c r="AY149" i="12"/>
  <c r="AW165" i="12"/>
  <c r="AW167" i="12"/>
  <c r="AW177" i="12"/>
  <c r="W22" i="12"/>
  <c r="Y22" i="12" s="1"/>
  <c r="K14" i="15" s="1"/>
  <c r="AY51" i="12"/>
  <c r="AW64" i="12"/>
  <c r="BF66" i="12"/>
  <c r="BF78" i="12"/>
  <c r="BG84" i="12"/>
  <c r="BF88" i="12"/>
  <c r="AI93" i="12"/>
  <c r="V31" i="15" s="1"/>
  <c r="BG94" i="12"/>
  <c r="BF95" i="12"/>
  <c r="AW101" i="12"/>
  <c r="AW102" i="12"/>
  <c r="AY106" i="12"/>
  <c r="AW117" i="12"/>
  <c r="AY118" i="12"/>
  <c r="AY120" i="12"/>
  <c r="AW130" i="12"/>
  <c r="AW135" i="12"/>
  <c r="AW136" i="12"/>
  <c r="AW138" i="12"/>
  <c r="BC147" i="12"/>
  <c r="AY148" i="12"/>
  <c r="AY150" i="12"/>
  <c r="AI154" i="12"/>
  <c r="W41" i="15" s="1"/>
  <c r="BF160" i="12"/>
  <c r="AW161" i="12"/>
  <c r="BF171" i="12"/>
  <c r="BF172" i="12"/>
  <c r="AY173" i="12"/>
  <c r="AI174" i="12"/>
  <c r="Y49" i="15" s="1"/>
  <c r="AW166" i="12"/>
  <c r="AY167" i="12"/>
  <c r="AI168" i="12"/>
  <c r="AW179" i="12"/>
  <c r="BG183" i="12"/>
  <c r="BG186" i="12"/>
  <c r="AY189" i="12"/>
  <c r="W190" i="12"/>
  <c r="AY191" i="12"/>
  <c r="AW198" i="12"/>
  <c r="AW21" i="12"/>
  <c r="BG22" i="12"/>
  <c r="AY41" i="12"/>
  <c r="AW132" i="12"/>
  <c r="BF167" i="12"/>
  <c r="AW168" i="12"/>
  <c r="AD185" i="12"/>
  <c r="AI190" i="12"/>
  <c r="W52" i="15" s="1"/>
  <c r="BF192" i="12"/>
  <c r="V195" i="12"/>
  <c r="X195" i="12" s="1"/>
  <c r="Q196" i="12"/>
  <c r="W198" i="12"/>
  <c r="AY198" i="12"/>
  <c r="AY21" i="12"/>
  <c r="BC22" i="12"/>
  <c r="BC63" i="12"/>
  <c r="BG63" i="12"/>
  <c r="AI64" i="12"/>
  <c r="W21" i="15" s="1"/>
  <c r="AI65" i="12"/>
  <c r="X21" i="15" s="1"/>
  <c r="BC65" i="12"/>
  <c r="AY75" i="12"/>
  <c r="BC76" i="12"/>
  <c r="BC77" i="12"/>
  <c r="BG77" i="12"/>
  <c r="AW81" i="12"/>
  <c r="AY84" i="12"/>
  <c r="AY105" i="12"/>
  <c r="AW119" i="12"/>
  <c r="AI124" i="12"/>
  <c r="W36" i="15" s="1"/>
  <c r="AW126" i="12"/>
  <c r="AW137" i="12"/>
  <c r="AY141" i="12"/>
  <c r="AY142" i="12"/>
  <c r="AY143" i="12"/>
  <c r="BF144" i="12"/>
  <c r="BG148" i="12"/>
  <c r="AI156" i="12"/>
  <c r="Y41" i="15" s="1"/>
  <c r="AW171" i="12"/>
  <c r="AI165" i="12"/>
  <c r="V48" i="15" s="1"/>
  <c r="W166" i="12"/>
  <c r="BG166" i="12"/>
  <c r="BF184" i="12"/>
  <c r="AI185" i="12"/>
  <c r="X51" i="15" s="1"/>
  <c r="BF189" i="12"/>
  <c r="BG191" i="12"/>
  <c r="BC192" i="12"/>
  <c r="BG192" i="12"/>
  <c r="AW196" i="12"/>
  <c r="AY4" i="12"/>
  <c r="BC4" i="12"/>
  <c r="BG4" i="12"/>
  <c r="AK6" i="12"/>
  <c r="AY6" i="12"/>
  <c r="BC6" i="12"/>
  <c r="BG6" i="12"/>
  <c r="AW9" i="12"/>
  <c r="BF9" i="12"/>
  <c r="AY12" i="12"/>
  <c r="AW3" i="12"/>
  <c r="BF3" i="12"/>
  <c r="AW5" i="12"/>
  <c r="BF5" i="12"/>
  <c r="AW11" i="12"/>
  <c r="AW12" i="12"/>
  <c r="AY9" i="12"/>
  <c r="BC9" i="12"/>
  <c r="BG9" i="12"/>
  <c r="AW10" i="12"/>
  <c r="BF10" i="12"/>
  <c r="BC11" i="12"/>
  <c r="AY3" i="12"/>
  <c r="BC3" i="12"/>
  <c r="BG3" i="12"/>
  <c r="AY5" i="12"/>
  <c r="BC5" i="12"/>
  <c r="BG5" i="12"/>
  <c r="AY10" i="12"/>
  <c r="BC10" i="12"/>
  <c r="BG10" i="12"/>
  <c r="AY11" i="12"/>
  <c r="BF11" i="12"/>
  <c r="BF12" i="12"/>
  <c r="AW4" i="12"/>
  <c r="BF4" i="12"/>
  <c r="BF6" i="12"/>
  <c r="BG11" i="12"/>
  <c r="BC12" i="12"/>
  <c r="AI21" i="12"/>
  <c r="V14" i="15" s="1"/>
  <c r="BF21" i="12"/>
  <c r="AC22" i="12"/>
  <c r="AE22" i="12" s="1"/>
  <c r="Q14" i="15" s="1"/>
  <c r="AI23" i="12"/>
  <c r="X14" i="15" s="1"/>
  <c r="BC24" i="12"/>
  <c r="BG24" i="12"/>
  <c r="AY27" i="12"/>
  <c r="BC27" i="12"/>
  <c r="BG27" i="12"/>
  <c r="BF28" i="12"/>
  <c r="AI30" i="12"/>
  <c r="Y15" i="15" s="1"/>
  <c r="AI45" i="12"/>
  <c r="V18" i="15" s="1"/>
  <c r="AY46" i="12"/>
  <c r="BC46" i="12"/>
  <c r="BG46" i="12"/>
  <c r="AW47" i="12"/>
  <c r="BF47" i="12"/>
  <c r="AC48" i="12"/>
  <c r="AC39" i="12"/>
  <c r="AW39" i="12"/>
  <c r="BC39" i="12"/>
  <c r="BG39" i="12"/>
  <c r="W40" i="12"/>
  <c r="AW40" i="12"/>
  <c r="BF40" i="12"/>
  <c r="AC41" i="12"/>
  <c r="AI42" i="12"/>
  <c r="Y17" i="15" s="1"/>
  <c r="AY34" i="12"/>
  <c r="AW35" i="12"/>
  <c r="AY59" i="12"/>
  <c r="BC59" i="12"/>
  <c r="BG59" i="12"/>
  <c r="AW60" i="12"/>
  <c r="BF60" i="12"/>
  <c r="BC51" i="12"/>
  <c r="BG51" i="12"/>
  <c r="AW52" i="12"/>
  <c r="BF52" i="12"/>
  <c r="AY63" i="12"/>
  <c r="AW72" i="12"/>
  <c r="AW76" i="12"/>
  <c r="AW75" i="12"/>
  <c r="AW77" i="12"/>
  <c r="AC21" i="12"/>
  <c r="AE21" i="12" s="1"/>
  <c r="P14" i="15" s="1"/>
  <c r="BC21" i="12"/>
  <c r="BG21" i="12"/>
  <c r="BF22" i="12"/>
  <c r="AC23" i="12"/>
  <c r="AE23" i="12" s="1"/>
  <c r="R14" i="15" s="1"/>
  <c r="AI24" i="12"/>
  <c r="Y14" i="15" s="1"/>
  <c r="AI27" i="12"/>
  <c r="V15" i="15" s="1"/>
  <c r="BC28" i="12"/>
  <c r="BG28" i="12"/>
  <c r="BF29" i="12"/>
  <c r="AI46" i="12"/>
  <c r="W18" i="15" s="1"/>
  <c r="AY47" i="12"/>
  <c r="BC47" i="12"/>
  <c r="BG47" i="12"/>
  <c r="W48" i="12"/>
  <c r="AW48" i="12"/>
  <c r="BF48" i="12"/>
  <c r="W39" i="12"/>
  <c r="AY39" i="12"/>
  <c r="Q40" i="12"/>
  <c r="AY40" i="12"/>
  <c r="BC40" i="12"/>
  <c r="BG40" i="12"/>
  <c r="W41" i="12"/>
  <c r="AW41" i="12"/>
  <c r="BF41" i="12"/>
  <c r="AY35" i="12"/>
  <c r="BC35" i="12"/>
  <c r="BG35" i="12"/>
  <c r="AW36" i="12"/>
  <c r="BF36" i="12"/>
  <c r="AW57" i="12"/>
  <c r="BF57" i="12"/>
  <c r="AY60" i="12"/>
  <c r="BC60" i="12"/>
  <c r="BG60" i="12"/>
  <c r="AY52" i="12"/>
  <c r="BC52" i="12"/>
  <c r="BG52" i="12"/>
  <c r="AW53" i="12"/>
  <c r="BF53" i="12"/>
  <c r="AI63" i="12"/>
  <c r="V21" i="15" s="1"/>
  <c r="AY64" i="12"/>
  <c r="BC64" i="12"/>
  <c r="BG64" i="12"/>
  <c r="AW65" i="12"/>
  <c r="BF65" i="12"/>
  <c r="AI72" i="12"/>
  <c r="Y22" i="15" s="1"/>
  <c r="BF70" i="12"/>
  <c r="BF69" i="12"/>
  <c r="AY70" i="12"/>
  <c r="AW71" i="12"/>
  <c r="BF71" i="12"/>
  <c r="AY72" i="12"/>
  <c r="BC72" i="12"/>
  <c r="BG72" i="12"/>
  <c r="AW78" i="12"/>
  <c r="AC24" i="12"/>
  <c r="AE24" i="12" s="1"/>
  <c r="S14" i="15" s="1"/>
  <c r="AI28" i="12"/>
  <c r="W15" i="15" s="1"/>
  <c r="BC29" i="12"/>
  <c r="BG29" i="12"/>
  <c r="BF30" i="12"/>
  <c r="AW45" i="12"/>
  <c r="BF45" i="12"/>
  <c r="AI47" i="12"/>
  <c r="X18" i="15" s="1"/>
  <c r="Q48" i="12"/>
  <c r="AY48" i="12"/>
  <c r="BC48" i="12"/>
  <c r="BG48" i="12"/>
  <c r="Q39" i="12"/>
  <c r="Q41" i="12"/>
  <c r="BC41" i="12"/>
  <c r="BG41" i="12"/>
  <c r="AW42" i="12"/>
  <c r="BF42" i="12"/>
  <c r="AW33" i="12"/>
  <c r="AY36" i="12"/>
  <c r="BC36" i="12"/>
  <c r="BG36" i="12"/>
  <c r="AY57" i="12"/>
  <c r="BC57" i="12"/>
  <c r="BG57" i="12"/>
  <c r="AW58" i="12"/>
  <c r="BF58" i="12"/>
  <c r="AY53" i="12"/>
  <c r="BC53" i="12"/>
  <c r="BG53" i="12"/>
  <c r="AW54" i="12"/>
  <c r="BF54" i="12"/>
  <c r="AY65" i="12"/>
  <c r="AW66" i="12"/>
  <c r="BG69" i="12"/>
  <c r="AY71" i="12"/>
  <c r="BC71" i="12"/>
  <c r="BG71" i="12"/>
  <c r="AI22" i="12"/>
  <c r="W14" i="15" s="1"/>
  <c r="BC23" i="12"/>
  <c r="BG23" i="12"/>
  <c r="AW27" i="12"/>
  <c r="BF27" i="12"/>
  <c r="AI29" i="12"/>
  <c r="X15" i="15" s="1"/>
  <c r="BC30" i="12"/>
  <c r="BG30" i="12"/>
  <c r="AY45" i="12"/>
  <c r="BC45" i="12"/>
  <c r="BG45" i="12"/>
  <c r="AW46" i="12"/>
  <c r="BF46" i="12"/>
  <c r="AI48" i="12"/>
  <c r="Y18" i="15" s="1"/>
  <c r="AI39" i="12"/>
  <c r="V17" i="15" s="1"/>
  <c r="BF39" i="12"/>
  <c r="AI41" i="12"/>
  <c r="X17" i="15" s="1"/>
  <c r="Q42" i="12"/>
  <c r="AY42" i="12"/>
  <c r="BC42" i="12"/>
  <c r="BG42" i="12"/>
  <c r="AY33" i="12"/>
  <c r="BC33" i="12"/>
  <c r="BG33" i="12"/>
  <c r="AW34" i="12"/>
  <c r="BF34" i="12"/>
  <c r="AY58" i="12"/>
  <c r="BC58" i="12"/>
  <c r="BG58" i="12"/>
  <c r="BF59" i="12"/>
  <c r="AW51" i="12"/>
  <c r="BF51" i="12"/>
  <c r="AY54" i="12"/>
  <c r="BC54" i="12"/>
  <c r="BG54" i="12"/>
  <c r="AW63" i="12"/>
  <c r="AY66" i="12"/>
  <c r="AW70" i="12"/>
  <c r="AY69" i="12"/>
  <c r="AI112" i="12"/>
  <c r="W34" i="15" s="1"/>
  <c r="BC113" i="12"/>
  <c r="BG113" i="12"/>
  <c r="BF114" i="12"/>
  <c r="AW88" i="12"/>
  <c r="AY94" i="12"/>
  <c r="AI100" i="12"/>
  <c r="W32" i="15" s="1"/>
  <c r="BC101" i="12"/>
  <c r="BG101" i="12"/>
  <c r="BF102" i="12"/>
  <c r="BC117" i="12"/>
  <c r="BG117" i="12"/>
  <c r="BF118" i="12"/>
  <c r="BC119" i="12"/>
  <c r="BG119" i="12"/>
  <c r="AY126" i="12"/>
  <c r="BG131" i="12"/>
  <c r="BC131" i="12"/>
  <c r="BG130" i="12"/>
  <c r="BC130" i="12"/>
  <c r="AI130" i="12"/>
  <c r="W37" i="15" s="1"/>
  <c r="AI129" i="12"/>
  <c r="V37" i="15" s="1"/>
  <c r="BC129" i="12"/>
  <c r="BG129" i="12"/>
  <c r="BG138" i="12"/>
  <c r="BC138" i="12"/>
  <c r="BF137" i="12"/>
  <c r="BG136" i="12"/>
  <c r="BC136" i="12"/>
  <c r="BG137" i="12"/>
  <c r="BC137" i="12"/>
  <c r="AI136" i="12"/>
  <c r="W38" i="15" s="1"/>
  <c r="AI135" i="12"/>
  <c r="V38" i="15" s="1"/>
  <c r="BC135" i="12"/>
  <c r="BG135" i="12"/>
  <c r="BF111" i="12"/>
  <c r="AI113" i="12"/>
  <c r="X34" i="15" s="1"/>
  <c r="BC114" i="12"/>
  <c r="BG114" i="12"/>
  <c r="AY81" i="12"/>
  <c r="BC81" i="12"/>
  <c r="BG81" i="12"/>
  <c r="AW82" i="12"/>
  <c r="BF82" i="12"/>
  <c r="AY88" i="12"/>
  <c r="AW89" i="12"/>
  <c r="AI94" i="12"/>
  <c r="W31" i="15" s="1"/>
  <c r="AY95" i="12"/>
  <c r="BC95" i="12"/>
  <c r="BG95" i="12"/>
  <c r="BF96" i="12"/>
  <c r="BF99" i="12"/>
  <c r="AI101" i="12"/>
  <c r="X32" i="15" s="1"/>
  <c r="BC102" i="12"/>
  <c r="BG102" i="12"/>
  <c r="BC118" i="12"/>
  <c r="BG118" i="12"/>
  <c r="BG126" i="12"/>
  <c r="BC126" i="12"/>
  <c r="AI125" i="12"/>
  <c r="X36" i="15" s="1"/>
  <c r="BF123" i="12"/>
  <c r="BC123" i="12"/>
  <c r="AW125" i="12"/>
  <c r="BF125" i="12"/>
  <c r="AI131" i="12"/>
  <c r="X37" i="15" s="1"/>
  <c r="BF132" i="12"/>
  <c r="BF138" i="12"/>
  <c r="BF75" i="12"/>
  <c r="AY78" i="12"/>
  <c r="BC78" i="12"/>
  <c r="BG78" i="12"/>
  <c r="BC111" i="12"/>
  <c r="BG111" i="12"/>
  <c r="BF112" i="12"/>
  <c r="AI114" i="12"/>
  <c r="Y34" i="15" s="1"/>
  <c r="AY82" i="12"/>
  <c r="BC82" i="12"/>
  <c r="BG82" i="12"/>
  <c r="AW83" i="12"/>
  <c r="BF83" i="12"/>
  <c r="AY89" i="12"/>
  <c r="BC89" i="12"/>
  <c r="BG89" i="12"/>
  <c r="AW90" i="12"/>
  <c r="BF90" i="12"/>
  <c r="AW93" i="12"/>
  <c r="BF93" i="12"/>
  <c r="AI95" i="12"/>
  <c r="X31" i="15" s="1"/>
  <c r="AY96" i="12"/>
  <c r="BC96" i="12"/>
  <c r="BG96" i="12"/>
  <c r="AY99" i="12"/>
  <c r="BC99" i="12"/>
  <c r="BG99" i="12"/>
  <c r="AW100" i="12"/>
  <c r="BF100" i="12"/>
  <c r="AI102" i="12"/>
  <c r="Y32" i="15" s="1"/>
  <c r="AI105" i="12"/>
  <c r="V33" i="15" s="1"/>
  <c r="BF105" i="12"/>
  <c r="AI107" i="12"/>
  <c r="X33" i="15" s="1"/>
  <c r="BF107" i="12"/>
  <c r="AW108" i="12"/>
  <c r="BC108" i="12"/>
  <c r="BG108" i="12"/>
  <c r="AI118" i="12"/>
  <c r="W35" i="15" s="1"/>
  <c r="AI120" i="12"/>
  <c r="Y35" i="15" s="1"/>
  <c r="BF120" i="12"/>
  <c r="AY123" i="12"/>
  <c r="BF124" i="12"/>
  <c r="AY125" i="12"/>
  <c r="BC125" i="12"/>
  <c r="BG125" i="12"/>
  <c r="AI126" i="12"/>
  <c r="Y36" i="15" s="1"/>
  <c r="BF126" i="12"/>
  <c r="BF130" i="12"/>
  <c r="AI132" i="12"/>
  <c r="Y37" i="15" s="1"/>
  <c r="BC132" i="12"/>
  <c r="BG132" i="12"/>
  <c r="AI137" i="12"/>
  <c r="X38" i="15" s="1"/>
  <c r="BC75" i="12"/>
  <c r="BG75" i="12"/>
  <c r="BF76" i="12"/>
  <c r="AI111" i="12"/>
  <c r="V34" i="15" s="1"/>
  <c r="Z34" i="15" s="1"/>
  <c r="BC112" i="12"/>
  <c r="BG112" i="12"/>
  <c r="BF113" i="12"/>
  <c r="AY83" i="12"/>
  <c r="BC83" i="12"/>
  <c r="BG83" i="12"/>
  <c r="AW87" i="12"/>
  <c r="BF87" i="12"/>
  <c r="AY90" i="12"/>
  <c r="BC90" i="12"/>
  <c r="BG90" i="12"/>
  <c r="AY93" i="12"/>
  <c r="BC93" i="12"/>
  <c r="BG93" i="12"/>
  <c r="AW94" i="12"/>
  <c r="BF94" i="12"/>
  <c r="AI96" i="12"/>
  <c r="Y31" i="15" s="1"/>
  <c r="AI99" i="12"/>
  <c r="V32" i="15" s="1"/>
  <c r="AY100" i="12"/>
  <c r="BC100" i="12"/>
  <c r="BG100" i="12"/>
  <c r="BF101" i="12"/>
  <c r="AW105" i="12"/>
  <c r="BC105" i="12"/>
  <c r="BG105" i="12"/>
  <c r="AW106" i="12"/>
  <c r="BF106" i="12"/>
  <c r="AW107" i="12"/>
  <c r="BC107" i="12"/>
  <c r="BG107" i="12"/>
  <c r="AY108" i="12"/>
  <c r="AI117" i="12"/>
  <c r="V35" i="15" s="1"/>
  <c r="Z35" i="15" s="1"/>
  <c r="BF117" i="12"/>
  <c r="AI119" i="12"/>
  <c r="X35" i="15" s="1"/>
  <c r="BF119" i="12"/>
  <c r="AW120" i="12"/>
  <c r="BC120" i="12"/>
  <c r="BG120" i="12"/>
  <c r="AW123" i="12"/>
  <c r="W124" i="12"/>
  <c r="AY124" i="12"/>
  <c r="BC124" i="12"/>
  <c r="BG124" i="12"/>
  <c r="AY132" i="12"/>
  <c r="AY130" i="12"/>
  <c r="AY129" i="12"/>
  <c r="AY131" i="12"/>
  <c r="BF129" i="12"/>
  <c r="BF131" i="12"/>
  <c r="AY136" i="12"/>
  <c r="AY135" i="12"/>
  <c r="AY138" i="12"/>
  <c r="AY137" i="12"/>
  <c r="BF135" i="12"/>
  <c r="BF136" i="12"/>
  <c r="AI138" i="12"/>
  <c r="Y38" i="15" s="1"/>
  <c r="AI141" i="12"/>
  <c r="V39" i="15" s="1"/>
  <c r="AI147" i="12"/>
  <c r="V40" i="15" s="1"/>
  <c r="AI148" i="12"/>
  <c r="W40" i="15" s="1"/>
  <c r="AI149" i="12"/>
  <c r="X40" i="15" s="1"/>
  <c r="AI150" i="12"/>
  <c r="Y40" i="15" s="1"/>
  <c r="AW156" i="12"/>
  <c r="AW155" i="12"/>
  <c r="AW154" i="12"/>
  <c r="AW153" i="12"/>
  <c r="AI142" i="12"/>
  <c r="W39" i="15" s="1"/>
  <c r="AI143" i="12"/>
  <c r="X39" i="15" s="1"/>
  <c r="AI144" i="12"/>
  <c r="Y39" i="15" s="1"/>
  <c r="AW147" i="12"/>
  <c r="BF147" i="12"/>
  <c r="AW148" i="12"/>
  <c r="BF148" i="12"/>
  <c r="AW149" i="12"/>
  <c r="BF149" i="12"/>
  <c r="AW150" i="12"/>
  <c r="BF150" i="12"/>
  <c r="AY156" i="12"/>
  <c r="AY155" i="12"/>
  <c r="AY154" i="12"/>
  <c r="AY153" i="12"/>
  <c r="AA173" i="12"/>
  <c r="BC149" i="12"/>
  <c r="BG149" i="12"/>
  <c r="BC150" i="12"/>
  <c r="BG150" i="12"/>
  <c r="AI180" i="12"/>
  <c r="Y50" i="15" s="1"/>
  <c r="BF179" i="12"/>
  <c r="BG180" i="12"/>
  <c r="BC180" i="12"/>
  <c r="BC179" i="12"/>
  <c r="BG178" i="12"/>
  <c r="BC178" i="12"/>
  <c r="BF180" i="12"/>
  <c r="BG179" i="12"/>
  <c r="AI179" i="12"/>
  <c r="X50" i="15" s="1"/>
  <c r="BF178" i="12"/>
  <c r="BG177" i="12"/>
  <c r="BC177" i="12"/>
  <c r="AI178" i="12"/>
  <c r="W50" i="15" s="1"/>
  <c r="BF177" i="12"/>
  <c r="AI177" i="12"/>
  <c r="V50" i="15" s="1"/>
  <c r="W185" i="12"/>
  <c r="AW131" i="12"/>
  <c r="BC141" i="12"/>
  <c r="BG141" i="12"/>
  <c r="BC142" i="12"/>
  <c r="BG142" i="12"/>
  <c r="BC143" i="12"/>
  <c r="BG143" i="12"/>
  <c r="AY144" i="12"/>
  <c r="BC144" i="12"/>
  <c r="BG144" i="12"/>
  <c r="Q149" i="12"/>
  <c r="AY185" i="12"/>
  <c r="W186" i="12"/>
  <c r="AY184" i="12"/>
  <c r="X185" i="12"/>
  <c r="AY183" i="12"/>
  <c r="V183" i="12"/>
  <c r="AY186" i="12"/>
  <c r="BF153" i="12"/>
  <c r="BF154" i="12"/>
  <c r="BF155" i="12"/>
  <c r="BF156" i="12"/>
  <c r="AW159" i="12"/>
  <c r="BF159" i="12"/>
  <c r="AY160" i="12"/>
  <c r="BC160" i="12"/>
  <c r="BG160" i="12"/>
  <c r="AY161" i="12"/>
  <c r="BC161" i="12"/>
  <c r="BG161" i="12"/>
  <c r="AW162" i="12"/>
  <c r="BF162" i="12"/>
  <c r="AW173" i="12"/>
  <c r="X171" i="12"/>
  <c r="AY171" i="12"/>
  <c r="BC166" i="12"/>
  <c r="BC167" i="12"/>
  <c r="BC153" i="12"/>
  <c r="BG153" i="12"/>
  <c r="BC154" i="12"/>
  <c r="BG154" i="12"/>
  <c r="BC155" i="12"/>
  <c r="BG155" i="12"/>
  <c r="BC156" i="12"/>
  <c r="BG156" i="12"/>
  <c r="AY159" i="12"/>
  <c r="BC159" i="12"/>
  <c r="BG159" i="12"/>
  <c r="AI160" i="12"/>
  <c r="W42" i="15" s="1"/>
  <c r="AI161" i="12"/>
  <c r="X42" i="15" s="1"/>
  <c r="AY162" i="12"/>
  <c r="BC162" i="12"/>
  <c r="BG162" i="12"/>
  <c r="W174" i="12"/>
  <c r="AY174" i="12"/>
  <c r="AY172" i="12"/>
  <c r="W171" i="12"/>
  <c r="O171" i="12"/>
  <c r="AW172" i="12"/>
  <c r="AI159" i="12"/>
  <c r="V42" i="15" s="1"/>
  <c r="AI162" i="12"/>
  <c r="Y42" i="15" s="1"/>
  <c r="AI167" i="12"/>
  <c r="BF166" i="12"/>
  <c r="BG168" i="12"/>
  <c r="BC168" i="12"/>
  <c r="BG165" i="12"/>
  <c r="BC165" i="12"/>
  <c r="BF168" i="12"/>
  <c r="BF165" i="12"/>
  <c r="AI166" i="12"/>
  <c r="W48" i="15" s="1"/>
  <c r="R186" i="12"/>
  <c r="Q186" i="12"/>
  <c r="W178" i="12"/>
  <c r="AW191" i="12"/>
  <c r="AW190" i="12"/>
  <c r="BG197" i="12"/>
  <c r="BC197" i="12"/>
  <c r="BG195" i="12"/>
  <c r="BC195" i="12"/>
  <c r="AI198" i="12"/>
  <c r="BF197" i="12"/>
  <c r="AI196" i="12"/>
  <c r="BF195" i="12"/>
  <c r="BG198" i="12"/>
  <c r="BC198" i="12"/>
  <c r="AI197" i="12"/>
  <c r="BG196" i="12"/>
  <c r="BC196" i="12"/>
  <c r="AI171" i="12"/>
  <c r="V49" i="15" s="1"/>
  <c r="BC172" i="12"/>
  <c r="BG172" i="12"/>
  <c r="BC174" i="12"/>
  <c r="BG174" i="12"/>
  <c r="AY165" i="12"/>
  <c r="AY168" i="12"/>
  <c r="AY177" i="12"/>
  <c r="AW178" i="12"/>
  <c r="AW180" i="12"/>
  <c r="AW184" i="12"/>
  <c r="AW192" i="12"/>
  <c r="BF196" i="12"/>
  <c r="W167" i="12"/>
  <c r="AY178" i="12"/>
  <c r="AY180" i="12"/>
  <c r="AW186" i="12"/>
  <c r="AW183" i="12"/>
  <c r="AW185" i="12"/>
  <c r="AC195" i="12"/>
  <c r="AE195" i="12" s="1"/>
  <c r="AI183" i="12"/>
  <c r="V51" i="15" s="1"/>
  <c r="BC184" i="12"/>
  <c r="BG184" i="12"/>
  <c r="BF185" i="12"/>
  <c r="AI186" i="12"/>
  <c r="Y51" i="15" s="1"/>
  <c r="BF190" i="12"/>
  <c r="W191" i="12"/>
  <c r="AI191" i="12"/>
  <c r="X52" i="15" s="1"/>
  <c r="Q195" i="12"/>
  <c r="W195" i="12"/>
  <c r="AW195" i="12"/>
  <c r="V197" i="12"/>
  <c r="X197" i="12" s="1"/>
  <c r="AC197" i="12"/>
  <c r="AE197" i="12" s="1"/>
  <c r="AW197" i="12"/>
  <c r="BF183" i="12"/>
  <c r="AI184" i="12"/>
  <c r="W51" i="15" s="1"/>
  <c r="BC185" i="12"/>
  <c r="BG185" i="12"/>
  <c r="BF186" i="12"/>
  <c r="AI189" i="12"/>
  <c r="V52" i="15" s="1"/>
  <c r="X190" i="12"/>
  <c r="AY190" i="12"/>
  <c r="BC190" i="12"/>
  <c r="BG190" i="12"/>
  <c r="BF191" i="12"/>
  <c r="AI192" i="12"/>
  <c r="Y52" i="15" s="1"/>
  <c r="AY195" i="12"/>
  <c r="V196" i="12"/>
  <c r="X196" i="12" s="1"/>
  <c r="AC196" i="12"/>
  <c r="AE196" i="12" s="1"/>
  <c r="W197" i="12"/>
  <c r="AY197" i="12"/>
  <c r="V198" i="12"/>
  <c r="X198" i="12" s="1"/>
  <c r="Q210" i="6"/>
  <c r="P210" i="6"/>
  <c r="V147" i="6"/>
  <c r="X147" i="6" s="1"/>
  <c r="V143" i="6"/>
  <c r="X143" i="6" s="1"/>
  <c r="V146" i="6"/>
  <c r="X146" i="6" s="1"/>
  <c r="V166" i="6"/>
  <c r="X166" i="6" s="1"/>
  <c r="V168" i="6"/>
  <c r="X168" i="6" s="1"/>
  <c r="V167" i="6"/>
  <c r="X167" i="6" s="1"/>
  <c r="AH180" i="6"/>
  <c r="AH182" i="6"/>
  <c r="AH181" i="6"/>
  <c r="AH179" i="6"/>
  <c r="AH178" i="6"/>
  <c r="AB165" i="6"/>
  <c r="AD165" i="6" s="1"/>
  <c r="Q186" i="6"/>
  <c r="P186" i="6"/>
  <c r="P185" i="6"/>
  <c r="V181" i="6"/>
  <c r="X181" i="6" s="1"/>
  <c r="V182" i="6"/>
  <c r="X182" i="6" s="1"/>
  <c r="V223" i="6"/>
  <c r="V220" i="6"/>
  <c r="U224" i="6"/>
  <c r="W223" i="6"/>
  <c r="W220" i="6"/>
  <c r="AH186" i="6"/>
  <c r="AH188" i="6"/>
  <c r="AH185" i="6"/>
  <c r="AH189" i="6"/>
  <c r="AH187" i="6"/>
  <c r="AH173" i="6"/>
  <c r="AH175" i="6"/>
  <c r="AH174" i="6"/>
  <c r="AH172" i="6"/>
  <c r="AH171" i="6"/>
  <c r="AH193" i="6"/>
  <c r="AH195" i="6"/>
  <c r="AH192" i="6"/>
  <c r="AH196" i="6"/>
  <c r="AH194" i="6"/>
  <c r="AH157" i="6"/>
  <c r="AH158" i="6"/>
  <c r="AH160" i="6"/>
  <c r="AH161" i="6"/>
  <c r="AH159" i="6"/>
  <c r="BE74" i="6"/>
  <c r="AH75" i="6"/>
  <c r="AH77" i="6"/>
  <c r="AH74" i="6"/>
  <c r="AH76" i="6"/>
  <c r="AB175" i="6"/>
  <c r="AD175" i="6" s="1"/>
  <c r="AB174" i="6"/>
  <c r="AD174" i="6" s="1"/>
  <c r="AH213" i="6"/>
  <c r="AH215" i="6"/>
  <c r="AH217" i="6"/>
  <c r="AH216" i="6"/>
  <c r="AH214" i="6"/>
  <c r="AB228" i="6"/>
  <c r="AD228" i="6" s="1"/>
  <c r="AB230" i="6"/>
  <c r="AD230" i="6" s="1"/>
  <c r="AB227" i="6"/>
  <c r="AD227" i="6" s="1"/>
  <c r="AB231" i="6"/>
  <c r="AD231" i="6" s="1"/>
  <c r="AB229" i="6"/>
  <c r="AD229" i="6" s="1"/>
  <c r="P178" i="6"/>
  <c r="P181" i="6"/>
  <c r="P180" i="6"/>
  <c r="V228" i="6"/>
  <c r="V230" i="6"/>
  <c r="X230" i="6" s="1"/>
  <c r="V227" i="6"/>
  <c r="V229" i="6"/>
  <c r="W229" i="6"/>
  <c r="V231" i="6"/>
  <c r="W231" i="6"/>
  <c r="W228" i="6"/>
  <c r="AH229" i="6"/>
  <c r="AH231" i="6"/>
  <c r="AH227" i="6"/>
  <c r="AH228" i="6"/>
  <c r="AH230" i="6"/>
  <c r="AH144" i="6"/>
  <c r="AH146" i="6"/>
  <c r="AH143" i="6"/>
  <c r="AH147" i="6"/>
  <c r="AH222" i="6"/>
  <c r="AH224" i="6"/>
  <c r="AH220" i="6"/>
  <c r="AH223" i="6"/>
  <c r="AH221" i="6"/>
  <c r="AB181" i="6"/>
  <c r="AD181" i="6" s="1"/>
  <c r="AB178" i="6"/>
  <c r="AD178" i="6" s="1"/>
  <c r="AH73" i="6"/>
  <c r="P146" i="6"/>
  <c r="P144" i="6"/>
  <c r="P168" i="6"/>
  <c r="V196" i="6"/>
  <c r="V195" i="6"/>
  <c r="V193" i="6"/>
  <c r="V192" i="6"/>
  <c r="W196" i="6"/>
  <c r="AH151" i="6"/>
  <c r="AH153" i="6"/>
  <c r="AH150" i="6"/>
  <c r="AH154" i="6"/>
  <c r="AH152" i="6"/>
  <c r="AH207" i="6"/>
  <c r="AH209" i="6"/>
  <c r="AH206" i="6"/>
  <c r="AH208" i="6"/>
  <c r="AH210" i="6"/>
  <c r="AA195" i="6"/>
  <c r="Z195" i="6" s="1"/>
  <c r="AC217" i="6"/>
  <c r="AB217" i="6"/>
  <c r="V187" i="6"/>
  <c r="X187" i="6" s="1"/>
  <c r="P228" i="6"/>
  <c r="P231" i="6"/>
  <c r="P230" i="6"/>
  <c r="P227" i="6"/>
  <c r="P153" i="6"/>
  <c r="P161" i="6"/>
  <c r="V154" i="6"/>
  <c r="X154" i="6" s="1"/>
  <c r="V151" i="6"/>
  <c r="X151" i="6" s="1"/>
  <c r="V159" i="6"/>
  <c r="X159" i="6" s="1"/>
  <c r="V161" i="6"/>
  <c r="X161" i="6" s="1"/>
  <c r="V158" i="6"/>
  <c r="X158" i="6" s="1"/>
  <c r="P74" i="6"/>
  <c r="P173" i="6"/>
  <c r="P174" i="6"/>
  <c r="V172" i="6"/>
  <c r="X172" i="6" s="1"/>
  <c r="V174" i="6"/>
  <c r="X174" i="6" s="1"/>
  <c r="V173" i="6"/>
  <c r="X173" i="6" s="1"/>
  <c r="U200" i="6"/>
  <c r="W203" i="6"/>
  <c r="V203" i="6"/>
  <c r="W207" i="6"/>
  <c r="U210" i="6"/>
  <c r="U209" i="6"/>
  <c r="AH201" i="6"/>
  <c r="AH203" i="6"/>
  <c r="AH199" i="6"/>
  <c r="AH202" i="6"/>
  <c r="AH200" i="6"/>
  <c r="AH166" i="6"/>
  <c r="AH168" i="6"/>
  <c r="AH167" i="6"/>
  <c r="AH164" i="6"/>
  <c r="AH165" i="6"/>
  <c r="V217" i="6"/>
  <c r="V216" i="6"/>
  <c r="W217" i="6"/>
  <c r="U213" i="6"/>
  <c r="AB150" i="6"/>
  <c r="AD150" i="6" s="1"/>
  <c r="AB152" i="6"/>
  <c r="AD152" i="6" s="1"/>
  <c r="AA220" i="6"/>
  <c r="Z220" i="6" s="1"/>
  <c r="Z223" i="6"/>
  <c r="AB147" i="6"/>
  <c r="AD147" i="6" s="1"/>
  <c r="W227" i="6"/>
  <c r="AH145" i="6"/>
  <c r="AB157" i="6"/>
  <c r="AD157" i="6" s="1"/>
  <c r="AB159" i="6"/>
  <c r="AD159" i="6" s="1"/>
  <c r="P229" i="6"/>
  <c r="AH118" i="6"/>
  <c r="AH116" i="6"/>
  <c r="P122" i="6"/>
  <c r="AH122" i="6"/>
  <c r="AB123" i="6"/>
  <c r="AD123" i="6" s="1"/>
  <c r="AH125" i="6"/>
  <c r="AH123" i="6"/>
  <c r="AH136" i="6"/>
  <c r="V140" i="6"/>
  <c r="X140" i="6" s="1"/>
  <c r="V138" i="6"/>
  <c r="X138" i="6" s="1"/>
  <c r="AB139" i="6"/>
  <c r="AD139" i="6" s="1"/>
  <c r="AH139" i="6"/>
  <c r="AH137" i="6"/>
  <c r="AC185" i="6"/>
  <c r="V115" i="6"/>
  <c r="X115" i="6" s="1"/>
  <c r="AB117" i="6"/>
  <c r="AD117" i="6" s="1"/>
  <c r="V122" i="6"/>
  <c r="X122" i="6" s="1"/>
  <c r="P137" i="6"/>
  <c r="Q189" i="6"/>
  <c r="P119" i="6"/>
  <c r="V116" i="6"/>
  <c r="X116" i="6" s="1"/>
  <c r="AH119" i="6"/>
  <c r="AH117" i="6"/>
  <c r="P123" i="6"/>
  <c r="AB124" i="6"/>
  <c r="AD124" i="6" s="1"/>
  <c r="AH126" i="6"/>
  <c r="V139" i="6"/>
  <c r="X139" i="6" s="1"/>
  <c r="AB140" i="6"/>
  <c r="AD140" i="6" s="1"/>
  <c r="AB138" i="6"/>
  <c r="AD138" i="6" s="1"/>
  <c r="AH138" i="6"/>
  <c r="O203" i="6"/>
  <c r="N203" i="6" s="1"/>
  <c r="P126" i="6"/>
  <c r="P140" i="6"/>
  <c r="AB52" i="6"/>
  <c r="AD52" i="6" s="1"/>
  <c r="P56" i="6"/>
  <c r="V53" i="6"/>
  <c r="X53" i="6" s="1"/>
  <c r="AH56" i="6"/>
  <c r="AH54" i="6"/>
  <c r="P47" i="6"/>
  <c r="AH48" i="6"/>
  <c r="AH46" i="6"/>
  <c r="P42" i="6"/>
  <c r="P70" i="6"/>
  <c r="V67" i="6"/>
  <c r="X67" i="6" s="1"/>
  <c r="V84" i="6"/>
  <c r="X84" i="6" s="1"/>
  <c r="AB89" i="6"/>
  <c r="AD89" i="6" s="1"/>
  <c r="V94" i="6"/>
  <c r="X94" i="6" s="1"/>
  <c r="AH98" i="6"/>
  <c r="AH96" i="6"/>
  <c r="V103" i="6"/>
  <c r="X103" i="6" s="1"/>
  <c r="AB104" i="6"/>
  <c r="AD104" i="6" s="1"/>
  <c r="V111" i="6"/>
  <c r="X111" i="6" s="1"/>
  <c r="AB112" i="6"/>
  <c r="AD112" i="6" s="1"/>
  <c r="AH112" i="6"/>
  <c r="AH110" i="6"/>
  <c r="AH52" i="6"/>
  <c r="AH45" i="6"/>
  <c r="AH38" i="6"/>
  <c r="V42" i="6"/>
  <c r="X42" i="6" s="1"/>
  <c r="V40" i="6"/>
  <c r="X40" i="6" s="1"/>
  <c r="AB39" i="6"/>
  <c r="AD39" i="6" s="1"/>
  <c r="AH41" i="6"/>
  <c r="AH39" i="6"/>
  <c r="AH66" i="6"/>
  <c r="AB67" i="6"/>
  <c r="AD67" i="6" s="1"/>
  <c r="AH69" i="6"/>
  <c r="AH67" i="6"/>
  <c r="P63" i="6"/>
  <c r="AH63" i="6"/>
  <c r="AH61" i="6"/>
  <c r="AH84" i="6"/>
  <c r="AH82" i="6"/>
  <c r="V88" i="6"/>
  <c r="X88" i="6" s="1"/>
  <c r="AH91" i="6"/>
  <c r="AH89" i="6"/>
  <c r="V132" i="6"/>
  <c r="X132" i="6" s="1"/>
  <c r="AH133" i="6"/>
  <c r="AH131" i="6"/>
  <c r="AB94" i="6"/>
  <c r="AD94" i="6" s="1"/>
  <c r="P98" i="6"/>
  <c r="V97" i="6"/>
  <c r="X97" i="6" s="1"/>
  <c r="V95" i="6"/>
  <c r="AH104" i="6"/>
  <c r="AH102" i="6"/>
  <c r="AB108" i="6"/>
  <c r="AD108" i="6" s="1"/>
  <c r="V54" i="6"/>
  <c r="X54" i="6" s="1"/>
  <c r="AB53" i="6"/>
  <c r="AD53" i="6" s="1"/>
  <c r="AH55" i="6"/>
  <c r="AH53" i="6"/>
  <c r="P45" i="6"/>
  <c r="AB49" i="6"/>
  <c r="AD49" i="6" s="1"/>
  <c r="AH49" i="6"/>
  <c r="AH47" i="6"/>
  <c r="AH59" i="6"/>
  <c r="AH80" i="6"/>
  <c r="V81" i="6"/>
  <c r="X81" i="6" s="1"/>
  <c r="AB129" i="6"/>
  <c r="AD129" i="6" s="1"/>
  <c r="P133" i="6"/>
  <c r="AH94" i="6"/>
  <c r="AH97" i="6"/>
  <c r="AB101" i="6"/>
  <c r="AD101" i="6" s="1"/>
  <c r="P105" i="6"/>
  <c r="AH108" i="6"/>
  <c r="V112" i="6"/>
  <c r="X112" i="6" s="1"/>
  <c r="AB109" i="6"/>
  <c r="AD109" i="6" s="1"/>
  <c r="AH111" i="6"/>
  <c r="V52" i="6"/>
  <c r="AB56" i="6"/>
  <c r="AD56" i="6" s="1"/>
  <c r="V46" i="6"/>
  <c r="X46" i="6" s="1"/>
  <c r="AH42" i="6"/>
  <c r="AH40" i="6"/>
  <c r="V66" i="6"/>
  <c r="X66" i="6" s="1"/>
  <c r="AB70" i="6"/>
  <c r="AD70" i="6" s="1"/>
  <c r="AH70" i="6"/>
  <c r="AH68" i="6"/>
  <c r="P59" i="6"/>
  <c r="V61" i="6"/>
  <c r="X61" i="6" s="1"/>
  <c r="AB62" i="6"/>
  <c r="AD62" i="6" s="1"/>
  <c r="AH62" i="6"/>
  <c r="AH60" i="6"/>
  <c r="AH83" i="6"/>
  <c r="AH87" i="6"/>
  <c r="V91" i="6"/>
  <c r="X91" i="6" s="1"/>
  <c r="AH90" i="6"/>
  <c r="AH129" i="6"/>
  <c r="V133" i="6"/>
  <c r="X133" i="6" s="1"/>
  <c r="AB132" i="6"/>
  <c r="AD132" i="6" s="1"/>
  <c r="AH132" i="6"/>
  <c r="AH101" i="6"/>
  <c r="AH105" i="6"/>
  <c r="P108" i="6"/>
  <c r="P111" i="6"/>
  <c r="P109" i="6"/>
  <c r="AH4" i="6"/>
  <c r="AB10" i="6"/>
  <c r="AD10" i="6" s="1"/>
  <c r="AH14" i="6"/>
  <c r="AH21" i="6"/>
  <c r="AH19" i="6"/>
  <c r="AH24" i="6"/>
  <c r="AH31" i="6"/>
  <c r="V35" i="6"/>
  <c r="X35" i="6" s="1"/>
  <c r="V33" i="6"/>
  <c r="X33" i="6" s="1"/>
  <c r="V3" i="6"/>
  <c r="X3" i="6" s="1"/>
  <c r="AH7" i="6"/>
  <c r="V13" i="6"/>
  <c r="X13" i="6" s="1"/>
  <c r="AH11" i="6"/>
  <c r="V20" i="6"/>
  <c r="X20" i="6" s="1"/>
  <c r="P24" i="6"/>
  <c r="P27" i="6"/>
  <c r="P25" i="6"/>
  <c r="V27" i="6"/>
  <c r="X27" i="6" s="1"/>
  <c r="V25" i="6"/>
  <c r="X25" i="6" s="1"/>
  <c r="AB27" i="6"/>
  <c r="AD27" i="6" s="1"/>
  <c r="AB25" i="6"/>
  <c r="AD25" i="6" s="1"/>
  <c r="AH27" i="6"/>
  <c r="AH25" i="6"/>
  <c r="AH35" i="6"/>
  <c r="AH33" i="6"/>
  <c r="V6" i="6"/>
  <c r="X6" i="6" s="1"/>
  <c r="AH6" i="6"/>
  <c r="AH10" i="6"/>
  <c r="AH13" i="6"/>
  <c r="AH12" i="6"/>
  <c r="AH20" i="6"/>
  <c r="AH18" i="6"/>
  <c r="V24" i="6"/>
  <c r="X24" i="6" s="1"/>
  <c r="AH5" i="6"/>
  <c r="V12" i="6"/>
  <c r="X12" i="6" s="1"/>
  <c r="AH17" i="6"/>
  <c r="V19" i="6"/>
  <c r="X19" i="6" s="1"/>
  <c r="AB24" i="6"/>
  <c r="AD24" i="6" s="1"/>
  <c r="P28" i="6"/>
  <c r="P26" i="6"/>
  <c r="V28" i="6"/>
  <c r="X28" i="6" s="1"/>
  <c r="V26" i="6"/>
  <c r="X26" i="6" s="1"/>
  <c r="AB28" i="6"/>
  <c r="AD28" i="6" s="1"/>
  <c r="AH28" i="6"/>
  <c r="AH26" i="6"/>
  <c r="P35" i="6"/>
  <c r="AH34" i="6"/>
  <c r="AH32" i="6"/>
  <c r="AD26" i="6"/>
  <c r="AV88" i="6"/>
  <c r="AV87" i="6"/>
  <c r="AV89" i="6"/>
  <c r="AV90" i="6"/>
  <c r="AV91" i="6"/>
  <c r="AV97" i="6"/>
  <c r="AV98" i="6"/>
  <c r="AV95" i="6"/>
  <c r="AV94" i="6"/>
  <c r="AV96" i="6"/>
  <c r="AV117" i="6"/>
  <c r="AV118" i="6"/>
  <c r="AV119" i="6"/>
  <c r="AV116" i="6"/>
  <c r="AV115" i="6"/>
  <c r="AV180" i="6"/>
  <c r="AV181" i="6"/>
  <c r="AV182" i="6"/>
  <c r="AV179" i="6"/>
  <c r="AV178" i="6"/>
  <c r="AX188" i="6"/>
  <c r="AX185" i="6"/>
  <c r="AX189" i="6"/>
  <c r="AX186" i="6"/>
  <c r="AX187" i="6"/>
  <c r="AX130" i="6"/>
  <c r="AX131" i="6"/>
  <c r="AX132" i="6"/>
  <c r="AX129" i="6"/>
  <c r="AX133" i="6"/>
  <c r="AX91" i="6"/>
  <c r="AX88" i="6"/>
  <c r="AX89" i="6"/>
  <c r="AX90" i="6"/>
  <c r="AX87" i="6"/>
  <c r="AX96" i="6"/>
  <c r="AX97" i="6"/>
  <c r="AX94" i="6"/>
  <c r="AX98" i="6"/>
  <c r="AX95" i="6"/>
  <c r="AX116" i="6"/>
  <c r="AX117" i="6"/>
  <c r="AX118" i="6"/>
  <c r="AX115" i="6"/>
  <c r="AX119" i="6"/>
  <c r="AX179" i="6"/>
  <c r="AX180" i="6"/>
  <c r="AX181" i="6"/>
  <c r="AX178" i="6"/>
  <c r="AX182" i="6"/>
  <c r="BA182" i="6" s="1"/>
  <c r="AX222" i="6"/>
  <c r="AX223" i="6"/>
  <c r="AX220" i="6"/>
  <c r="AX224" i="6"/>
  <c r="AX221" i="6"/>
  <c r="BB137" i="6"/>
  <c r="BF137" i="6"/>
  <c r="BE138" i="6"/>
  <c r="BF136" i="6"/>
  <c r="BB138" i="6"/>
  <c r="BF138" i="6"/>
  <c r="BE139" i="6"/>
  <c r="BE136" i="6"/>
  <c r="BB139" i="6"/>
  <c r="BF139" i="6"/>
  <c r="BE140" i="6"/>
  <c r="BB136" i="6"/>
  <c r="BE137" i="6"/>
  <c r="BB140" i="6"/>
  <c r="BF140" i="6"/>
  <c r="BE186" i="6"/>
  <c r="BB189" i="6"/>
  <c r="BF189" i="6"/>
  <c r="BB186" i="6"/>
  <c r="BF186" i="6"/>
  <c r="BE187" i="6"/>
  <c r="BF185" i="6"/>
  <c r="BB187" i="6"/>
  <c r="BF187" i="6"/>
  <c r="BE188" i="6"/>
  <c r="BE185" i="6"/>
  <c r="BF188" i="6"/>
  <c r="BB188" i="6"/>
  <c r="BE189" i="6"/>
  <c r="BB185" i="6"/>
  <c r="BB172" i="6"/>
  <c r="BF172" i="6"/>
  <c r="BE173" i="6"/>
  <c r="BF171" i="6"/>
  <c r="BB173" i="6"/>
  <c r="BF173" i="6"/>
  <c r="BE174" i="6"/>
  <c r="BE171" i="6"/>
  <c r="BB174" i="6"/>
  <c r="BF174" i="6"/>
  <c r="BE175" i="6"/>
  <c r="BB171" i="6"/>
  <c r="BB175" i="6"/>
  <c r="BE172" i="6"/>
  <c r="BF175" i="6"/>
  <c r="BB81" i="6"/>
  <c r="BF81" i="6"/>
  <c r="BE82" i="6"/>
  <c r="BF80" i="6"/>
  <c r="BB82" i="6"/>
  <c r="BF82" i="6"/>
  <c r="BE83" i="6"/>
  <c r="BE80" i="6"/>
  <c r="BB83" i="6"/>
  <c r="BF83" i="6"/>
  <c r="BE84" i="6"/>
  <c r="BB80" i="6"/>
  <c r="BE81" i="6"/>
  <c r="BB194" i="6"/>
  <c r="BF194" i="6"/>
  <c r="BE195" i="6"/>
  <c r="BF192" i="6"/>
  <c r="BB195" i="6"/>
  <c r="BF195" i="6"/>
  <c r="BE196" i="6"/>
  <c r="BB192" i="6"/>
  <c r="BE193" i="6"/>
  <c r="BB196" i="6"/>
  <c r="BF196" i="6"/>
  <c r="BB193" i="6"/>
  <c r="BF193" i="6"/>
  <c r="BE194" i="6"/>
  <c r="BE192" i="6"/>
  <c r="BE123" i="6"/>
  <c r="BB126" i="6"/>
  <c r="BF126" i="6"/>
  <c r="BB123" i="6"/>
  <c r="BF123" i="6"/>
  <c r="BE124" i="6"/>
  <c r="BF122" i="6"/>
  <c r="BB124" i="6"/>
  <c r="BF124" i="6"/>
  <c r="BE125" i="6"/>
  <c r="BE122" i="6"/>
  <c r="BB125" i="6"/>
  <c r="BF125" i="6"/>
  <c r="BE126" i="6"/>
  <c r="BB122" i="6"/>
  <c r="BE102" i="6"/>
  <c r="BB105" i="6"/>
  <c r="BF105" i="6"/>
  <c r="BB102" i="6"/>
  <c r="BF102" i="6"/>
  <c r="BE103" i="6"/>
  <c r="BF101" i="6"/>
  <c r="BB103" i="6"/>
  <c r="BF103" i="6"/>
  <c r="BE104" i="6"/>
  <c r="BE101" i="6"/>
  <c r="BB104" i="6"/>
  <c r="BF104" i="6"/>
  <c r="BE105" i="6"/>
  <c r="BB101" i="6"/>
  <c r="BB158" i="6"/>
  <c r="BF158" i="6"/>
  <c r="BE159" i="6"/>
  <c r="BF157" i="6"/>
  <c r="BB160" i="6"/>
  <c r="BF160" i="6"/>
  <c r="BE161" i="6"/>
  <c r="BB157" i="6"/>
  <c r="BE158" i="6"/>
  <c r="BE160" i="6"/>
  <c r="BB161" i="6"/>
  <c r="BE157" i="6"/>
  <c r="BF159" i="6"/>
  <c r="BB159" i="6"/>
  <c r="BF161" i="6"/>
  <c r="AV214" i="6"/>
  <c r="AV213" i="6"/>
  <c r="AV215" i="6"/>
  <c r="AV216" i="6"/>
  <c r="AV217" i="6"/>
  <c r="BB66" i="6"/>
  <c r="BF70" i="6"/>
  <c r="BB70" i="6"/>
  <c r="BF69" i="6"/>
  <c r="BB69" i="6"/>
  <c r="AV69" i="6"/>
  <c r="BA69" i="6" s="1"/>
  <c r="AX68" i="6"/>
  <c r="AX59" i="6"/>
  <c r="BF63" i="6"/>
  <c r="BB63" i="6"/>
  <c r="AV63" i="6"/>
  <c r="AX62" i="6"/>
  <c r="BF77" i="6"/>
  <c r="AX80" i="6"/>
  <c r="BB84" i="6"/>
  <c r="AX217" i="6"/>
  <c r="AX214" i="6"/>
  <c r="AX215" i="6"/>
  <c r="AX216" i="6"/>
  <c r="AX213" i="6"/>
  <c r="BE66" i="6"/>
  <c r="BE70" i="6"/>
  <c r="BE69" i="6"/>
  <c r="BF68" i="6"/>
  <c r="BB68" i="6"/>
  <c r="AV68" i="6"/>
  <c r="AX67" i="6"/>
  <c r="BB59" i="6"/>
  <c r="BE63" i="6"/>
  <c r="BF62" i="6"/>
  <c r="BB62" i="6"/>
  <c r="BF84" i="6"/>
  <c r="AV137" i="6"/>
  <c r="AV136" i="6"/>
  <c r="AV138" i="6"/>
  <c r="AV139" i="6"/>
  <c r="AV140" i="6"/>
  <c r="AV189" i="6"/>
  <c r="AV186" i="6"/>
  <c r="AV185" i="6"/>
  <c r="BA185" i="6" s="1"/>
  <c r="AV187" i="6"/>
  <c r="AV188" i="6"/>
  <c r="AV131" i="6"/>
  <c r="AV132" i="6"/>
  <c r="AV133" i="6"/>
  <c r="AV130" i="6"/>
  <c r="AV129" i="6"/>
  <c r="BA129" i="6" s="1"/>
  <c r="AX140" i="6"/>
  <c r="AX137" i="6"/>
  <c r="AX138" i="6"/>
  <c r="AX139" i="6"/>
  <c r="AX136" i="6"/>
  <c r="AV228" i="6"/>
  <c r="AV227" i="6"/>
  <c r="AV229" i="6"/>
  <c r="AV230" i="6"/>
  <c r="AV231" i="6"/>
  <c r="AV153" i="6"/>
  <c r="AV151" i="6"/>
  <c r="AV150" i="6"/>
  <c r="AV152" i="6"/>
  <c r="AV154" i="6"/>
  <c r="AV158" i="6"/>
  <c r="AV157" i="6"/>
  <c r="AV159" i="6"/>
  <c r="AV160" i="6"/>
  <c r="AV161" i="6"/>
  <c r="AX231" i="6"/>
  <c r="AX228" i="6"/>
  <c r="BA228" i="6" s="1"/>
  <c r="AX229" i="6"/>
  <c r="AX230" i="6"/>
  <c r="AX227" i="6"/>
  <c r="AX152" i="6"/>
  <c r="BA152" i="6" s="1"/>
  <c r="AX154" i="6"/>
  <c r="BA154" i="6" s="1"/>
  <c r="AX153" i="6"/>
  <c r="AX150" i="6"/>
  <c r="AX151" i="6"/>
  <c r="AX161" i="6"/>
  <c r="AX158" i="6"/>
  <c r="AX159" i="6"/>
  <c r="AX157" i="6"/>
  <c r="AX160" i="6"/>
  <c r="BA160" i="6" s="1"/>
  <c r="AV223" i="6"/>
  <c r="AV224" i="6"/>
  <c r="AV221" i="6"/>
  <c r="AV220" i="6"/>
  <c r="AV222" i="6"/>
  <c r="BB228" i="6"/>
  <c r="BF228" i="6"/>
  <c r="BE229" i="6"/>
  <c r="BF227" i="6"/>
  <c r="BB229" i="6"/>
  <c r="BF229" i="6"/>
  <c r="BE230" i="6"/>
  <c r="BE227" i="6"/>
  <c r="BB230" i="6"/>
  <c r="BF230" i="6"/>
  <c r="BE231" i="6"/>
  <c r="BB227" i="6"/>
  <c r="BE228" i="6"/>
  <c r="BB231" i="6"/>
  <c r="BF231" i="6"/>
  <c r="BB145" i="6"/>
  <c r="BF145" i="6"/>
  <c r="BE146" i="6"/>
  <c r="BE144" i="6"/>
  <c r="BB147" i="6"/>
  <c r="BE147" i="6"/>
  <c r="BF144" i="6"/>
  <c r="BF147" i="6"/>
  <c r="BB143" i="6"/>
  <c r="BB144" i="6"/>
  <c r="BF146" i="6"/>
  <c r="BF143" i="6"/>
  <c r="BE145" i="6"/>
  <c r="BB146" i="6"/>
  <c r="BE143" i="6"/>
  <c r="BB223" i="6"/>
  <c r="BF223" i="6"/>
  <c r="BE224" i="6"/>
  <c r="BB220" i="6"/>
  <c r="BE221" i="6"/>
  <c r="BB224" i="6"/>
  <c r="BF224" i="6"/>
  <c r="BB221" i="6"/>
  <c r="BF221" i="6"/>
  <c r="BE222" i="6"/>
  <c r="BF220" i="6"/>
  <c r="BB222" i="6"/>
  <c r="BF222" i="6"/>
  <c r="BE223" i="6"/>
  <c r="BE220" i="6"/>
  <c r="BB88" i="6"/>
  <c r="BF88" i="6"/>
  <c r="BE89" i="6"/>
  <c r="BF87" i="6"/>
  <c r="BB89" i="6"/>
  <c r="BF89" i="6"/>
  <c r="BE90" i="6"/>
  <c r="BE87" i="6"/>
  <c r="BB90" i="6"/>
  <c r="BF90" i="6"/>
  <c r="BE91" i="6"/>
  <c r="BB87" i="6"/>
  <c r="BE88" i="6"/>
  <c r="BB91" i="6"/>
  <c r="BF91" i="6"/>
  <c r="BB74" i="6"/>
  <c r="BF74" i="6"/>
  <c r="BE75" i="6"/>
  <c r="BF73" i="6"/>
  <c r="BB75" i="6"/>
  <c r="BF75" i="6"/>
  <c r="BE76" i="6"/>
  <c r="BE73" i="6"/>
  <c r="BB76" i="6"/>
  <c r="BF76" i="6"/>
  <c r="BE77" i="6"/>
  <c r="BB73" i="6"/>
  <c r="AV109" i="6"/>
  <c r="AV108" i="6"/>
  <c r="AV110" i="6"/>
  <c r="AV111" i="6"/>
  <c r="AV112" i="6"/>
  <c r="AV74" i="6"/>
  <c r="AV75" i="6"/>
  <c r="AV76" i="6"/>
  <c r="AV73" i="6"/>
  <c r="AV172" i="6"/>
  <c r="AV171" i="6"/>
  <c r="AV173" i="6"/>
  <c r="AV174" i="6"/>
  <c r="AV175" i="6"/>
  <c r="AV60" i="6"/>
  <c r="AV61" i="6"/>
  <c r="AV200" i="6"/>
  <c r="AV199" i="6"/>
  <c r="AV201" i="6"/>
  <c r="AV202" i="6"/>
  <c r="AV203" i="6"/>
  <c r="AV209" i="6"/>
  <c r="AV210" i="6"/>
  <c r="AV207" i="6"/>
  <c r="AV206" i="6"/>
  <c r="AV208" i="6"/>
  <c r="AX112" i="6"/>
  <c r="AX109" i="6"/>
  <c r="AX110" i="6"/>
  <c r="AX111" i="6"/>
  <c r="AX108" i="6"/>
  <c r="AX77" i="6"/>
  <c r="AX74" i="6"/>
  <c r="AX73" i="6"/>
  <c r="AX75" i="6"/>
  <c r="BA75" i="6" s="1"/>
  <c r="AX175" i="6"/>
  <c r="AX172" i="6"/>
  <c r="AX173" i="6"/>
  <c r="AX174" i="6"/>
  <c r="AX171" i="6"/>
  <c r="AX203" i="6"/>
  <c r="BA203" i="6" s="1"/>
  <c r="AX200" i="6"/>
  <c r="AX201" i="6"/>
  <c r="AX202" i="6"/>
  <c r="BA202" i="6" s="1"/>
  <c r="AX199" i="6"/>
  <c r="AX208" i="6"/>
  <c r="AX209" i="6"/>
  <c r="AX206" i="6"/>
  <c r="AX210" i="6"/>
  <c r="AX207" i="6"/>
  <c r="BB131" i="6"/>
  <c r="BF131" i="6"/>
  <c r="BE132" i="6"/>
  <c r="BE129" i="6"/>
  <c r="BB132" i="6"/>
  <c r="BF132" i="6"/>
  <c r="BE133" i="6"/>
  <c r="BB129" i="6"/>
  <c r="BE130" i="6"/>
  <c r="BB133" i="6"/>
  <c r="BF133" i="6"/>
  <c r="BB130" i="6"/>
  <c r="BF130" i="6"/>
  <c r="BE131" i="6"/>
  <c r="BF129" i="6"/>
  <c r="BB200" i="6"/>
  <c r="BF200" i="6"/>
  <c r="BE201" i="6"/>
  <c r="BF199" i="6"/>
  <c r="BB201" i="6"/>
  <c r="BF201" i="6"/>
  <c r="BE202" i="6"/>
  <c r="BE199" i="6"/>
  <c r="BB202" i="6"/>
  <c r="BF202" i="6"/>
  <c r="BE203" i="6"/>
  <c r="BB199" i="6"/>
  <c r="BE200" i="6"/>
  <c r="BB203" i="6"/>
  <c r="BF203" i="6"/>
  <c r="BB167" i="6"/>
  <c r="BF167" i="6"/>
  <c r="BE168" i="6"/>
  <c r="BB164" i="6"/>
  <c r="BE165" i="6"/>
  <c r="BB168" i="6"/>
  <c r="BF168" i="6"/>
  <c r="BB165" i="6"/>
  <c r="BF165" i="6"/>
  <c r="BE166" i="6"/>
  <c r="BF164" i="6"/>
  <c r="BF166" i="6"/>
  <c r="BB166" i="6"/>
  <c r="BE167" i="6"/>
  <c r="BE164" i="6"/>
  <c r="BB97" i="6"/>
  <c r="BF97" i="6"/>
  <c r="BE98" i="6"/>
  <c r="BB94" i="6"/>
  <c r="BE95" i="6"/>
  <c r="BB98" i="6"/>
  <c r="BF98" i="6"/>
  <c r="BB95" i="6"/>
  <c r="BF95" i="6"/>
  <c r="BE96" i="6"/>
  <c r="BF94" i="6"/>
  <c r="BB96" i="6"/>
  <c r="BF96" i="6"/>
  <c r="BE97" i="6"/>
  <c r="BE94" i="6"/>
  <c r="BB214" i="6"/>
  <c r="BF214" i="6"/>
  <c r="BE215" i="6"/>
  <c r="BF213" i="6"/>
  <c r="BB215" i="6"/>
  <c r="BF215" i="6"/>
  <c r="BE216" i="6"/>
  <c r="BE213" i="6"/>
  <c r="BB216" i="6"/>
  <c r="BF216" i="6"/>
  <c r="BE217" i="6"/>
  <c r="BB213" i="6"/>
  <c r="BE214" i="6"/>
  <c r="BB217" i="6"/>
  <c r="BF217" i="6"/>
  <c r="AV66" i="6"/>
  <c r="BF66" i="6"/>
  <c r="AX70" i="6"/>
  <c r="BA70" i="6" s="1"/>
  <c r="BE68" i="6"/>
  <c r="BF67" i="6"/>
  <c r="BB67" i="6"/>
  <c r="AV67" i="6"/>
  <c r="BE59" i="6"/>
  <c r="BE62" i="6"/>
  <c r="AV77" i="6"/>
  <c r="AV145" i="6"/>
  <c r="AV147" i="6"/>
  <c r="AV146" i="6"/>
  <c r="AV144" i="6"/>
  <c r="AV143" i="6"/>
  <c r="AV81" i="6"/>
  <c r="AV80" i="6"/>
  <c r="AV82" i="6"/>
  <c r="AV83" i="6"/>
  <c r="BA83" i="6" s="1"/>
  <c r="AV194" i="6"/>
  <c r="AV195" i="6"/>
  <c r="AV196" i="6"/>
  <c r="AV193" i="6"/>
  <c r="AV192" i="6"/>
  <c r="AV126" i="6"/>
  <c r="AV123" i="6"/>
  <c r="AV122" i="6"/>
  <c r="AV124" i="6"/>
  <c r="AV125" i="6"/>
  <c r="AV105" i="6"/>
  <c r="AV102" i="6"/>
  <c r="AV101" i="6"/>
  <c r="AV103" i="6"/>
  <c r="AV104" i="6"/>
  <c r="AV167" i="6"/>
  <c r="AV168" i="6"/>
  <c r="AV165" i="6"/>
  <c r="AV164" i="6"/>
  <c r="AV166" i="6"/>
  <c r="AX144" i="6"/>
  <c r="AX146" i="6"/>
  <c r="AX145" i="6"/>
  <c r="AX143" i="6"/>
  <c r="AX147" i="6"/>
  <c r="BA147" i="6" s="1"/>
  <c r="AX84" i="6"/>
  <c r="AX81" i="6"/>
  <c r="AX82" i="6"/>
  <c r="AX193" i="6"/>
  <c r="AX194" i="6"/>
  <c r="AX195" i="6"/>
  <c r="AX192" i="6"/>
  <c r="AX196" i="6"/>
  <c r="AX125" i="6"/>
  <c r="AX122" i="6"/>
  <c r="AX126" i="6"/>
  <c r="AX123" i="6"/>
  <c r="AX124" i="6"/>
  <c r="AX104" i="6"/>
  <c r="AX101" i="6"/>
  <c r="AX105" i="6"/>
  <c r="AX102" i="6"/>
  <c r="AX103" i="6"/>
  <c r="AX166" i="6"/>
  <c r="BA166" i="6" s="1"/>
  <c r="AX167" i="6"/>
  <c r="AX164" i="6"/>
  <c r="AX168" i="6"/>
  <c r="AX165" i="6"/>
  <c r="BB109" i="6"/>
  <c r="BF109" i="6"/>
  <c r="BE110" i="6"/>
  <c r="BF108" i="6"/>
  <c r="BB110" i="6"/>
  <c r="BF110" i="6"/>
  <c r="BE111" i="6"/>
  <c r="BE108" i="6"/>
  <c r="BB111" i="6"/>
  <c r="BF111" i="6"/>
  <c r="BE112" i="6"/>
  <c r="BB108" i="6"/>
  <c r="BE109" i="6"/>
  <c r="BB112" i="6"/>
  <c r="BF112" i="6"/>
  <c r="BB153" i="6"/>
  <c r="BF153" i="6"/>
  <c r="BE154" i="6"/>
  <c r="BB150" i="6"/>
  <c r="BB151" i="6"/>
  <c r="BF151" i="6"/>
  <c r="BE152" i="6"/>
  <c r="BF150" i="6"/>
  <c r="BE151" i="6"/>
  <c r="BB152" i="6"/>
  <c r="BF154" i="6"/>
  <c r="BE153" i="6"/>
  <c r="BB154" i="6"/>
  <c r="BE150" i="6"/>
  <c r="BF152" i="6"/>
  <c r="BE60" i="6"/>
  <c r="BB60" i="6"/>
  <c r="BF60" i="6"/>
  <c r="BE61" i="6"/>
  <c r="BB61" i="6"/>
  <c r="BB209" i="6"/>
  <c r="BF209" i="6"/>
  <c r="BE210" i="6"/>
  <c r="BB206" i="6"/>
  <c r="BE207" i="6"/>
  <c r="BB210" i="6"/>
  <c r="BF210" i="6"/>
  <c r="BB207" i="6"/>
  <c r="BF207" i="6"/>
  <c r="BE208" i="6"/>
  <c r="BF206" i="6"/>
  <c r="BB208" i="6"/>
  <c r="BF208" i="6"/>
  <c r="BE209" i="6"/>
  <c r="BE206" i="6"/>
  <c r="BB117" i="6"/>
  <c r="BF117" i="6"/>
  <c r="BE118" i="6"/>
  <c r="BE115" i="6"/>
  <c r="BB118" i="6"/>
  <c r="BF118" i="6"/>
  <c r="BE119" i="6"/>
  <c r="BB115" i="6"/>
  <c r="BE116" i="6"/>
  <c r="BB119" i="6"/>
  <c r="BF119" i="6"/>
  <c r="BB116" i="6"/>
  <c r="BF116" i="6"/>
  <c r="BE117" i="6"/>
  <c r="BF115" i="6"/>
  <c r="BB180" i="6"/>
  <c r="BF180" i="6"/>
  <c r="BE181" i="6"/>
  <c r="BE178" i="6"/>
  <c r="BB181" i="6"/>
  <c r="BF181" i="6"/>
  <c r="BE182" i="6"/>
  <c r="BB178" i="6"/>
  <c r="BE179" i="6"/>
  <c r="BB182" i="6"/>
  <c r="BF182" i="6"/>
  <c r="BF178" i="6"/>
  <c r="BF179" i="6"/>
  <c r="BB179" i="6"/>
  <c r="BE180" i="6"/>
  <c r="AX66" i="6"/>
  <c r="AV59" i="6"/>
  <c r="BF59" i="6"/>
  <c r="AX63" i="6"/>
  <c r="BA63" i="6" s="1"/>
  <c r="AX61" i="6"/>
  <c r="BB77" i="6"/>
  <c r="AX76" i="6"/>
  <c r="AV84" i="6"/>
  <c r="AV25" i="6"/>
  <c r="AV27" i="6"/>
  <c r="AX32" i="6"/>
  <c r="AX34" i="6"/>
  <c r="BF24" i="6"/>
  <c r="BE17" i="6"/>
  <c r="BB18" i="6"/>
  <c r="BE18" i="6"/>
  <c r="BF18" i="6"/>
  <c r="BF25" i="6"/>
  <c r="BE25" i="6"/>
  <c r="BB25" i="6"/>
  <c r="BB31" i="6"/>
  <c r="BB34" i="6"/>
  <c r="BE34" i="6"/>
  <c r="BF34" i="6"/>
  <c r="BF56" i="6"/>
  <c r="BB56" i="6"/>
  <c r="AV56" i="6"/>
  <c r="BA56" i="6" s="1"/>
  <c r="AX55" i="6"/>
  <c r="BE53" i="6"/>
  <c r="BF45" i="6"/>
  <c r="AX49" i="6"/>
  <c r="BE47" i="6"/>
  <c r="BF46" i="6"/>
  <c r="BB46" i="6"/>
  <c r="AV46" i="6"/>
  <c r="BA46" i="6" s="1"/>
  <c r="BF41" i="6"/>
  <c r="BB41" i="6"/>
  <c r="BF40" i="6"/>
  <c r="BB40" i="6"/>
  <c r="AV40" i="6"/>
  <c r="BA40" i="6" s="1"/>
  <c r="AX39" i="6"/>
  <c r="AX25" i="6"/>
  <c r="AX27" i="6"/>
  <c r="AV33" i="6"/>
  <c r="AV35" i="6"/>
  <c r="BB21" i="6"/>
  <c r="BE21" i="6"/>
  <c r="BF21" i="6"/>
  <c r="BF28" i="6"/>
  <c r="BE28" i="6"/>
  <c r="BB28" i="6"/>
  <c r="BB33" i="6"/>
  <c r="BE33" i="6"/>
  <c r="BF33" i="6"/>
  <c r="BB52" i="6"/>
  <c r="BE56" i="6"/>
  <c r="BF55" i="6"/>
  <c r="BB55" i="6"/>
  <c r="AV55" i="6"/>
  <c r="AX54" i="6"/>
  <c r="BF49" i="6"/>
  <c r="BB49" i="6"/>
  <c r="AV49" i="6"/>
  <c r="BA49" i="6" s="1"/>
  <c r="AX48" i="6"/>
  <c r="BE46" i="6"/>
  <c r="BE41" i="6"/>
  <c r="BE40" i="6"/>
  <c r="BF39" i="6"/>
  <c r="BB39" i="6"/>
  <c r="AV39" i="6"/>
  <c r="AX42" i="6"/>
  <c r="BE5" i="6"/>
  <c r="AV19" i="6"/>
  <c r="AV26" i="6"/>
  <c r="AV28" i="6"/>
  <c r="AX33" i="6"/>
  <c r="AX35" i="6"/>
  <c r="BE31" i="6"/>
  <c r="BB24" i="6"/>
  <c r="BB20" i="6"/>
  <c r="BE20" i="6"/>
  <c r="BF20" i="6"/>
  <c r="BF27" i="6"/>
  <c r="BE27" i="6"/>
  <c r="BB27" i="6"/>
  <c r="BB32" i="6"/>
  <c r="BE32" i="6"/>
  <c r="BF32" i="6"/>
  <c r="AV52" i="6"/>
  <c r="BE52" i="6"/>
  <c r="BE55" i="6"/>
  <c r="BF54" i="6"/>
  <c r="BB54" i="6"/>
  <c r="AV54" i="6"/>
  <c r="AX53" i="6"/>
  <c r="AV45" i="6"/>
  <c r="BB45" i="6"/>
  <c r="BE49" i="6"/>
  <c r="BF48" i="6"/>
  <c r="BB48" i="6"/>
  <c r="AV48" i="6"/>
  <c r="AX47" i="6"/>
  <c r="AV38" i="6"/>
  <c r="BE38" i="6"/>
  <c r="AX41" i="6"/>
  <c r="BA41" i="6" s="1"/>
  <c r="BE39" i="6"/>
  <c r="BF42" i="6"/>
  <c r="BB42" i="6"/>
  <c r="AV42" i="6"/>
  <c r="BE13" i="6"/>
  <c r="AX26" i="6"/>
  <c r="AX28" i="6"/>
  <c r="AV32" i="6"/>
  <c r="AV34" i="6"/>
  <c r="BF31" i="6"/>
  <c r="BE24" i="6"/>
  <c r="BB19" i="6"/>
  <c r="BE19" i="6"/>
  <c r="BF26" i="6"/>
  <c r="BE26" i="6"/>
  <c r="BB35" i="6"/>
  <c r="BE35" i="6"/>
  <c r="AX52" i="6"/>
  <c r="BF52" i="6"/>
  <c r="BE54" i="6"/>
  <c r="BF53" i="6"/>
  <c r="AX45" i="6"/>
  <c r="BE45" i="6"/>
  <c r="BE48" i="6"/>
  <c r="BF47" i="6"/>
  <c r="AX38" i="6"/>
  <c r="BB38" i="6"/>
  <c r="BF38" i="6"/>
  <c r="BE3" i="6"/>
  <c r="BE4" i="6"/>
  <c r="BE12" i="6"/>
  <c r="BE7" i="6"/>
  <c r="BE10" i="6"/>
  <c r="BE11" i="6"/>
  <c r="BE6" i="6"/>
  <c r="BE14" i="6"/>
  <c r="BF5" i="6"/>
  <c r="BF13" i="6"/>
  <c r="AX17" i="6"/>
  <c r="BF3" i="6"/>
  <c r="BF4" i="6"/>
  <c r="BF12" i="6"/>
  <c r="AX14" i="6"/>
  <c r="AX20" i="6"/>
  <c r="AX19" i="6"/>
  <c r="AX18" i="6"/>
  <c r="BF7" i="6"/>
  <c r="BF10" i="6"/>
  <c r="BF11" i="6"/>
  <c r="AV14" i="6"/>
  <c r="BB17" i="6"/>
  <c r="BF17" i="6"/>
  <c r="AV20" i="6"/>
  <c r="AV18" i="6"/>
  <c r="BF6" i="6"/>
  <c r="BF14" i="6"/>
  <c r="AV17" i="6"/>
  <c r="AV10" i="6"/>
  <c r="BB10" i="6"/>
  <c r="AX10" i="6"/>
  <c r="AX13" i="6"/>
  <c r="AX12" i="6"/>
  <c r="BB14" i="6"/>
  <c r="BB13" i="6"/>
  <c r="AV13" i="6"/>
  <c r="BB12" i="6"/>
  <c r="AV12" i="6"/>
  <c r="AV3" i="6"/>
  <c r="BA3" i="6" s="1"/>
  <c r="AX7" i="6"/>
  <c r="AX6" i="6"/>
  <c r="AX5" i="6"/>
  <c r="AX4" i="6"/>
  <c r="BA4" i="6" s="1"/>
  <c r="AV7" i="6"/>
  <c r="AV6" i="6"/>
  <c r="AV5" i="6"/>
  <c r="BB7" i="6"/>
  <c r="BB6" i="6"/>
  <c r="BB5" i="6"/>
  <c r="BB4" i="6"/>
  <c r="AG2" i="2"/>
  <c r="AD2" i="2"/>
  <c r="I25" i="2"/>
  <c r="I6" i="2"/>
  <c r="O6" i="2"/>
  <c r="L9" i="2"/>
  <c r="I65" i="2"/>
  <c r="O65" i="2"/>
  <c r="L65" i="2"/>
  <c r="I18" i="2"/>
  <c r="O25" i="2"/>
  <c r="O18" i="2"/>
  <c r="I32" i="2"/>
  <c r="L25" i="2"/>
  <c r="O32" i="2"/>
  <c r="I9" i="2"/>
  <c r="L32" i="2"/>
  <c r="L20" i="2"/>
  <c r="L30" i="2"/>
  <c r="L42" i="2"/>
  <c r="I49" i="2"/>
  <c r="O49" i="2"/>
  <c r="L64" i="2"/>
  <c r="L6" i="2"/>
  <c r="O9" i="2"/>
  <c r="L18" i="2"/>
  <c r="I20" i="2"/>
  <c r="O20" i="2"/>
  <c r="I30" i="2"/>
  <c r="O30" i="2"/>
  <c r="I42" i="2"/>
  <c r="O42" i="2"/>
  <c r="L49" i="2"/>
  <c r="I64" i="2"/>
  <c r="O64" i="2"/>
  <c r="AE124" i="20" l="1"/>
  <c r="R27" i="21" s="1"/>
  <c r="AE62" i="20"/>
  <c r="T14" i="21" s="1"/>
  <c r="AE195" i="20"/>
  <c r="Q36" i="21" s="1"/>
  <c r="AE72" i="20"/>
  <c r="V15" i="21" s="1"/>
  <c r="AE190" i="20"/>
  <c r="T35" i="21" s="1"/>
  <c r="Y126" i="20"/>
  <c r="M27" i="21" s="1"/>
  <c r="Z50" i="15"/>
  <c r="Z17" i="15"/>
  <c r="Z21" i="15"/>
  <c r="Z19" i="15"/>
  <c r="X42" i="21"/>
  <c r="AP10" i="18"/>
  <c r="Y78" i="20"/>
  <c r="M16" i="21" s="1"/>
  <c r="Y143" i="20"/>
  <c r="N29" i="21" s="1"/>
  <c r="Y175" i="20"/>
  <c r="N33" i="21" s="1"/>
  <c r="Y8" i="20"/>
  <c r="O7" i="21" s="1"/>
  <c r="Y23" i="20"/>
  <c r="N9" i="21" s="1"/>
  <c r="AE211" i="20"/>
  <c r="Q38" i="21" s="1"/>
  <c r="AE69" i="20"/>
  <c r="S15" i="21" s="1"/>
  <c r="AE52" i="20"/>
  <c r="R13" i="21" s="1"/>
  <c r="AE188" i="20"/>
  <c r="R35" i="21" s="1"/>
  <c r="Y171" i="20"/>
  <c r="J33" i="21" s="1"/>
  <c r="Y60" i="20"/>
  <c r="K14" i="21" s="1"/>
  <c r="Y4" i="20"/>
  <c r="K7" i="21" s="1"/>
  <c r="AE155" i="20"/>
  <c r="Q31" i="21" s="1"/>
  <c r="AE40" i="20"/>
  <c r="V11" i="21" s="1"/>
  <c r="AE104" i="20"/>
  <c r="V19" i="21" s="1"/>
  <c r="AE120" i="20"/>
  <c r="V21" i="21" s="1"/>
  <c r="AE22" i="20"/>
  <c r="T9" i="21" s="1"/>
  <c r="Y191" i="20"/>
  <c r="N35" i="21" s="1"/>
  <c r="Y35" i="20"/>
  <c r="J11" i="21" s="1"/>
  <c r="Y147" i="20"/>
  <c r="J30" i="21" s="1"/>
  <c r="R26" i="6"/>
  <c r="BP26" i="6"/>
  <c r="R27" i="6"/>
  <c r="BP27" i="6"/>
  <c r="R109" i="6"/>
  <c r="R140" i="6"/>
  <c r="BP140" i="6" s="1"/>
  <c r="R74" i="6"/>
  <c r="R227" i="6"/>
  <c r="R144" i="6"/>
  <c r="R181" i="6"/>
  <c r="BP181" i="6" s="1"/>
  <c r="S149" i="12"/>
  <c r="F40" i="15" s="1"/>
  <c r="S198" i="12"/>
  <c r="R27" i="17"/>
  <c r="S16" i="20"/>
  <c r="H8" i="21" s="1"/>
  <c r="R38" i="17"/>
  <c r="H9" i="18" s="1"/>
  <c r="S15" i="20"/>
  <c r="G8" i="21" s="1"/>
  <c r="S4" i="20"/>
  <c r="D7" i="21" s="1"/>
  <c r="AL18" i="18"/>
  <c r="R43" i="17"/>
  <c r="C10" i="18" s="1"/>
  <c r="R49" i="17"/>
  <c r="I10" i="18" s="1"/>
  <c r="R28" i="6"/>
  <c r="BP28" i="6" s="1"/>
  <c r="R24" i="6"/>
  <c r="BP24" i="6" s="1"/>
  <c r="R111" i="6"/>
  <c r="R59" i="6"/>
  <c r="R98" i="6"/>
  <c r="R63" i="6"/>
  <c r="R126" i="6"/>
  <c r="R123" i="6"/>
  <c r="R119" i="6"/>
  <c r="R229" i="6"/>
  <c r="R230" i="6"/>
  <c r="BP230" i="6" s="1"/>
  <c r="R146" i="6"/>
  <c r="R178" i="6"/>
  <c r="R17" i="17"/>
  <c r="AP9" i="18"/>
  <c r="R28" i="17"/>
  <c r="H8" i="18" s="1"/>
  <c r="R37" i="17"/>
  <c r="AN18" i="18"/>
  <c r="Y76" i="20"/>
  <c r="K16" i="21" s="1"/>
  <c r="AE197" i="20"/>
  <c r="S36" i="21" s="1"/>
  <c r="S69" i="20"/>
  <c r="E15" i="21" s="1"/>
  <c r="Y184" i="20"/>
  <c r="O34" i="21" s="1"/>
  <c r="R46" i="17"/>
  <c r="F10" i="18" s="1"/>
  <c r="R35" i="6"/>
  <c r="R108" i="6"/>
  <c r="R70" i="6"/>
  <c r="H17" i="10" s="1"/>
  <c r="R47" i="6"/>
  <c r="R56" i="6"/>
  <c r="R122" i="6"/>
  <c r="R174" i="6"/>
  <c r="BP174" i="6" s="1"/>
  <c r="R161" i="6"/>
  <c r="R231" i="6"/>
  <c r="R185" i="6"/>
  <c r="S197" i="12"/>
  <c r="R18" i="17"/>
  <c r="H7" i="18" s="1"/>
  <c r="X25" i="21"/>
  <c r="X61" i="21"/>
  <c r="E6" i="25" s="1"/>
  <c r="AP8" i="18"/>
  <c r="AE176" i="20"/>
  <c r="V33" i="21" s="1"/>
  <c r="AE63" i="20"/>
  <c r="U14" i="21" s="1"/>
  <c r="AE46" i="20"/>
  <c r="T12" i="21" s="1"/>
  <c r="Y36" i="20"/>
  <c r="K11" i="21" s="1"/>
  <c r="Y87" i="20"/>
  <c r="N17" i="21" s="1"/>
  <c r="R25" i="17"/>
  <c r="E8" i="18" s="1"/>
  <c r="R30" i="17"/>
  <c r="J8" i="18" s="1"/>
  <c r="Y83" i="20"/>
  <c r="J17" i="21" s="1"/>
  <c r="Y148" i="20"/>
  <c r="K30" i="21" s="1"/>
  <c r="Y77" i="20"/>
  <c r="L16" i="21" s="1"/>
  <c r="Y207" i="20"/>
  <c r="N37" i="21" s="1"/>
  <c r="S67" i="20"/>
  <c r="C15" i="21" s="1"/>
  <c r="R44" i="17"/>
  <c r="D10" i="18" s="1"/>
  <c r="BQ53" i="20"/>
  <c r="R25" i="6"/>
  <c r="BP25" i="6" s="1"/>
  <c r="R105" i="6"/>
  <c r="R133" i="6"/>
  <c r="R45" i="6"/>
  <c r="R42" i="6"/>
  <c r="R137" i="6"/>
  <c r="R173" i="6"/>
  <c r="BP173" i="6" s="1"/>
  <c r="R153" i="6"/>
  <c r="R228" i="6"/>
  <c r="R168" i="6"/>
  <c r="R180" i="6"/>
  <c r="R26" i="17"/>
  <c r="F8" i="18" s="1"/>
  <c r="R29" i="17"/>
  <c r="I8" i="18" s="1"/>
  <c r="Y12" i="20"/>
  <c r="K8" i="21" s="1"/>
  <c r="S101" i="20"/>
  <c r="E19" i="21" s="1"/>
  <c r="S118" i="20"/>
  <c r="F21" i="21" s="1"/>
  <c r="S127" i="20"/>
  <c r="G27" i="21" s="1"/>
  <c r="AP7" i="18"/>
  <c r="AJ18" i="18"/>
  <c r="S188" i="20"/>
  <c r="D35" i="21" s="1"/>
  <c r="R45" i="17"/>
  <c r="E10" i="18" s="1"/>
  <c r="R50" i="17"/>
  <c r="J10" i="18" s="1"/>
  <c r="E2" i="21"/>
  <c r="E5" i="25" s="1"/>
  <c r="E17" i="25" s="1"/>
  <c r="AC9" i="12"/>
  <c r="AE9" i="12" s="1"/>
  <c r="P12" i="15" s="1"/>
  <c r="Z23" i="15"/>
  <c r="Z16" i="15"/>
  <c r="Z25" i="15"/>
  <c r="S195" i="12"/>
  <c r="Z49" i="15"/>
  <c r="Z33" i="15"/>
  <c r="BB84" i="12"/>
  <c r="Z12" i="15"/>
  <c r="S196" i="12"/>
  <c r="Z52" i="15"/>
  <c r="Z42" i="15"/>
  <c r="Z32" i="15"/>
  <c r="BB6" i="12"/>
  <c r="AC29" i="12"/>
  <c r="Z39" i="15"/>
  <c r="Z14" i="15"/>
  <c r="Z31" i="15"/>
  <c r="Z36" i="15"/>
  <c r="Z20" i="15"/>
  <c r="T14" i="15"/>
  <c r="Z18" i="15"/>
  <c r="Z22" i="15"/>
  <c r="Z51" i="15"/>
  <c r="Z37" i="15"/>
  <c r="Z41" i="15"/>
  <c r="Z40" i="15"/>
  <c r="Z38" i="15"/>
  <c r="Z15" i="15"/>
  <c r="V45" i="15"/>
  <c r="F6" i="16"/>
  <c r="AB66" i="15"/>
  <c r="AB65" i="15"/>
  <c r="AI56" i="10"/>
  <c r="AG56" i="10"/>
  <c r="F4" i="16"/>
  <c r="AF58" i="10"/>
  <c r="AF57" i="10"/>
  <c r="AF40" i="10"/>
  <c r="F12" i="25"/>
  <c r="F7" i="25"/>
  <c r="E14" i="25"/>
  <c r="AB62" i="15"/>
  <c r="F21" i="16" s="1"/>
  <c r="F25" i="16" s="1"/>
  <c r="AB27" i="15"/>
  <c r="X60" i="21"/>
  <c r="X24" i="21"/>
  <c r="Z24" i="21"/>
  <c r="AB24" i="21"/>
  <c r="Z60" i="21"/>
  <c r="X58" i="21"/>
  <c r="AL13" i="18"/>
  <c r="AN12" i="18"/>
  <c r="V14" i="6"/>
  <c r="X14" i="6" s="1"/>
  <c r="V98" i="6"/>
  <c r="X98" i="6" s="1"/>
  <c r="V45" i="6"/>
  <c r="X45" i="6" s="1"/>
  <c r="K14" i="10" s="1"/>
  <c r="AB105" i="6"/>
  <c r="AD105" i="6" s="1"/>
  <c r="V22" i="10" s="1"/>
  <c r="AB97" i="6"/>
  <c r="AD97" i="6" s="1"/>
  <c r="V68" i="6"/>
  <c r="X68" i="6" s="1"/>
  <c r="P87" i="6"/>
  <c r="AB66" i="6"/>
  <c r="AD66" i="6" s="1"/>
  <c r="R17" i="10" s="1"/>
  <c r="AB46" i="6"/>
  <c r="AD46" i="6" s="1"/>
  <c r="V124" i="6"/>
  <c r="X124" i="6" s="1"/>
  <c r="V118" i="6"/>
  <c r="X118" i="6" s="1"/>
  <c r="N28" i="10" s="1"/>
  <c r="AB116" i="6"/>
  <c r="AD116" i="6" s="1"/>
  <c r="S28" i="10" s="1"/>
  <c r="AB160" i="6"/>
  <c r="AD160" i="6" s="1"/>
  <c r="AB144" i="6"/>
  <c r="AD144" i="6" s="1"/>
  <c r="V202" i="6"/>
  <c r="P159" i="6"/>
  <c r="P147" i="6"/>
  <c r="V179" i="6"/>
  <c r="X179" i="6" s="1"/>
  <c r="AB164" i="6"/>
  <c r="AD164" i="6" s="1"/>
  <c r="V44" i="15"/>
  <c r="X143" i="12"/>
  <c r="AC4" i="12"/>
  <c r="AE4" i="12" s="1"/>
  <c r="Q11" i="15" s="1"/>
  <c r="AE133" i="20"/>
  <c r="S28" i="21" s="1"/>
  <c r="Y211" i="20"/>
  <c r="J38" i="21" s="1"/>
  <c r="Y67" i="20"/>
  <c r="J15" i="21" s="1"/>
  <c r="S142" i="20"/>
  <c r="F29" i="21" s="1"/>
  <c r="S119" i="20"/>
  <c r="G21" i="21" s="1"/>
  <c r="AE152" i="20"/>
  <c r="V30" i="21" s="1"/>
  <c r="AE103" i="20"/>
  <c r="U19" i="21" s="1"/>
  <c r="AE108" i="20"/>
  <c r="R20" i="21" s="1"/>
  <c r="Y101" i="20"/>
  <c r="L19" i="21" s="1"/>
  <c r="Y142" i="20"/>
  <c r="M29" i="21" s="1"/>
  <c r="S167" i="20"/>
  <c r="G32" i="21" s="1"/>
  <c r="S92" i="20"/>
  <c r="D18" i="21" s="1"/>
  <c r="AE222" i="20"/>
  <c r="T44" i="21" s="1"/>
  <c r="T54" i="21" s="1"/>
  <c r="AE207" i="20"/>
  <c r="U37" i="21" s="1"/>
  <c r="Y195" i="20"/>
  <c r="J36" i="21" s="1"/>
  <c r="S77" i="20"/>
  <c r="E16" i="21" s="1"/>
  <c r="S144" i="20"/>
  <c r="H29" i="21" s="1"/>
  <c r="Y51" i="20"/>
  <c r="Y120" i="20"/>
  <c r="O21" i="21" s="1"/>
  <c r="Y22" i="20"/>
  <c r="M9" i="21" s="1"/>
  <c r="Y181" i="20"/>
  <c r="L34" i="21" s="1"/>
  <c r="S174" i="20"/>
  <c r="F33" i="21" s="1"/>
  <c r="Y144" i="20"/>
  <c r="O29" i="21" s="1"/>
  <c r="AE212" i="20"/>
  <c r="R38" i="21" s="1"/>
  <c r="AE15" i="20"/>
  <c r="U8" i="21" s="1"/>
  <c r="AE54" i="20"/>
  <c r="T13" i="21" s="1"/>
  <c r="Y128" i="20"/>
  <c r="O27" i="21" s="1"/>
  <c r="Y5" i="20"/>
  <c r="L7" i="21" s="1"/>
  <c r="S168" i="20"/>
  <c r="H32" i="21" s="1"/>
  <c r="S96" i="20"/>
  <c r="H18" i="21" s="1"/>
  <c r="S134" i="20"/>
  <c r="F28" i="21" s="1"/>
  <c r="S203" i="20"/>
  <c r="C37" i="21" s="1"/>
  <c r="V21" i="6"/>
  <c r="X21" i="6" s="1"/>
  <c r="O10" i="10" s="1"/>
  <c r="P94" i="6"/>
  <c r="P38" i="6"/>
  <c r="P48" i="6"/>
  <c r="AB61" i="6"/>
  <c r="AD61" i="6" s="1"/>
  <c r="T16" i="10" s="1"/>
  <c r="AB115" i="6"/>
  <c r="AD115" i="6" s="1"/>
  <c r="P125" i="6"/>
  <c r="W215" i="6"/>
  <c r="V153" i="6"/>
  <c r="X153" i="6" s="1"/>
  <c r="P160" i="6"/>
  <c r="V188" i="6"/>
  <c r="X188" i="6" s="1"/>
  <c r="AB173" i="6"/>
  <c r="AD173" i="6" s="1"/>
  <c r="W221" i="6"/>
  <c r="X221" i="6" s="1"/>
  <c r="BB259" i="20"/>
  <c r="P67" i="6"/>
  <c r="V41" i="6"/>
  <c r="X41" i="6" s="1"/>
  <c r="P53" i="6"/>
  <c r="V130" i="6"/>
  <c r="X130" i="6" s="1"/>
  <c r="L30" i="10" s="1"/>
  <c r="V101" i="6"/>
  <c r="X101" i="6" s="1"/>
  <c r="V62" i="6"/>
  <c r="X62" i="6" s="1"/>
  <c r="P101" i="6"/>
  <c r="P132" i="6"/>
  <c r="P171" i="6"/>
  <c r="P151" i="6"/>
  <c r="V185" i="6"/>
  <c r="X185" i="6" s="1"/>
  <c r="K38" i="10" s="1"/>
  <c r="P166" i="6"/>
  <c r="AB180" i="6"/>
  <c r="AD180" i="6" s="1"/>
  <c r="Q6" i="12"/>
  <c r="S187" i="20"/>
  <c r="C35" i="21" s="1"/>
  <c r="AE56" i="20"/>
  <c r="V13" i="21" s="1"/>
  <c r="Y127" i="20"/>
  <c r="N27" i="21" s="1"/>
  <c r="Y45" i="20"/>
  <c r="L12" i="21" s="1"/>
  <c r="Y21" i="20"/>
  <c r="L9" i="21" s="1"/>
  <c r="S165" i="20"/>
  <c r="E32" i="21" s="1"/>
  <c r="S93" i="20"/>
  <c r="E18" i="21" s="1"/>
  <c r="S219" i="20"/>
  <c r="C44" i="21" s="1"/>
  <c r="AE167" i="20"/>
  <c r="U32" i="21" s="1"/>
  <c r="AE96" i="20"/>
  <c r="V18" i="21" s="1"/>
  <c r="AE136" i="20"/>
  <c r="V28" i="21" s="1"/>
  <c r="Y216" i="20"/>
  <c r="O38" i="21" s="1"/>
  <c r="Y199" i="20"/>
  <c r="N36" i="21" s="1"/>
  <c r="Y112" i="20"/>
  <c r="O20" i="21" s="1"/>
  <c r="S86" i="20"/>
  <c r="F17" i="21" s="1"/>
  <c r="S115" i="20"/>
  <c r="C21" i="21" s="1"/>
  <c r="S22" i="20"/>
  <c r="F9" i="21" s="1"/>
  <c r="AE171" i="20"/>
  <c r="Q33" i="21" s="1"/>
  <c r="AE5" i="20"/>
  <c r="S7" i="21" s="1"/>
  <c r="AE48" i="20"/>
  <c r="V12" i="21" s="1"/>
  <c r="S212" i="20"/>
  <c r="D38" i="21" s="1"/>
  <c r="S192" i="20"/>
  <c r="H35" i="21" s="1"/>
  <c r="Y174" i="20"/>
  <c r="M33" i="21" s="1"/>
  <c r="Y44" i="20"/>
  <c r="K12" i="21" s="1"/>
  <c r="Y183" i="20"/>
  <c r="N34" i="21" s="1"/>
  <c r="BA4" i="19"/>
  <c r="S37" i="20"/>
  <c r="E11" i="21" s="1"/>
  <c r="S120" i="20"/>
  <c r="H21" i="21" s="1"/>
  <c r="AE37" i="20"/>
  <c r="S11" i="21" s="1"/>
  <c r="AE142" i="20"/>
  <c r="T29" i="21" s="1"/>
  <c r="AE184" i="20"/>
  <c r="V34" i="21" s="1"/>
  <c r="Y96" i="20"/>
  <c r="O18" i="21" s="1"/>
  <c r="Y219" i="20"/>
  <c r="J44" i="21" s="1"/>
  <c r="AI39" i="10"/>
  <c r="F15" i="16"/>
  <c r="AB26" i="15"/>
  <c r="O10" i="16"/>
  <c r="O13" i="16" s="1"/>
  <c r="AF24" i="10"/>
  <c r="O4" i="16" s="1"/>
  <c r="F13" i="16"/>
  <c r="BA6" i="17"/>
  <c r="AE173" i="20"/>
  <c r="S33" i="21" s="1"/>
  <c r="AE8" i="20"/>
  <c r="V7" i="21" s="1"/>
  <c r="AE107" i="20"/>
  <c r="Q20" i="21" s="1"/>
  <c r="Y139" i="20"/>
  <c r="J29" i="21" s="1"/>
  <c r="Y135" i="20"/>
  <c r="N28" i="21" s="1"/>
  <c r="S215" i="20"/>
  <c r="G38" i="21" s="1"/>
  <c r="S199" i="20"/>
  <c r="G36" i="21" s="1"/>
  <c r="S52" i="20"/>
  <c r="D13" i="21" s="1"/>
  <c r="S206" i="20"/>
  <c r="F37" i="21" s="1"/>
  <c r="X40" i="21"/>
  <c r="E20" i="25" s="1"/>
  <c r="AG23" i="10"/>
  <c r="S163" i="20"/>
  <c r="C32" i="21" s="1"/>
  <c r="S95" i="20"/>
  <c r="G18" i="21" s="1"/>
  <c r="S136" i="20"/>
  <c r="H28" i="21" s="1"/>
  <c r="Y168" i="20"/>
  <c r="O32" i="21" s="1"/>
  <c r="Y222" i="20"/>
  <c r="M44" i="21" s="1"/>
  <c r="M54" i="21" s="1"/>
  <c r="S60" i="20"/>
  <c r="D14" i="21" s="1"/>
  <c r="O5" i="16"/>
  <c r="P33" i="6"/>
  <c r="AB31" i="6"/>
  <c r="AD31" i="6" s="1"/>
  <c r="AB7" i="6"/>
  <c r="AD7" i="6" s="1"/>
  <c r="V8" i="10" s="1"/>
  <c r="AB91" i="6"/>
  <c r="AD91" i="6" s="1"/>
  <c r="V20" i="10" s="1"/>
  <c r="V175" i="6"/>
  <c r="X175" i="6" s="1"/>
  <c r="BA31" i="6"/>
  <c r="S80" i="20"/>
  <c r="H16" i="21" s="1"/>
  <c r="S20" i="20"/>
  <c r="D9" i="21" s="1"/>
  <c r="AE78" i="20"/>
  <c r="T16" i="21" s="1"/>
  <c r="AE12" i="20"/>
  <c r="R8" i="21" s="1"/>
  <c r="AE27" i="20"/>
  <c r="Q10" i="21" s="1"/>
  <c r="Y123" i="20"/>
  <c r="J27" i="21" s="1"/>
  <c r="BB260" i="20"/>
  <c r="S36" i="20"/>
  <c r="D11" i="21" s="1"/>
  <c r="S140" i="20"/>
  <c r="D29" i="21" s="1"/>
  <c r="AE39" i="20"/>
  <c r="U11" i="21" s="1"/>
  <c r="AE87" i="20"/>
  <c r="U17" i="21" s="1"/>
  <c r="AE150" i="20"/>
  <c r="T30" i="21" s="1"/>
  <c r="AE79" i="20"/>
  <c r="U16" i="21" s="1"/>
  <c r="AE143" i="20"/>
  <c r="U29" i="21" s="1"/>
  <c r="AE118" i="20"/>
  <c r="T21" i="21" s="1"/>
  <c r="AE163" i="20"/>
  <c r="Q32" i="21" s="1"/>
  <c r="AE208" i="20"/>
  <c r="V37" i="21" s="1"/>
  <c r="Y200" i="20"/>
  <c r="O36" i="21" s="1"/>
  <c r="Y70" i="20"/>
  <c r="M15" i="21" s="1"/>
  <c r="F7" i="16"/>
  <c r="O9" i="16"/>
  <c r="F26" i="16"/>
  <c r="AE224" i="20"/>
  <c r="V44" i="21" s="1"/>
  <c r="V54" i="21" s="1"/>
  <c r="AE131" i="20"/>
  <c r="Q28" i="21" s="1"/>
  <c r="AE206" i="20"/>
  <c r="T37" i="21" s="1"/>
  <c r="Y69" i="20"/>
  <c r="L15" i="21" s="1"/>
  <c r="S35" i="20"/>
  <c r="C11" i="21" s="1"/>
  <c r="S99" i="20"/>
  <c r="C19" i="21" s="1"/>
  <c r="AE156" i="20"/>
  <c r="R31" i="21" s="1"/>
  <c r="AE38" i="20"/>
  <c r="T11" i="21" s="1"/>
  <c r="AE20" i="20"/>
  <c r="R9" i="21" s="1"/>
  <c r="AE179" i="20"/>
  <c r="Q34" i="21" s="1"/>
  <c r="Y56" i="20"/>
  <c r="O13" i="21" s="1"/>
  <c r="Y189" i="20"/>
  <c r="L35" i="21" s="1"/>
  <c r="S126" i="20"/>
  <c r="F27" i="21" s="1"/>
  <c r="S173" i="20"/>
  <c r="E33" i="21" s="1"/>
  <c r="S7" i="20"/>
  <c r="G7" i="21" s="1"/>
  <c r="S43" i="20"/>
  <c r="C12" i="21" s="1"/>
  <c r="S83" i="20"/>
  <c r="C17" i="21" s="1"/>
  <c r="AE36" i="20"/>
  <c r="R11" i="21" s="1"/>
  <c r="AE88" i="20"/>
  <c r="V17" i="21" s="1"/>
  <c r="AE148" i="20"/>
  <c r="R30" i="21" s="1"/>
  <c r="AE75" i="20"/>
  <c r="Q16" i="21" s="1"/>
  <c r="AE115" i="20"/>
  <c r="Q21" i="21" s="1"/>
  <c r="Y164" i="20"/>
  <c r="K32" i="21" s="1"/>
  <c r="S176" i="20"/>
  <c r="H33" i="21" s="1"/>
  <c r="S180" i="20"/>
  <c r="D34" i="21" s="1"/>
  <c r="S102" i="20"/>
  <c r="F19" i="21" s="1"/>
  <c r="S139" i="20"/>
  <c r="C29" i="21" s="1"/>
  <c r="AE158" i="20"/>
  <c r="T31" i="21" s="1"/>
  <c r="AE99" i="20"/>
  <c r="Q19" i="21" s="1"/>
  <c r="AE76" i="20"/>
  <c r="R16" i="21" s="1"/>
  <c r="AE23" i="20"/>
  <c r="U9" i="21" s="1"/>
  <c r="Y167" i="20"/>
  <c r="N32" i="21" s="1"/>
  <c r="Y224" i="20"/>
  <c r="O44" i="21" s="1"/>
  <c r="O54" i="21" s="1"/>
  <c r="Y55" i="20"/>
  <c r="N13" i="21" s="1"/>
  <c r="S123" i="20"/>
  <c r="C27" i="21" s="1"/>
  <c r="S175" i="20"/>
  <c r="G33" i="21" s="1"/>
  <c r="S8" i="20"/>
  <c r="H7" i="21" s="1"/>
  <c r="S222" i="20"/>
  <c r="F44" i="21" s="1"/>
  <c r="F54" i="21" s="1"/>
  <c r="S110" i="20"/>
  <c r="F20" i="21" s="1"/>
  <c r="S19" i="20"/>
  <c r="C9" i="21" s="1"/>
  <c r="S179" i="20"/>
  <c r="C34" i="21" s="1"/>
  <c r="S124" i="20"/>
  <c r="D27" i="21" s="1"/>
  <c r="S172" i="20"/>
  <c r="D33" i="21" s="1"/>
  <c r="S164" i="20"/>
  <c r="D32" i="21" s="1"/>
  <c r="S223" i="20"/>
  <c r="G44" i="21" s="1"/>
  <c r="G54" i="21" s="1"/>
  <c r="S135" i="20"/>
  <c r="G28" i="21" s="1"/>
  <c r="S109" i="20"/>
  <c r="E20" i="21" s="1"/>
  <c r="AE134" i="20"/>
  <c r="T28" i="21" s="1"/>
  <c r="Y72" i="20"/>
  <c r="O15" i="21" s="1"/>
  <c r="S75" i="20"/>
  <c r="C16" i="21" s="1"/>
  <c r="S5" i="20"/>
  <c r="E7" i="21" s="1"/>
  <c r="S46" i="20"/>
  <c r="F12" i="21" s="1"/>
  <c r="S152" i="20"/>
  <c r="H30" i="21" s="1"/>
  <c r="S116" i="20"/>
  <c r="D21" i="21" s="1"/>
  <c r="S24" i="20"/>
  <c r="H9" i="21" s="1"/>
  <c r="Y6" i="20"/>
  <c r="M7" i="21" s="1"/>
  <c r="Y48" i="20"/>
  <c r="O12" i="21" s="1"/>
  <c r="Y19" i="20"/>
  <c r="J9" i="21" s="1"/>
  <c r="Y179" i="20"/>
  <c r="J34" i="21" s="1"/>
  <c r="S224" i="20"/>
  <c r="H44" i="21" s="1"/>
  <c r="H54" i="21" s="1"/>
  <c r="AE220" i="20"/>
  <c r="R44" i="21" s="1"/>
  <c r="R54" i="21" s="1"/>
  <c r="AE132" i="20"/>
  <c r="R28" i="21" s="1"/>
  <c r="AE204" i="20"/>
  <c r="R37" i="21" s="1"/>
  <c r="Y111" i="20"/>
  <c r="N20" i="21" s="1"/>
  <c r="S85" i="20"/>
  <c r="E17" i="21" s="1"/>
  <c r="S21" i="20"/>
  <c r="E9" i="21" s="1"/>
  <c r="AE183" i="20"/>
  <c r="U34" i="21" s="1"/>
  <c r="Y52" i="20"/>
  <c r="K13" i="21" s="1"/>
  <c r="S125" i="20"/>
  <c r="E27" i="21" s="1"/>
  <c r="S44" i="20"/>
  <c r="D12" i="21" s="1"/>
  <c r="Y39" i="20"/>
  <c r="N11" i="21" s="1"/>
  <c r="Y85" i="20"/>
  <c r="L17" i="21" s="1"/>
  <c r="Y149" i="20"/>
  <c r="L30" i="21" s="1"/>
  <c r="Y136" i="20"/>
  <c r="O28" i="21" s="1"/>
  <c r="S196" i="20"/>
  <c r="D36" i="21" s="1"/>
  <c r="AE68" i="20"/>
  <c r="R15" i="21" s="1"/>
  <c r="AE14" i="20"/>
  <c r="T8" i="21" s="1"/>
  <c r="AE191" i="20"/>
  <c r="U35" i="21" s="1"/>
  <c r="Y124" i="20"/>
  <c r="K27" i="21" s="1"/>
  <c r="Y172" i="20"/>
  <c r="K33" i="21" s="1"/>
  <c r="Y7" i="20"/>
  <c r="N7" i="21" s="1"/>
  <c r="AE159" i="20"/>
  <c r="U31" i="21" s="1"/>
  <c r="AE86" i="20"/>
  <c r="T17" i="21" s="1"/>
  <c r="AE149" i="20"/>
  <c r="S30" i="21" s="1"/>
  <c r="AE139" i="20"/>
  <c r="Q29" i="21" s="1"/>
  <c r="AE24" i="20"/>
  <c r="V9" i="21" s="1"/>
  <c r="S208" i="20"/>
  <c r="H37" i="21" s="1"/>
  <c r="W11" i="12"/>
  <c r="Y11" i="12" s="1"/>
  <c r="L12" i="15" s="1"/>
  <c r="S147" i="20"/>
  <c r="C30" i="21" s="1"/>
  <c r="S182" i="20"/>
  <c r="F34" i="21" s="1"/>
  <c r="W10" i="17"/>
  <c r="V10" i="17"/>
  <c r="W8" i="17"/>
  <c r="V8" i="17"/>
  <c r="G7" i="18"/>
  <c r="Q15" i="17"/>
  <c r="P15" i="17"/>
  <c r="AC20" i="17"/>
  <c r="AB20" i="17"/>
  <c r="Q28" i="20"/>
  <c r="R28" i="20"/>
  <c r="R31" i="20"/>
  <c r="Q31" i="20"/>
  <c r="W15" i="19"/>
  <c r="V15" i="19"/>
  <c r="X39" i="21"/>
  <c r="W23" i="17"/>
  <c r="V23" i="17"/>
  <c r="W29" i="17"/>
  <c r="V29" i="17"/>
  <c r="W47" i="17"/>
  <c r="V47" i="17"/>
  <c r="W48" i="17"/>
  <c r="V48" i="17"/>
  <c r="Q34" i="19"/>
  <c r="P34" i="19"/>
  <c r="Q35" i="19"/>
  <c r="P35" i="19"/>
  <c r="P15" i="19"/>
  <c r="Q15" i="19"/>
  <c r="AB57" i="21"/>
  <c r="X160" i="20"/>
  <c r="W160" i="20"/>
  <c r="G8" i="18"/>
  <c r="Q23" i="17"/>
  <c r="P23" i="17"/>
  <c r="V15" i="17"/>
  <c r="W15" i="17"/>
  <c r="W13" i="17"/>
  <c r="V13" i="17"/>
  <c r="W34" i="17"/>
  <c r="V34" i="17"/>
  <c r="W37" i="17"/>
  <c r="V37" i="17"/>
  <c r="Q6" i="19"/>
  <c r="P6" i="19"/>
  <c r="P9" i="19"/>
  <c r="Q9" i="19"/>
  <c r="Q8" i="19"/>
  <c r="P8" i="19"/>
  <c r="AC8" i="17"/>
  <c r="AB8" i="17"/>
  <c r="AC9" i="17"/>
  <c r="AB9" i="17"/>
  <c r="W24" i="19"/>
  <c r="V24" i="19"/>
  <c r="W28" i="19"/>
  <c r="V28" i="19"/>
  <c r="Q36" i="17"/>
  <c r="P36" i="17"/>
  <c r="BA3" i="17"/>
  <c r="Q9" i="17"/>
  <c r="P9" i="17"/>
  <c r="Q7" i="17"/>
  <c r="P7" i="17"/>
  <c r="AC6" i="19"/>
  <c r="AB6" i="19"/>
  <c r="AC7" i="19"/>
  <c r="AB7" i="19"/>
  <c r="V51" i="19"/>
  <c r="W51" i="19"/>
  <c r="W44" i="19"/>
  <c r="V44" i="19"/>
  <c r="BB158" i="20"/>
  <c r="Q156" i="20"/>
  <c r="R156" i="20"/>
  <c r="Q158" i="20"/>
  <c r="R158" i="20"/>
  <c r="AC35" i="19"/>
  <c r="AB35" i="19"/>
  <c r="AC34" i="19"/>
  <c r="AB34" i="19"/>
  <c r="W5" i="19"/>
  <c r="V5" i="19"/>
  <c r="W9" i="19"/>
  <c r="V9" i="19"/>
  <c r="S64" i="20"/>
  <c r="H14" i="21" s="1"/>
  <c r="S47" i="20"/>
  <c r="G12" i="21" s="1"/>
  <c r="AI11" i="18"/>
  <c r="AM11" i="18"/>
  <c r="AB15" i="19"/>
  <c r="AC15" i="19"/>
  <c r="AB16" i="19"/>
  <c r="AC16" i="19"/>
  <c r="AE4" i="20"/>
  <c r="R7" i="21" s="1"/>
  <c r="AE110" i="20"/>
  <c r="T20" i="21" s="1"/>
  <c r="Y40" i="20"/>
  <c r="O11" i="21" s="1"/>
  <c r="Y88" i="20"/>
  <c r="O17" i="21" s="1"/>
  <c r="Y152" i="20"/>
  <c r="O30" i="21" s="1"/>
  <c r="Y104" i="20"/>
  <c r="O19" i="21" s="1"/>
  <c r="Y133" i="20"/>
  <c r="L28" i="21" s="1"/>
  <c r="Y208" i="20"/>
  <c r="O37" i="21" s="1"/>
  <c r="S214" i="20"/>
  <c r="F38" i="21" s="1"/>
  <c r="P25" i="19"/>
  <c r="Q25" i="19"/>
  <c r="S56" i="20"/>
  <c r="H13" i="21" s="1"/>
  <c r="AE11" i="20"/>
  <c r="Q8" i="21" s="1"/>
  <c r="Y61" i="20"/>
  <c r="L14" i="21" s="1"/>
  <c r="Y59" i="20"/>
  <c r="J14" i="21" s="1"/>
  <c r="Y3" i="20"/>
  <c r="W35" i="19"/>
  <c r="V35" i="19"/>
  <c r="W38" i="19"/>
  <c r="V38" i="19"/>
  <c r="S166" i="20"/>
  <c r="F32" i="21" s="1"/>
  <c r="AM2" i="2"/>
  <c r="D116" i="12" s="1"/>
  <c r="W162" i="12"/>
  <c r="Y162" i="12" s="1"/>
  <c r="M42" i="15" s="1"/>
  <c r="Q10" i="12"/>
  <c r="AE166" i="20"/>
  <c r="T32" i="21" s="1"/>
  <c r="Y214" i="20"/>
  <c r="M38" i="21" s="1"/>
  <c r="Y14" i="20"/>
  <c r="M8" i="21" s="1"/>
  <c r="Y109" i="20"/>
  <c r="L20" i="21" s="1"/>
  <c r="S88" i="20"/>
  <c r="H17" i="21" s="1"/>
  <c r="AE85" i="20"/>
  <c r="S17" i="21" s="1"/>
  <c r="AE101" i="20"/>
  <c r="S19" i="21" s="1"/>
  <c r="AE144" i="20"/>
  <c r="V29" i="21" s="1"/>
  <c r="AE119" i="20"/>
  <c r="U21" i="21" s="1"/>
  <c r="W9" i="17"/>
  <c r="V9" i="17"/>
  <c r="V7" i="17"/>
  <c r="W7" i="17"/>
  <c r="Y95" i="20"/>
  <c r="N18" i="21" s="1"/>
  <c r="Y92" i="20"/>
  <c r="K18" i="21" s="1"/>
  <c r="X27" i="20"/>
  <c r="W27" i="20"/>
  <c r="Y190" i="20"/>
  <c r="M35" i="21" s="1"/>
  <c r="P20" i="17"/>
  <c r="Q20" i="17"/>
  <c r="S62" i="20"/>
  <c r="F14" i="21" s="1"/>
  <c r="AC16" i="17"/>
  <c r="AB16" i="17"/>
  <c r="AE47" i="20"/>
  <c r="U12" i="21" s="1"/>
  <c r="Y37" i="20"/>
  <c r="L11" i="21" s="1"/>
  <c r="Y151" i="20"/>
  <c r="N30" i="21" s="1"/>
  <c r="Y80" i="20"/>
  <c r="O16" i="21" s="1"/>
  <c r="Q30" i="20"/>
  <c r="R30" i="20"/>
  <c r="R32" i="20"/>
  <c r="Q32" i="20"/>
  <c r="AE216" i="20"/>
  <c r="V38" i="21" s="1"/>
  <c r="AE71" i="20"/>
  <c r="U15" i="21" s="1"/>
  <c r="Y173" i="20"/>
  <c r="L33" i="21" s="1"/>
  <c r="W14" i="19"/>
  <c r="V14" i="19"/>
  <c r="V19" i="19"/>
  <c r="W19" i="19"/>
  <c r="S91" i="20"/>
  <c r="C18" i="21" s="1"/>
  <c r="AE223" i="20"/>
  <c r="U44" i="21" s="1"/>
  <c r="U54" i="21" s="1"/>
  <c r="W25" i="17"/>
  <c r="V25" i="17"/>
  <c r="W30" i="17"/>
  <c r="V30" i="17"/>
  <c r="W46" i="17"/>
  <c r="V46" i="17"/>
  <c r="W50" i="17"/>
  <c r="V50" i="17"/>
  <c r="S151" i="20"/>
  <c r="G30" i="21" s="1"/>
  <c r="S100" i="20"/>
  <c r="D19" i="21" s="1"/>
  <c r="S78" i="20"/>
  <c r="F16" i="21" s="1"/>
  <c r="P40" i="19"/>
  <c r="Q40" i="19"/>
  <c r="Q37" i="19"/>
  <c r="P37" i="19"/>
  <c r="S181" i="20"/>
  <c r="E34" i="21" s="1"/>
  <c r="Y166" i="20"/>
  <c r="M32" i="21" s="1"/>
  <c r="Y163" i="20"/>
  <c r="J32" i="21" s="1"/>
  <c r="Y93" i="20"/>
  <c r="L18" i="21" s="1"/>
  <c r="Y192" i="20"/>
  <c r="O35" i="21" s="1"/>
  <c r="P14" i="19"/>
  <c r="Q14" i="19"/>
  <c r="S59" i="20"/>
  <c r="C14" i="21" s="1"/>
  <c r="S3" i="20"/>
  <c r="AE112" i="20"/>
  <c r="V20" i="21" s="1"/>
  <c r="X157" i="20"/>
  <c r="W157" i="20"/>
  <c r="Y132" i="20"/>
  <c r="K28" i="21" s="1"/>
  <c r="Y205" i="20"/>
  <c r="L37" i="21" s="1"/>
  <c r="S213" i="20"/>
  <c r="E38" i="21" s="1"/>
  <c r="S197" i="20"/>
  <c r="E36" i="21" s="1"/>
  <c r="Q24" i="17"/>
  <c r="P24" i="17"/>
  <c r="S191" i="20"/>
  <c r="G35" i="21" s="1"/>
  <c r="AE214" i="20"/>
  <c r="T38" i="21" s="1"/>
  <c r="AE200" i="20"/>
  <c r="V36" i="21" s="1"/>
  <c r="AB24" i="19"/>
  <c r="AC24" i="19"/>
  <c r="AE13" i="20"/>
  <c r="S8" i="21" s="1"/>
  <c r="AE187" i="20"/>
  <c r="Q35" i="21" s="1"/>
  <c r="Y125" i="20"/>
  <c r="L27" i="21" s="1"/>
  <c r="W17" i="17"/>
  <c r="V17" i="17"/>
  <c r="Y117" i="20"/>
  <c r="L21" i="21" s="1"/>
  <c r="W39" i="17"/>
  <c r="V39" i="17"/>
  <c r="W40" i="17"/>
  <c r="V40" i="17"/>
  <c r="Q11" i="19"/>
  <c r="P11" i="19"/>
  <c r="Q10" i="19"/>
  <c r="P10" i="19"/>
  <c r="Q5" i="19"/>
  <c r="P5" i="19"/>
  <c r="AC7" i="17"/>
  <c r="AB7" i="17"/>
  <c r="AC5" i="17"/>
  <c r="AB5" i="17"/>
  <c r="AE164" i="20"/>
  <c r="R32" i="21" s="1"/>
  <c r="AE93" i="20"/>
  <c r="S18" i="21" s="1"/>
  <c r="Y215" i="20"/>
  <c r="N38" i="21" s="1"/>
  <c r="W27" i="19"/>
  <c r="V27" i="19"/>
  <c r="V31" i="19"/>
  <c r="W31" i="19"/>
  <c r="Y16" i="20"/>
  <c r="O8" i="21" s="1"/>
  <c r="Y108" i="20"/>
  <c r="K20" i="21" s="1"/>
  <c r="S150" i="20"/>
  <c r="F30" i="21" s="1"/>
  <c r="S148" i="20"/>
  <c r="D30" i="21" s="1"/>
  <c r="S104" i="20"/>
  <c r="H19" i="21" s="1"/>
  <c r="S23" i="20"/>
  <c r="G9" i="21" s="1"/>
  <c r="G9" i="18"/>
  <c r="Q35" i="17"/>
  <c r="P35" i="17"/>
  <c r="S184" i="20"/>
  <c r="H34" i="21" s="1"/>
  <c r="AE157" i="20"/>
  <c r="S31" i="21" s="1"/>
  <c r="AE151" i="20"/>
  <c r="U30" i="21" s="1"/>
  <c r="AE77" i="20"/>
  <c r="S16" i="21" s="1"/>
  <c r="AE117" i="20"/>
  <c r="S21" i="21" s="1"/>
  <c r="AB40" i="17"/>
  <c r="AC40" i="17"/>
  <c r="AC36" i="17"/>
  <c r="AB36" i="17"/>
  <c r="Y220" i="20"/>
  <c r="K44" i="21" s="1"/>
  <c r="S171" i="20"/>
  <c r="C33" i="21" s="1"/>
  <c r="AC57" i="21"/>
  <c r="AE126" i="20"/>
  <c r="T27" i="21" s="1"/>
  <c r="AE174" i="20"/>
  <c r="T33" i="21" s="1"/>
  <c r="AE59" i="20"/>
  <c r="Q14" i="21" s="1"/>
  <c r="AE45" i="20"/>
  <c r="S12" i="21" s="1"/>
  <c r="AE111" i="20"/>
  <c r="U20" i="21" s="1"/>
  <c r="AC48" i="19"/>
  <c r="AB48" i="19"/>
  <c r="AC49" i="19"/>
  <c r="AB49" i="19"/>
  <c r="Y99" i="20"/>
  <c r="J19" i="21" s="1"/>
  <c r="Y140" i="20"/>
  <c r="K29" i="21" s="1"/>
  <c r="S211" i="20"/>
  <c r="C38" i="21" s="1"/>
  <c r="S198" i="20"/>
  <c r="F36" i="21" s="1"/>
  <c r="S189" i="20"/>
  <c r="E35" i="21" s="1"/>
  <c r="AE196" i="20"/>
  <c r="R36" i="21" s="1"/>
  <c r="BA4" i="17"/>
  <c r="Q4" i="17"/>
  <c r="P4" i="17"/>
  <c r="S204" i="20"/>
  <c r="D37" i="21" s="1"/>
  <c r="S111" i="20"/>
  <c r="G20" i="21" s="1"/>
  <c r="AB10" i="19"/>
  <c r="AC10" i="19"/>
  <c r="AC8" i="19"/>
  <c r="AB8" i="19"/>
  <c r="AE95" i="20"/>
  <c r="U18" i="21" s="1"/>
  <c r="AE135" i="20"/>
  <c r="U28" i="21" s="1"/>
  <c r="Y110" i="20"/>
  <c r="M20" i="21" s="1"/>
  <c r="W46" i="19"/>
  <c r="V46" i="19"/>
  <c r="W50" i="19"/>
  <c r="V50" i="19"/>
  <c r="BB157" i="20"/>
  <c r="R155" i="20"/>
  <c r="Q155" i="20"/>
  <c r="S38" i="20"/>
  <c r="F11" i="21" s="1"/>
  <c r="S103" i="20"/>
  <c r="G19" i="21" s="1"/>
  <c r="S79" i="20"/>
  <c r="G16" i="21" s="1"/>
  <c r="S143" i="20"/>
  <c r="G29" i="21" s="1"/>
  <c r="AE102" i="20"/>
  <c r="T19" i="21" s="1"/>
  <c r="AB37" i="19"/>
  <c r="AC37" i="19"/>
  <c r="AE182" i="20"/>
  <c r="T34" i="21" s="1"/>
  <c r="W10" i="19"/>
  <c r="V10" i="19"/>
  <c r="V4" i="19"/>
  <c r="W4" i="19"/>
  <c r="Y91" i="20"/>
  <c r="J18" i="21" s="1"/>
  <c r="AJ11" i="18"/>
  <c r="AJ12" i="18"/>
  <c r="AC47" i="17"/>
  <c r="AB47" i="17"/>
  <c r="Y43" i="20"/>
  <c r="J12" i="21" s="1"/>
  <c r="Y116" i="20"/>
  <c r="K21" i="21" s="1"/>
  <c r="Y24" i="20"/>
  <c r="O9" i="21" s="1"/>
  <c r="W39" i="19"/>
  <c r="V39" i="19"/>
  <c r="W41" i="19"/>
  <c r="V41" i="19"/>
  <c r="S112" i="20"/>
  <c r="H20" i="21" s="1"/>
  <c r="Q47" i="17"/>
  <c r="P47" i="17"/>
  <c r="AE165" i="20"/>
  <c r="S32" i="21" s="1"/>
  <c r="AE94" i="20"/>
  <c r="T18" i="21" s="1"/>
  <c r="AE219" i="20"/>
  <c r="Q44" i="21" s="1"/>
  <c r="Y198" i="20"/>
  <c r="M36" i="21" s="1"/>
  <c r="Y15" i="20"/>
  <c r="N8" i="21" s="1"/>
  <c r="Y107" i="20"/>
  <c r="J20" i="21" s="1"/>
  <c r="S40" i="20"/>
  <c r="H11" i="21" s="1"/>
  <c r="S87" i="20"/>
  <c r="G17" i="21" s="1"/>
  <c r="AE160" i="20"/>
  <c r="V31" i="21" s="1"/>
  <c r="AE83" i="20"/>
  <c r="Q17" i="21" s="1"/>
  <c r="AE140" i="20"/>
  <c r="R29" i="21" s="1"/>
  <c r="AE19" i="20"/>
  <c r="Q9" i="21" s="1"/>
  <c r="V5" i="17"/>
  <c r="W5" i="17"/>
  <c r="W3" i="17"/>
  <c r="V3" i="17"/>
  <c r="P13" i="17"/>
  <c r="Q13" i="17"/>
  <c r="X57" i="21"/>
  <c r="X23" i="21"/>
  <c r="E18" i="25" s="1"/>
  <c r="X22" i="21"/>
  <c r="AC13" i="17"/>
  <c r="AB13" i="17"/>
  <c r="AC15" i="17"/>
  <c r="AB15" i="17"/>
  <c r="R29" i="20"/>
  <c r="Q29" i="20"/>
  <c r="AB23" i="17"/>
  <c r="AC23" i="17"/>
  <c r="W16" i="19"/>
  <c r="V16" i="19"/>
  <c r="W21" i="19"/>
  <c r="V21" i="19"/>
  <c r="W28" i="17"/>
  <c r="V28" i="17"/>
  <c r="W24" i="17"/>
  <c r="V24" i="17"/>
  <c r="W43" i="17"/>
  <c r="V43" i="17"/>
  <c r="V49" i="17"/>
  <c r="W49" i="17"/>
  <c r="P17" i="19"/>
  <c r="Q17" i="19"/>
  <c r="P21" i="19"/>
  <c r="Q21" i="19"/>
  <c r="X156" i="20"/>
  <c r="W156" i="20"/>
  <c r="W159" i="20"/>
  <c r="X159" i="20"/>
  <c r="W20" i="17"/>
  <c r="V20" i="17"/>
  <c r="W16" i="17"/>
  <c r="V16" i="17"/>
  <c r="W33" i="17"/>
  <c r="V33" i="17"/>
  <c r="W38" i="17"/>
  <c r="V38" i="17"/>
  <c r="AC3" i="17"/>
  <c r="AB3" i="17"/>
  <c r="AC6" i="17"/>
  <c r="AB6" i="17"/>
  <c r="V26" i="19"/>
  <c r="W26" i="19"/>
  <c r="V25" i="19"/>
  <c r="W25" i="19"/>
  <c r="P39" i="17"/>
  <c r="Q39" i="17"/>
  <c r="P40" i="17"/>
  <c r="Q40" i="17"/>
  <c r="AC34" i="17"/>
  <c r="AB34" i="17"/>
  <c r="AC33" i="17"/>
  <c r="AB33" i="17"/>
  <c r="BA7" i="17"/>
  <c r="Q10" i="17"/>
  <c r="P10" i="17"/>
  <c r="P6" i="17"/>
  <c r="Q6" i="17"/>
  <c r="P48" i="19"/>
  <c r="Q48" i="19"/>
  <c r="AB9" i="19"/>
  <c r="AC9" i="19"/>
  <c r="AC4" i="19"/>
  <c r="AB4" i="19"/>
  <c r="V45" i="19"/>
  <c r="W45" i="19"/>
  <c r="W47" i="19"/>
  <c r="V47" i="19"/>
  <c r="BB155" i="20"/>
  <c r="R159" i="20"/>
  <c r="Q159" i="20"/>
  <c r="AC36" i="19"/>
  <c r="AB36" i="19"/>
  <c r="V8" i="19"/>
  <c r="W8" i="19"/>
  <c r="W11" i="19"/>
  <c r="V11" i="19"/>
  <c r="BA8" i="19"/>
  <c r="BA6" i="19"/>
  <c r="Z22" i="21"/>
  <c r="Z57" i="21"/>
  <c r="AL12" i="18"/>
  <c r="AL11" i="18"/>
  <c r="AK11" i="18"/>
  <c r="AO11" i="18"/>
  <c r="AB14" i="19"/>
  <c r="AC14" i="19"/>
  <c r="AB48" i="17"/>
  <c r="AC48" i="17"/>
  <c r="P24" i="19"/>
  <c r="Q24" i="19"/>
  <c r="V40" i="19"/>
  <c r="W40" i="19"/>
  <c r="W34" i="19"/>
  <c r="V34" i="19"/>
  <c r="Q48" i="17"/>
  <c r="P48" i="17"/>
  <c r="V32" i="6"/>
  <c r="X32" i="6" s="1"/>
  <c r="AB4" i="6"/>
  <c r="AD4" i="6" s="1"/>
  <c r="P62" i="6"/>
  <c r="P41" i="6"/>
  <c r="V69" i="6"/>
  <c r="X69" i="6" s="1"/>
  <c r="AB38" i="6"/>
  <c r="AD38" i="6" s="1"/>
  <c r="V119" i="6"/>
  <c r="X119" i="6" s="1"/>
  <c r="O28" i="10" s="1"/>
  <c r="AB126" i="6"/>
  <c r="AD126" i="6" s="1"/>
  <c r="V29" i="10" s="1"/>
  <c r="V77" i="6"/>
  <c r="X77" i="6" s="1"/>
  <c r="X195" i="6"/>
  <c r="P179" i="6"/>
  <c r="V165" i="6"/>
  <c r="X165" i="6" s="1"/>
  <c r="L35" i="10" s="1"/>
  <c r="V144" i="6"/>
  <c r="X144" i="6" s="1"/>
  <c r="AE181" i="20"/>
  <c r="S34" i="21" s="1"/>
  <c r="W4" i="17"/>
  <c r="V4" i="17"/>
  <c r="W6" i="17"/>
  <c r="V6" i="17"/>
  <c r="Y165" i="20"/>
  <c r="L32" i="21" s="1"/>
  <c r="Y223" i="20"/>
  <c r="N44" i="21" s="1"/>
  <c r="N54" i="21" s="1"/>
  <c r="Y54" i="20"/>
  <c r="M13" i="21" s="1"/>
  <c r="Q14" i="17"/>
  <c r="P14" i="17"/>
  <c r="Q16" i="17"/>
  <c r="P16" i="17"/>
  <c r="AA22" i="21"/>
  <c r="AA57" i="21"/>
  <c r="AE127" i="20"/>
  <c r="U27" i="21" s="1"/>
  <c r="AE172" i="20"/>
  <c r="R33" i="21" s="1"/>
  <c r="AC14" i="17"/>
  <c r="AB14" i="17"/>
  <c r="AE6" i="20"/>
  <c r="T7" i="21" s="1"/>
  <c r="Y38" i="20"/>
  <c r="M11" i="21" s="1"/>
  <c r="Y84" i="20"/>
  <c r="K17" i="21" s="1"/>
  <c r="Y131" i="20"/>
  <c r="J28" i="21" s="1"/>
  <c r="Y203" i="20"/>
  <c r="J37" i="21" s="1"/>
  <c r="S200" i="20"/>
  <c r="H36" i="21" s="1"/>
  <c r="S72" i="20"/>
  <c r="H15" i="21" s="1"/>
  <c r="R27" i="20"/>
  <c r="Q27" i="20"/>
  <c r="BB27" i="20"/>
  <c r="AE199" i="20"/>
  <c r="U36" i="21" s="1"/>
  <c r="AC24" i="17"/>
  <c r="AB24" i="17"/>
  <c r="AE16" i="20"/>
  <c r="V8" i="21" s="1"/>
  <c r="AE189" i="20"/>
  <c r="S35" i="21" s="1"/>
  <c r="V17" i="19"/>
  <c r="W17" i="19"/>
  <c r="W18" i="19"/>
  <c r="V18" i="19"/>
  <c r="Y64" i="20"/>
  <c r="O14" i="21" s="1"/>
  <c r="Y119" i="20"/>
  <c r="N21" i="21" s="1"/>
  <c r="S131" i="20"/>
  <c r="C28" i="21" s="1"/>
  <c r="S205" i="20"/>
  <c r="E37" i="21" s="1"/>
  <c r="S107" i="20"/>
  <c r="C20" i="21" s="1"/>
  <c r="AE168" i="20"/>
  <c r="V32" i="21" s="1"/>
  <c r="Y213" i="20"/>
  <c r="L38" i="21" s="1"/>
  <c r="W26" i="17"/>
  <c r="V26" i="17"/>
  <c r="W27" i="17"/>
  <c r="V27" i="17"/>
  <c r="Y68" i="20"/>
  <c r="K15" i="21" s="1"/>
  <c r="W45" i="17"/>
  <c r="V45" i="17"/>
  <c r="W44" i="17"/>
  <c r="V44" i="17"/>
  <c r="S149" i="20"/>
  <c r="E30" i="21" s="1"/>
  <c r="Q36" i="19"/>
  <c r="P36" i="19"/>
  <c r="Q41" i="19"/>
  <c r="P41" i="19"/>
  <c r="AE35" i="20"/>
  <c r="Q11" i="21" s="1"/>
  <c r="AE147" i="20"/>
  <c r="Q30" i="21" s="1"/>
  <c r="AE116" i="20"/>
  <c r="R21" i="21" s="1"/>
  <c r="AE180" i="20"/>
  <c r="R34" i="21" s="1"/>
  <c r="Y187" i="20"/>
  <c r="J35" i="21" s="1"/>
  <c r="Q16" i="19"/>
  <c r="P16" i="19"/>
  <c r="S61" i="20"/>
  <c r="E14" i="21" s="1"/>
  <c r="S6" i="20"/>
  <c r="F7" i="21" s="1"/>
  <c r="AE128" i="20"/>
  <c r="V27" i="21" s="1"/>
  <c r="X155" i="20"/>
  <c r="W155" i="20"/>
  <c r="W158" i="20"/>
  <c r="X158" i="20"/>
  <c r="Y86" i="20"/>
  <c r="M17" i="21" s="1"/>
  <c r="Y150" i="20"/>
  <c r="M30" i="21" s="1"/>
  <c r="Y103" i="20"/>
  <c r="N19" i="21" s="1"/>
  <c r="Y79" i="20"/>
  <c r="N16" i="21" s="1"/>
  <c r="Y141" i="20"/>
  <c r="L29" i="21" s="1"/>
  <c r="Y204" i="20"/>
  <c r="K37" i="21" s="1"/>
  <c r="AE198" i="20"/>
  <c r="T36" i="21" s="1"/>
  <c r="S71" i="20"/>
  <c r="G15" i="21" s="1"/>
  <c r="S54" i="20"/>
  <c r="F13" i="21" s="1"/>
  <c r="AE215" i="20"/>
  <c r="U38" i="21" s="1"/>
  <c r="AB25" i="19"/>
  <c r="AC25" i="19"/>
  <c r="AE67" i="20"/>
  <c r="Q15" i="21" s="1"/>
  <c r="AE55" i="20"/>
  <c r="U13" i="21" s="1"/>
  <c r="AE192" i="20"/>
  <c r="V35" i="21" s="1"/>
  <c r="V18" i="17"/>
  <c r="W18" i="17"/>
  <c r="W14" i="17"/>
  <c r="V14" i="17"/>
  <c r="Y63" i="20"/>
  <c r="N14" i="21" s="1"/>
  <c r="Y118" i="20"/>
  <c r="M21" i="21" s="1"/>
  <c r="W35" i="17"/>
  <c r="V35" i="17"/>
  <c r="W36" i="17"/>
  <c r="V36" i="17"/>
  <c r="P4" i="19"/>
  <c r="Q4" i="19"/>
  <c r="Q7" i="19"/>
  <c r="P7" i="19"/>
  <c r="S220" i="20"/>
  <c r="D44" i="21" s="1"/>
  <c r="S207" i="20"/>
  <c r="G37" i="21" s="1"/>
  <c r="AC4" i="17"/>
  <c r="AB4" i="17"/>
  <c r="AC10" i="17"/>
  <c r="AB10" i="17"/>
  <c r="AE92" i="20"/>
  <c r="R18" i="21" s="1"/>
  <c r="AE203" i="20"/>
  <c r="Q37" i="21" s="1"/>
  <c r="Y196" i="20"/>
  <c r="K36" i="21" s="1"/>
  <c r="W29" i="19"/>
  <c r="V29" i="19"/>
  <c r="V30" i="19"/>
  <c r="W30" i="19"/>
  <c r="S39" i="20"/>
  <c r="G11" i="21" s="1"/>
  <c r="S76" i="20"/>
  <c r="D16" i="21" s="1"/>
  <c r="S117" i="20"/>
  <c r="E21" i="21" s="1"/>
  <c r="Q34" i="17"/>
  <c r="P34" i="17"/>
  <c r="Q33" i="17"/>
  <c r="P33" i="17"/>
  <c r="AE100" i="20"/>
  <c r="R19" i="21" s="1"/>
  <c r="AE21" i="20"/>
  <c r="S9" i="21" s="1"/>
  <c r="AC35" i="17"/>
  <c r="AB35" i="17"/>
  <c r="AB39" i="17"/>
  <c r="AC39" i="17"/>
  <c r="Y94" i="20"/>
  <c r="M18" i="21" s="1"/>
  <c r="Y221" i="20"/>
  <c r="L44" i="21" s="1"/>
  <c r="L54" i="21" s="1"/>
  <c r="Y188" i="20"/>
  <c r="K35" i="21" s="1"/>
  <c r="S63" i="20"/>
  <c r="G14" i="21" s="1"/>
  <c r="S45" i="20"/>
  <c r="E12" i="21" s="1"/>
  <c r="Y57" i="21"/>
  <c r="Y22" i="21"/>
  <c r="AE125" i="20"/>
  <c r="S27" i="21" s="1"/>
  <c r="AE64" i="20"/>
  <c r="V14" i="21" s="1"/>
  <c r="AE3" i="20"/>
  <c r="AE43" i="20"/>
  <c r="Q12" i="21" s="1"/>
  <c r="Y102" i="20"/>
  <c r="M19" i="21" s="1"/>
  <c r="Y75" i="20"/>
  <c r="J16" i="21" s="1"/>
  <c r="S216" i="20"/>
  <c r="H38" i="21" s="1"/>
  <c r="S68" i="20"/>
  <c r="D15" i="21" s="1"/>
  <c r="S12" i="20"/>
  <c r="D8" i="21" s="1"/>
  <c r="S190" i="20"/>
  <c r="F35" i="21" s="1"/>
  <c r="AE213" i="20"/>
  <c r="S38" i="21" s="1"/>
  <c r="Y47" i="20"/>
  <c r="N12" i="21" s="1"/>
  <c r="Y115" i="20"/>
  <c r="J21" i="21" s="1"/>
  <c r="Y182" i="20"/>
  <c r="M34" i="21" s="1"/>
  <c r="Y180" i="20"/>
  <c r="K34" i="21" s="1"/>
  <c r="BA5" i="17"/>
  <c r="P3" i="17"/>
  <c r="Q3" i="17"/>
  <c r="Q8" i="17"/>
  <c r="P8" i="17"/>
  <c r="S94" i="20"/>
  <c r="F18" i="21" s="1"/>
  <c r="S133" i="20"/>
  <c r="E28" i="21" s="1"/>
  <c r="Q49" i="19"/>
  <c r="P49" i="19"/>
  <c r="AC5" i="19"/>
  <c r="AB5" i="19"/>
  <c r="AC11" i="19"/>
  <c r="AB11" i="19"/>
  <c r="AE221" i="20"/>
  <c r="S44" i="21" s="1"/>
  <c r="S54" i="21" s="1"/>
  <c r="AE205" i="20"/>
  <c r="S37" i="21" s="1"/>
  <c r="Y212" i="20"/>
  <c r="K38" i="21" s="1"/>
  <c r="Y197" i="20"/>
  <c r="L36" i="21" s="1"/>
  <c r="Y71" i="20"/>
  <c r="N15" i="21" s="1"/>
  <c r="V49" i="19"/>
  <c r="W49" i="19"/>
  <c r="W48" i="19"/>
  <c r="V48" i="19"/>
  <c r="BB156" i="20"/>
  <c r="R160" i="20"/>
  <c r="Q160" i="20"/>
  <c r="Q157" i="20"/>
  <c r="R157" i="20"/>
  <c r="S84" i="20"/>
  <c r="D17" i="21" s="1"/>
  <c r="S141" i="20"/>
  <c r="E29" i="21" s="1"/>
  <c r="S183" i="20"/>
  <c r="G34" i="21" s="1"/>
  <c r="AA39" i="21"/>
  <c r="AE84" i="20"/>
  <c r="R17" i="21" s="1"/>
  <c r="AE80" i="20"/>
  <c r="V16" i="21" s="1"/>
  <c r="AB41" i="19"/>
  <c r="AC41" i="19"/>
  <c r="AC40" i="19"/>
  <c r="AB40" i="19"/>
  <c r="V6" i="19"/>
  <c r="W6" i="19"/>
  <c r="V7" i="19"/>
  <c r="W7" i="19"/>
  <c r="S128" i="20"/>
  <c r="H27" i="21" s="1"/>
  <c r="S48" i="20"/>
  <c r="H12" i="21" s="1"/>
  <c r="AH6" i="18"/>
  <c r="E2" i="18"/>
  <c r="AN11" i="18"/>
  <c r="AE123" i="20"/>
  <c r="Q27" i="21" s="1"/>
  <c r="AE175" i="20"/>
  <c r="U33" i="21" s="1"/>
  <c r="AB21" i="19"/>
  <c r="AC21" i="19"/>
  <c r="AC17" i="19"/>
  <c r="AB17" i="19"/>
  <c r="AE7" i="20"/>
  <c r="U7" i="21" s="1"/>
  <c r="AE44" i="20"/>
  <c r="R12" i="21" s="1"/>
  <c r="AE109" i="20"/>
  <c r="S20" i="21" s="1"/>
  <c r="Y100" i="20"/>
  <c r="K19" i="21" s="1"/>
  <c r="Y134" i="20"/>
  <c r="M28" i="21" s="1"/>
  <c r="Y206" i="20"/>
  <c r="M37" i="21" s="1"/>
  <c r="S195" i="20"/>
  <c r="C36" i="21" s="1"/>
  <c r="S70" i="20"/>
  <c r="F15" i="21" s="1"/>
  <c r="S55" i="20"/>
  <c r="G13" i="21" s="1"/>
  <c r="AE70" i="20"/>
  <c r="T15" i="21" s="1"/>
  <c r="Y176" i="20"/>
  <c r="O33" i="21" s="1"/>
  <c r="V37" i="19"/>
  <c r="W37" i="19"/>
  <c r="W36" i="19"/>
  <c r="V36" i="19"/>
  <c r="S221" i="20"/>
  <c r="E44" i="21" s="1"/>
  <c r="E54" i="21" s="1"/>
  <c r="S132" i="20"/>
  <c r="D28" i="21" s="1"/>
  <c r="S108" i="20"/>
  <c r="D20" i="21" s="1"/>
  <c r="E3" i="16"/>
  <c r="N3" i="16" s="1"/>
  <c r="W11" i="15"/>
  <c r="Q3" i="12"/>
  <c r="P129" i="6"/>
  <c r="P91" i="6"/>
  <c r="P112" i="6"/>
  <c r="P95" i="6"/>
  <c r="AB119" i="6"/>
  <c r="AD119" i="6" s="1"/>
  <c r="V28" i="10" s="1"/>
  <c r="W206" i="6"/>
  <c r="AB133" i="6"/>
  <c r="AD133" i="6" s="1"/>
  <c r="AB48" i="6"/>
  <c r="AD48" i="6" s="1"/>
  <c r="U14" i="10" s="1"/>
  <c r="P76" i="6"/>
  <c r="AB168" i="6"/>
  <c r="AD168" i="6" s="1"/>
  <c r="P200" i="6"/>
  <c r="W10" i="12"/>
  <c r="Y10" i="12" s="1"/>
  <c r="K12" i="15" s="1"/>
  <c r="W17" i="6"/>
  <c r="V17" i="6"/>
  <c r="AB55" i="6"/>
  <c r="AD55" i="6" s="1"/>
  <c r="V74" i="6"/>
  <c r="X74" i="6" s="1"/>
  <c r="L18" i="10" s="1"/>
  <c r="AB14" i="6"/>
  <c r="AD14" i="6" s="1"/>
  <c r="V9" i="10" s="1"/>
  <c r="P66" i="6"/>
  <c r="P52" i="6"/>
  <c r="V105" i="6"/>
  <c r="X105" i="6" s="1"/>
  <c r="O22" i="10" s="1"/>
  <c r="P130" i="6"/>
  <c r="P40" i="6"/>
  <c r="P49" i="6"/>
  <c r="P54" i="6"/>
  <c r="P136" i="6"/>
  <c r="P116" i="6"/>
  <c r="W201" i="6"/>
  <c r="AB186" i="6"/>
  <c r="AD186" i="6" s="1"/>
  <c r="V214" i="6"/>
  <c r="X214" i="6" s="1"/>
  <c r="V150" i="6"/>
  <c r="X150" i="6" s="1"/>
  <c r="K33" i="10" s="1"/>
  <c r="P158" i="6"/>
  <c r="P150" i="6"/>
  <c r="V186" i="6"/>
  <c r="X186" i="6" s="1"/>
  <c r="L38" i="10" s="1"/>
  <c r="P164" i="6"/>
  <c r="X189" i="12"/>
  <c r="Y189" i="12" s="1"/>
  <c r="J52" i="15" s="1"/>
  <c r="X48" i="15"/>
  <c r="Y48" i="15"/>
  <c r="Y58" i="15" s="1"/>
  <c r="W177" i="12"/>
  <c r="Y177" i="12" s="1"/>
  <c r="J50" i="15" s="1"/>
  <c r="W5" i="12"/>
  <c r="Y5" i="12" s="1"/>
  <c r="L11" i="15" s="1"/>
  <c r="AB11" i="6"/>
  <c r="AD11" i="6" s="1"/>
  <c r="S9" i="10" s="1"/>
  <c r="X95" i="6"/>
  <c r="L21" i="10" s="1"/>
  <c r="AB146" i="6"/>
  <c r="AB151" i="6"/>
  <c r="AD151" i="6" s="1"/>
  <c r="P172" i="6"/>
  <c r="Y43" i="15"/>
  <c r="BA62" i="6"/>
  <c r="P32" i="6"/>
  <c r="V11" i="6"/>
  <c r="X11" i="6" s="1"/>
  <c r="AB3" i="6"/>
  <c r="AD3" i="6" s="1"/>
  <c r="R8" i="10" s="1"/>
  <c r="AB111" i="6"/>
  <c r="AD111" i="6" s="1"/>
  <c r="U27" i="10" s="1"/>
  <c r="AB90" i="6"/>
  <c r="AD90" i="6" s="1"/>
  <c r="V109" i="6"/>
  <c r="X109" i="6" s="1"/>
  <c r="P96" i="6"/>
  <c r="P61" i="6"/>
  <c r="V47" i="6"/>
  <c r="X47" i="6" s="1"/>
  <c r="V108" i="6"/>
  <c r="X108" i="6" s="1"/>
  <c r="P104" i="6"/>
  <c r="AB98" i="6"/>
  <c r="AD98" i="6" s="1"/>
  <c r="V21" i="10" s="1"/>
  <c r="P90" i="6"/>
  <c r="V125" i="6"/>
  <c r="X125" i="6" s="1"/>
  <c r="AB158" i="6"/>
  <c r="AD158" i="6" s="1"/>
  <c r="S34" i="10" s="1"/>
  <c r="AB145" i="6"/>
  <c r="AD145" i="6" s="1"/>
  <c r="T32" i="10" s="1"/>
  <c r="P165" i="6"/>
  <c r="Q5" i="12"/>
  <c r="W3" i="12"/>
  <c r="Y3" i="12" s="1"/>
  <c r="J11" i="15" s="1"/>
  <c r="AC3" i="12"/>
  <c r="AE3" i="12" s="1"/>
  <c r="P11" i="15" s="1"/>
  <c r="Q81" i="12"/>
  <c r="W4" i="12"/>
  <c r="Y4" i="12" s="1"/>
  <c r="Q4" i="12"/>
  <c r="W9" i="12"/>
  <c r="Y9" i="12" s="1"/>
  <c r="J12" i="15" s="1"/>
  <c r="Q33" i="12"/>
  <c r="Q87" i="12"/>
  <c r="Q77" i="12"/>
  <c r="R77" i="12"/>
  <c r="AD35" i="12"/>
  <c r="AC35" i="12"/>
  <c r="AC83" i="12"/>
  <c r="AD83" i="12"/>
  <c r="W34" i="12"/>
  <c r="X34" i="12"/>
  <c r="AK5" i="12"/>
  <c r="X11" i="15"/>
  <c r="W89" i="12"/>
  <c r="X89" i="12"/>
  <c r="W87" i="12"/>
  <c r="Y87" i="12" s="1"/>
  <c r="J25" i="15" s="1"/>
  <c r="X78" i="12"/>
  <c r="W78" i="12"/>
  <c r="Q36" i="12"/>
  <c r="R36" i="12"/>
  <c r="Q83" i="12"/>
  <c r="R83" i="12"/>
  <c r="Q75" i="12"/>
  <c r="AD34" i="12"/>
  <c r="AC34" i="12"/>
  <c r="O12" i="12"/>
  <c r="Q12" i="12" s="1"/>
  <c r="AC89" i="12"/>
  <c r="AD89" i="12"/>
  <c r="AC81" i="12"/>
  <c r="AE81" i="12" s="1"/>
  <c r="P24" i="15" s="1"/>
  <c r="AC77" i="12"/>
  <c r="AD77" i="12"/>
  <c r="W36" i="12"/>
  <c r="X36" i="12"/>
  <c r="W82" i="12"/>
  <c r="X82" i="12"/>
  <c r="R35" i="12"/>
  <c r="Q35" i="12"/>
  <c r="R90" i="12"/>
  <c r="Q90" i="12"/>
  <c r="Q82" i="12"/>
  <c r="R82" i="12"/>
  <c r="AC87" i="12"/>
  <c r="AE87" i="12" s="1"/>
  <c r="P25" i="15" s="1"/>
  <c r="Q147" i="12"/>
  <c r="X192" i="12"/>
  <c r="Y192" i="12" s="1"/>
  <c r="M52" i="15" s="1"/>
  <c r="W180" i="12"/>
  <c r="Y180" i="12" s="1"/>
  <c r="M50" i="15" s="1"/>
  <c r="AK4" i="12"/>
  <c r="AC135" i="12"/>
  <c r="AE135" i="12" s="1"/>
  <c r="P38" i="15" s="1"/>
  <c r="V11" i="15"/>
  <c r="W12" i="12"/>
  <c r="Y12" i="12" s="1"/>
  <c r="M12" i="15" s="1"/>
  <c r="AC5" i="12"/>
  <c r="AE5" i="12" s="1"/>
  <c r="R11" i="15" s="1"/>
  <c r="W88" i="12"/>
  <c r="X88" i="12"/>
  <c r="W83" i="12"/>
  <c r="X83" i="12"/>
  <c r="W81" i="12"/>
  <c r="Y81" i="12" s="1"/>
  <c r="J24" i="15" s="1"/>
  <c r="X76" i="12"/>
  <c r="W76" i="12"/>
  <c r="X24" i="15"/>
  <c r="Y24" i="15"/>
  <c r="R88" i="12"/>
  <c r="Q88" i="12"/>
  <c r="R76" i="12"/>
  <c r="Q76" i="12"/>
  <c r="AC33" i="12"/>
  <c r="AE33" i="12" s="1"/>
  <c r="P16" i="15" s="1"/>
  <c r="Q9" i="12"/>
  <c r="R9" i="12"/>
  <c r="AD88" i="12"/>
  <c r="AC88" i="12"/>
  <c r="AD82" i="12"/>
  <c r="AC82" i="12"/>
  <c r="AC76" i="12"/>
  <c r="AD76" i="12"/>
  <c r="AC75" i="12"/>
  <c r="AE75" i="12" s="1"/>
  <c r="P23" i="15" s="1"/>
  <c r="AA10" i="12"/>
  <c r="AC10" i="12" s="1"/>
  <c r="X35" i="12"/>
  <c r="W35" i="12"/>
  <c r="AA11" i="12"/>
  <c r="AC11" i="12" s="1"/>
  <c r="W173" i="12"/>
  <c r="Y173" i="12" s="1"/>
  <c r="L49" i="15" s="1"/>
  <c r="W6" i="12"/>
  <c r="Y6" i="12" s="1"/>
  <c r="M11" i="15" s="1"/>
  <c r="Q11" i="12"/>
  <c r="AC6" i="12"/>
  <c r="AE6" i="12" s="1"/>
  <c r="S11" i="15" s="1"/>
  <c r="W90" i="12"/>
  <c r="X90" i="12"/>
  <c r="W84" i="12"/>
  <c r="X84" i="12"/>
  <c r="W77" i="12"/>
  <c r="X77" i="12"/>
  <c r="W75" i="12"/>
  <c r="Y75" i="12" s="1"/>
  <c r="J23" i="15" s="1"/>
  <c r="R34" i="12"/>
  <c r="Q34" i="12"/>
  <c r="R89" i="12"/>
  <c r="Q89" i="12"/>
  <c r="Q84" i="12"/>
  <c r="R84" i="12"/>
  <c r="Q78" i="12"/>
  <c r="R78" i="12"/>
  <c r="AC36" i="12"/>
  <c r="AD36" i="12"/>
  <c r="AD90" i="12"/>
  <c r="AC90" i="12"/>
  <c r="AC84" i="12"/>
  <c r="AD84" i="12"/>
  <c r="AC78" i="12"/>
  <c r="AD78" i="12"/>
  <c r="AA12" i="12"/>
  <c r="AC12" i="12" s="1"/>
  <c r="W33" i="12"/>
  <c r="Y33" i="12" s="1"/>
  <c r="J16" i="15" s="1"/>
  <c r="Y103" i="12"/>
  <c r="BA47" i="6"/>
  <c r="P19" i="6"/>
  <c r="P118" i="6"/>
  <c r="P157" i="6"/>
  <c r="P154" i="6"/>
  <c r="AB6" i="6"/>
  <c r="AD6" i="6" s="1"/>
  <c r="U8" i="10" s="1"/>
  <c r="P69" i="6"/>
  <c r="P110" i="6"/>
  <c r="P83" i="6"/>
  <c r="AB137" i="6"/>
  <c r="AD137" i="6" s="1"/>
  <c r="S31" i="10" s="1"/>
  <c r="AB172" i="6"/>
  <c r="AD172" i="6" s="1"/>
  <c r="AB171" i="6"/>
  <c r="AD171" i="6" s="1"/>
  <c r="R36" i="10" s="1"/>
  <c r="P224" i="6"/>
  <c r="P31" i="6"/>
  <c r="V56" i="6"/>
  <c r="X56" i="6" s="1"/>
  <c r="O15" i="10" s="1"/>
  <c r="AB69" i="6"/>
  <c r="AD69" i="6" s="1"/>
  <c r="U17" i="10" s="1"/>
  <c r="AB182" i="6"/>
  <c r="AD182" i="6" s="1"/>
  <c r="V37" i="10" s="1"/>
  <c r="AB13" i="6"/>
  <c r="AD13" i="6" s="1"/>
  <c r="U9" i="10" s="1"/>
  <c r="V10" i="6"/>
  <c r="X10" i="6" s="1"/>
  <c r="K9" i="10" s="1"/>
  <c r="V4" i="6"/>
  <c r="X4" i="6" s="1"/>
  <c r="L8" i="10" s="1"/>
  <c r="V63" i="6"/>
  <c r="X63" i="6" s="1"/>
  <c r="O16" i="10" s="1"/>
  <c r="V38" i="6"/>
  <c r="X38" i="6" s="1"/>
  <c r="K13" i="10" s="1"/>
  <c r="AB87" i="6"/>
  <c r="AD87" i="6" s="1"/>
  <c r="R20" i="10" s="1"/>
  <c r="P46" i="6"/>
  <c r="P55" i="6"/>
  <c r="AB102" i="6"/>
  <c r="AD102" i="6" s="1"/>
  <c r="S22" i="10" s="1"/>
  <c r="AB63" i="6"/>
  <c r="AD63" i="6" s="1"/>
  <c r="V49" i="6"/>
  <c r="X49" i="6" s="1"/>
  <c r="O14" i="10" s="1"/>
  <c r="AB41" i="6"/>
  <c r="AD41" i="6" s="1"/>
  <c r="V136" i="6"/>
  <c r="X136" i="6" s="1"/>
  <c r="K31" i="10" s="1"/>
  <c r="V126" i="6"/>
  <c r="X126" i="6" s="1"/>
  <c r="W199" i="6"/>
  <c r="X199" i="6" s="1"/>
  <c r="AB125" i="6"/>
  <c r="AD125" i="6" s="1"/>
  <c r="U29" i="10" s="1"/>
  <c r="P115" i="6"/>
  <c r="AB154" i="6"/>
  <c r="AD154" i="6" s="1"/>
  <c r="V33" i="10" s="1"/>
  <c r="V208" i="6"/>
  <c r="X208" i="6" s="1"/>
  <c r="V189" i="6"/>
  <c r="X189" i="6" s="1"/>
  <c r="W194" i="6"/>
  <c r="X194" i="6" s="1"/>
  <c r="P182" i="6"/>
  <c r="V178" i="6"/>
  <c r="X178" i="6" s="1"/>
  <c r="K37" i="10" s="1"/>
  <c r="W179" i="12"/>
  <c r="Y179" i="12" s="1"/>
  <c r="L50" i="15" s="1"/>
  <c r="Y187" i="12"/>
  <c r="BA60" i="6"/>
  <c r="V34" i="6"/>
  <c r="X34" i="6" s="1"/>
  <c r="N12" i="10" s="1"/>
  <c r="V18" i="6"/>
  <c r="X18" i="6" s="1"/>
  <c r="V7" i="6"/>
  <c r="X7" i="6" s="1"/>
  <c r="O8" i="10" s="1"/>
  <c r="V104" i="6"/>
  <c r="X104" i="6" s="1"/>
  <c r="N22" i="10" s="1"/>
  <c r="AB42" i="6"/>
  <c r="P102" i="6"/>
  <c r="V129" i="6"/>
  <c r="X129" i="6" s="1"/>
  <c r="K30" i="10" s="1"/>
  <c r="V90" i="6"/>
  <c r="X90" i="6" s="1"/>
  <c r="N20" i="10" s="1"/>
  <c r="AB96" i="6"/>
  <c r="AD96" i="6" s="1"/>
  <c r="T21" i="10" s="1"/>
  <c r="P68" i="6"/>
  <c r="P139" i="6"/>
  <c r="AB143" i="6"/>
  <c r="AD143" i="6" s="1"/>
  <c r="R32" i="10" s="1"/>
  <c r="AB153" i="6"/>
  <c r="AD153" i="6" s="1"/>
  <c r="U33" i="10" s="1"/>
  <c r="P175" i="6"/>
  <c r="V152" i="6"/>
  <c r="X152" i="6" s="1"/>
  <c r="M33" i="10" s="1"/>
  <c r="P167" i="6"/>
  <c r="P143" i="6"/>
  <c r="AB179" i="6"/>
  <c r="AD179" i="6" s="1"/>
  <c r="P187" i="6"/>
  <c r="V145" i="6"/>
  <c r="X145" i="6" s="1"/>
  <c r="M32" i="10" s="1"/>
  <c r="S109" i="12"/>
  <c r="V31" i="6"/>
  <c r="X31" i="6" s="1"/>
  <c r="V39" i="6"/>
  <c r="X39" i="6" s="1"/>
  <c r="L13" i="10" s="1"/>
  <c r="V48" i="6"/>
  <c r="X48" i="6" s="1"/>
  <c r="V70" i="6"/>
  <c r="P39" i="6"/>
  <c r="AB131" i="6"/>
  <c r="AD131" i="6" s="1"/>
  <c r="T30" i="10" s="1"/>
  <c r="V87" i="6"/>
  <c r="X87" i="6" s="1"/>
  <c r="K20" i="10" s="1"/>
  <c r="AB110" i="6"/>
  <c r="AD110" i="6" s="1"/>
  <c r="T27" i="10" s="1"/>
  <c r="P88" i="6"/>
  <c r="AB45" i="6"/>
  <c r="AD45" i="6" s="1"/>
  <c r="R14" i="10" s="1"/>
  <c r="V55" i="6"/>
  <c r="X55" i="6" s="1"/>
  <c r="N15" i="10" s="1"/>
  <c r="V171" i="6"/>
  <c r="X171" i="6" s="1"/>
  <c r="K36" i="10" s="1"/>
  <c r="V160" i="6"/>
  <c r="X160" i="6" s="1"/>
  <c r="N34" i="10" s="1"/>
  <c r="V222" i="6"/>
  <c r="X222" i="6" s="1"/>
  <c r="AB167" i="6"/>
  <c r="AD167" i="6" s="1"/>
  <c r="AB166" i="6"/>
  <c r="AD166" i="6" s="1"/>
  <c r="T35" i="10" s="1"/>
  <c r="V164" i="6"/>
  <c r="X164" i="6" s="1"/>
  <c r="K35" i="10" s="1"/>
  <c r="AC149" i="12"/>
  <c r="AE149" i="12" s="1"/>
  <c r="R40" i="15" s="1"/>
  <c r="V157" i="6"/>
  <c r="X157" i="6" s="1"/>
  <c r="K34" i="10" s="1"/>
  <c r="AC194" i="6"/>
  <c r="AB194" i="6"/>
  <c r="AB88" i="6"/>
  <c r="AD88" i="6" s="1"/>
  <c r="S20" i="10" s="1"/>
  <c r="V131" i="6"/>
  <c r="X131" i="6" s="1"/>
  <c r="V102" i="6"/>
  <c r="X102" i="6" s="1"/>
  <c r="L22" i="10" s="1"/>
  <c r="P97" i="6"/>
  <c r="AB103" i="6"/>
  <c r="AD103" i="6" s="1"/>
  <c r="P131" i="6"/>
  <c r="AB136" i="6"/>
  <c r="AD136" i="6" s="1"/>
  <c r="R31" i="10" s="1"/>
  <c r="P103" i="6"/>
  <c r="V137" i="6"/>
  <c r="V117" i="6"/>
  <c r="X117" i="6" s="1"/>
  <c r="V123" i="6"/>
  <c r="X123" i="6" s="1"/>
  <c r="AB130" i="6"/>
  <c r="AD130" i="6" s="1"/>
  <c r="S30" i="10" s="1"/>
  <c r="P117" i="6"/>
  <c r="V96" i="6"/>
  <c r="X96" i="6" s="1"/>
  <c r="M21" i="10" s="1"/>
  <c r="Y9" i="10"/>
  <c r="Z11" i="10"/>
  <c r="AA10" i="10"/>
  <c r="AB19" i="10"/>
  <c r="N13" i="10"/>
  <c r="Y27" i="10"/>
  <c r="AC20" i="10"/>
  <c r="Y13" i="10"/>
  <c r="U22" i="10"/>
  <c r="R28" i="10"/>
  <c r="Z29" i="10"/>
  <c r="F48" i="10"/>
  <c r="S32" i="10"/>
  <c r="O18" i="10"/>
  <c r="O34" i="10"/>
  <c r="AC33" i="10"/>
  <c r="AA47" i="10"/>
  <c r="AC48" i="10"/>
  <c r="T48" i="10"/>
  <c r="AA46" i="10"/>
  <c r="Z36" i="10"/>
  <c r="N37" i="10"/>
  <c r="AC37" i="10"/>
  <c r="AA124" i="12"/>
  <c r="AD124" i="12" s="1"/>
  <c r="U119" i="12"/>
  <c r="W119" i="12" s="1"/>
  <c r="AA108" i="12"/>
  <c r="AD108" i="12" s="1"/>
  <c r="U153" i="12"/>
  <c r="X153" i="12" s="1"/>
  <c r="U125" i="12"/>
  <c r="X125" i="12" s="1"/>
  <c r="AA117" i="12"/>
  <c r="AD117" i="12" s="1"/>
  <c r="Z77" i="6"/>
  <c r="AB77" i="6" s="1"/>
  <c r="V114" i="12"/>
  <c r="V112" i="12"/>
  <c r="U112" i="12" s="1"/>
  <c r="X112" i="12" s="1"/>
  <c r="N34" i="6"/>
  <c r="P34" i="6" s="1"/>
  <c r="Z32" i="6"/>
  <c r="AB32" i="6" s="1"/>
  <c r="N12" i="6"/>
  <c r="P12" i="6" s="1"/>
  <c r="N6" i="6"/>
  <c r="P6" i="6" s="1"/>
  <c r="N4" i="6"/>
  <c r="P4" i="6" s="1"/>
  <c r="P124" i="6"/>
  <c r="Q193" i="12"/>
  <c r="R193" i="12"/>
  <c r="O177" i="12"/>
  <c r="R177" i="12" s="1"/>
  <c r="AB177" i="12"/>
  <c r="AA177" i="12" s="1"/>
  <c r="AC177" i="12" s="1"/>
  <c r="T11" i="10"/>
  <c r="AC11" i="10"/>
  <c r="AB10" i="10"/>
  <c r="D11" i="10"/>
  <c r="R9" i="10"/>
  <c r="M16" i="10"/>
  <c r="K17" i="10"/>
  <c r="AB27" i="10"/>
  <c r="R21" i="10"/>
  <c r="AA19" i="10"/>
  <c r="S17" i="10"/>
  <c r="AB13" i="10"/>
  <c r="S14" i="10"/>
  <c r="T31" i="10"/>
  <c r="T213" i="6"/>
  <c r="V213" i="6" s="1"/>
  <c r="Z44" i="10"/>
  <c r="O36" i="10"/>
  <c r="N33" i="10"/>
  <c r="D48" i="10"/>
  <c r="Z47" i="10"/>
  <c r="N48" i="10"/>
  <c r="S48" i="10"/>
  <c r="AB18" i="10"/>
  <c r="Z34" i="10"/>
  <c r="AA38" i="10"/>
  <c r="D38" i="10"/>
  <c r="N32" i="10"/>
  <c r="N31" i="10"/>
  <c r="Z12" i="10"/>
  <c r="H12" i="10"/>
  <c r="V11" i="10"/>
  <c r="H11" i="10"/>
  <c r="M9" i="10"/>
  <c r="AJ5" i="6"/>
  <c r="AA8" i="10"/>
  <c r="R12" i="10"/>
  <c r="AA9" i="10"/>
  <c r="AJ6" i="6"/>
  <c r="AB8" i="10"/>
  <c r="AB11" i="10"/>
  <c r="N11" i="10"/>
  <c r="L9" i="10"/>
  <c r="AJ7" i="6"/>
  <c r="AC8" i="10"/>
  <c r="Y12" i="10"/>
  <c r="AC10" i="10"/>
  <c r="AJ4" i="6"/>
  <c r="Z8" i="10"/>
  <c r="AC22" i="10"/>
  <c r="AB30" i="10"/>
  <c r="AB20" i="10"/>
  <c r="Z16" i="10"/>
  <c r="AC17" i="10"/>
  <c r="AA13" i="10"/>
  <c r="V15" i="10"/>
  <c r="S27" i="10"/>
  <c r="AB21" i="10"/>
  <c r="H30" i="10"/>
  <c r="Y16" i="10"/>
  <c r="AB15" i="10"/>
  <c r="N21" i="10"/>
  <c r="AA30" i="10"/>
  <c r="N30" i="10"/>
  <c r="L20" i="10"/>
  <c r="AC19" i="10"/>
  <c r="H16" i="10"/>
  <c r="S13" i="10"/>
  <c r="M14" i="10"/>
  <c r="Y15" i="10"/>
  <c r="V27" i="10"/>
  <c r="M22" i="10"/>
  <c r="AA21" i="10"/>
  <c r="L17" i="10"/>
  <c r="R13" i="10"/>
  <c r="AA15" i="10"/>
  <c r="N29" i="10"/>
  <c r="V31" i="10"/>
  <c r="T29" i="10"/>
  <c r="AC28" i="10"/>
  <c r="K29" i="10"/>
  <c r="M31" i="10"/>
  <c r="AB29" i="10"/>
  <c r="T34" i="10"/>
  <c r="AA32" i="10"/>
  <c r="T33" i="10"/>
  <c r="S33" i="10"/>
  <c r="AB35" i="10"/>
  <c r="AB44" i="10"/>
  <c r="T209" i="6"/>
  <c r="V209" i="6" s="1"/>
  <c r="E18" i="10"/>
  <c r="M34" i="10"/>
  <c r="O33" i="10"/>
  <c r="G48" i="10"/>
  <c r="AB45" i="10"/>
  <c r="Y33" i="10"/>
  <c r="G32" i="10"/>
  <c r="G31" i="10"/>
  <c r="U37" i="10"/>
  <c r="AB47" i="10"/>
  <c r="AC32" i="10"/>
  <c r="AB48" i="10"/>
  <c r="AA48" i="10"/>
  <c r="G37" i="10"/>
  <c r="V48" i="10"/>
  <c r="Z46" i="10"/>
  <c r="Y46" i="10"/>
  <c r="V36" i="10"/>
  <c r="Z18" i="10"/>
  <c r="AA34" i="10"/>
  <c r="Y34" i="10"/>
  <c r="AB43" i="10"/>
  <c r="AB36" i="10"/>
  <c r="AC38" i="10"/>
  <c r="L37" i="10"/>
  <c r="R35" i="10"/>
  <c r="Y37" i="10"/>
  <c r="AA37" i="10"/>
  <c r="O35" i="10"/>
  <c r="K32" i="10"/>
  <c r="AC147" i="12"/>
  <c r="AE147" i="12" s="1"/>
  <c r="P40" i="15" s="1"/>
  <c r="AA111" i="12"/>
  <c r="AD111" i="12" s="1"/>
  <c r="AA123" i="12"/>
  <c r="AD123" i="12" s="1"/>
  <c r="U161" i="12"/>
  <c r="X161" i="12" s="1"/>
  <c r="U155" i="12"/>
  <c r="X155" i="12" s="1"/>
  <c r="U132" i="12"/>
  <c r="X132" i="12" s="1"/>
  <c r="U123" i="12"/>
  <c r="W123" i="12" s="1"/>
  <c r="AA118" i="12"/>
  <c r="AD118" i="12" s="1"/>
  <c r="U136" i="12"/>
  <c r="X136" i="12" s="1"/>
  <c r="O123" i="12"/>
  <c r="R123" i="12" s="1"/>
  <c r="O168" i="12"/>
  <c r="Q168" i="12" s="1"/>
  <c r="O161" i="12"/>
  <c r="R161" i="12" s="1"/>
  <c r="O155" i="12"/>
  <c r="R155" i="12" s="1"/>
  <c r="Z73" i="6"/>
  <c r="AB73" i="6" s="1"/>
  <c r="Z75" i="6"/>
  <c r="AC75" i="6" s="1"/>
  <c r="N73" i="6"/>
  <c r="P73" i="6" s="1"/>
  <c r="N10" i="6"/>
  <c r="P10" i="6" s="1"/>
  <c r="N3" i="6"/>
  <c r="P3" i="6" s="1"/>
  <c r="AE103" i="12"/>
  <c r="Y109" i="12"/>
  <c r="AB54" i="6"/>
  <c r="AD54" i="6" s="1"/>
  <c r="AC127" i="12"/>
  <c r="AD127" i="12"/>
  <c r="AB161" i="6"/>
  <c r="AB122" i="6"/>
  <c r="AB68" i="6"/>
  <c r="AD68" i="6" s="1"/>
  <c r="O179" i="12"/>
  <c r="R179" i="12" s="1"/>
  <c r="AB179" i="12"/>
  <c r="AA179" i="12" s="1"/>
  <c r="AC179" i="12" s="1"/>
  <c r="O175" i="12"/>
  <c r="AB175" i="12"/>
  <c r="AA175" i="12" s="1"/>
  <c r="AB47" i="6"/>
  <c r="AD47" i="6" s="1"/>
  <c r="P138" i="6"/>
  <c r="F11" i="10"/>
  <c r="L11" i="10"/>
  <c r="O12" i="10"/>
  <c r="D27" i="10"/>
  <c r="Y30" i="10"/>
  <c r="AA17" i="10"/>
  <c r="R22" i="10"/>
  <c r="S16" i="10"/>
  <c r="V14" i="10"/>
  <c r="Z15" i="10"/>
  <c r="AB22" i="10"/>
  <c r="V30" i="10"/>
  <c r="AC16" i="10"/>
  <c r="U15" i="10"/>
  <c r="H13" i="10"/>
  <c r="AC29" i="10"/>
  <c r="AA28" i="10"/>
  <c r="Y29" i="10"/>
  <c r="Y35" i="10"/>
  <c r="AA44" i="10"/>
  <c r="M38" i="10"/>
  <c r="Y45" i="10"/>
  <c r="Z32" i="10"/>
  <c r="U36" i="10"/>
  <c r="Y43" i="10"/>
  <c r="Z38" i="10"/>
  <c r="U35" i="10"/>
  <c r="AB12" i="10"/>
  <c r="M11" i="10"/>
  <c r="R11" i="10"/>
  <c r="Y10" i="10"/>
  <c r="O9" i="10"/>
  <c r="K11" i="10"/>
  <c r="AB9" i="10"/>
  <c r="AA12" i="10"/>
  <c r="S11" i="10"/>
  <c r="E11" i="10"/>
  <c r="N10" i="10"/>
  <c r="N9" i="10"/>
  <c r="K8" i="10"/>
  <c r="AC9" i="10"/>
  <c r="S8" i="10"/>
  <c r="E27" i="10"/>
  <c r="Y22" i="10"/>
  <c r="U30" i="10"/>
  <c r="O20" i="10"/>
  <c r="AB16" i="10"/>
  <c r="V17" i="10"/>
  <c r="AC13" i="10"/>
  <c r="L14" i="10"/>
  <c r="U21" i="10"/>
  <c r="R30" i="10"/>
  <c r="L19" i="10"/>
  <c r="M17" i="10"/>
  <c r="AA14" i="10"/>
  <c r="S15" i="10"/>
  <c r="R27" i="10"/>
  <c r="AC30" i="10"/>
  <c r="AB84" i="6"/>
  <c r="AD84" i="6" s="1"/>
  <c r="V16" i="10"/>
  <c r="Z17" i="10"/>
  <c r="Y17" i="10"/>
  <c r="M13" i="10"/>
  <c r="AA27" i="10"/>
  <c r="N27" i="10"/>
  <c r="AC21" i="10"/>
  <c r="K21" i="10"/>
  <c r="T20" i="10"/>
  <c r="N17" i="10"/>
  <c r="Z14" i="10"/>
  <c r="F14" i="10"/>
  <c r="AC15" i="10"/>
  <c r="H15" i="10"/>
  <c r="H29" i="10"/>
  <c r="L28" i="10"/>
  <c r="M29" i="10"/>
  <c r="D29" i="10"/>
  <c r="K28" i="10"/>
  <c r="Z31" i="10"/>
  <c r="O31" i="10"/>
  <c r="S29" i="10"/>
  <c r="Z28" i="10"/>
  <c r="R34" i="10"/>
  <c r="V32" i="10"/>
  <c r="R33" i="10"/>
  <c r="AC35" i="10"/>
  <c r="Y44" i="10"/>
  <c r="T200" i="6"/>
  <c r="V200" i="6" s="1"/>
  <c r="N36" i="10"/>
  <c r="G36" i="10"/>
  <c r="F36" i="10"/>
  <c r="L34" i="10"/>
  <c r="L33" i="10"/>
  <c r="H48" i="10"/>
  <c r="N38" i="10"/>
  <c r="AC45" i="10"/>
  <c r="Z45" i="10"/>
  <c r="AB33" i="10"/>
  <c r="N43" i="10"/>
  <c r="H35" i="10"/>
  <c r="Y18" i="10"/>
  <c r="Y47" i="10"/>
  <c r="Y32" i="10"/>
  <c r="Z48" i="10"/>
  <c r="D37" i="10"/>
  <c r="R48" i="10"/>
  <c r="AB46" i="10"/>
  <c r="T36" i="10"/>
  <c r="AC18" i="10"/>
  <c r="AC34" i="10"/>
  <c r="AA43" i="10"/>
  <c r="Z43" i="10"/>
  <c r="AC36" i="10"/>
  <c r="Y38" i="10"/>
  <c r="T224" i="6"/>
  <c r="V224" i="6" s="1"/>
  <c r="V180" i="6"/>
  <c r="S35" i="10"/>
  <c r="Z37" i="10"/>
  <c r="M35" i="10"/>
  <c r="O32" i="10"/>
  <c r="U183" i="12"/>
  <c r="W183" i="12" s="1"/>
  <c r="Q135" i="12"/>
  <c r="W160" i="12"/>
  <c r="AA114" i="12"/>
  <c r="AD114" i="12" s="1"/>
  <c r="AA155" i="12"/>
  <c r="AD155" i="12" s="1"/>
  <c r="AA148" i="12"/>
  <c r="AD148" i="12" s="1"/>
  <c r="AA125" i="12"/>
  <c r="AD125" i="12" s="1"/>
  <c r="U126" i="12"/>
  <c r="X126" i="12" s="1"/>
  <c r="AA119" i="12"/>
  <c r="AD119" i="12" s="1"/>
  <c r="U135" i="12"/>
  <c r="X135" i="12" s="1"/>
  <c r="O148" i="12"/>
  <c r="R148" i="12" s="1"/>
  <c r="Z74" i="6"/>
  <c r="AC74" i="6" s="1"/>
  <c r="U184" i="12"/>
  <c r="W184" i="12" s="1"/>
  <c r="T73" i="6"/>
  <c r="V73" i="6" s="1"/>
  <c r="Z35" i="6"/>
  <c r="AB35" i="6" s="1"/>
  <c r="Z34" i="6"/>
  <c r="AB34" i="6" s="1"/>
  <c r="N14" i="6"/>
  <c r="P14" i="6" s="1"/>
  <c r="N11" i="6"/>
  <c r="Q11" i="6" s="1"/>
  <c r="N5" i="6"/>
  <c r="P5" i="6" s="1"/>
  <c r="T22" i="10"/>
  <c r="M28" i="10"/>
  <c r="V89" i="6"/>
  <c r="X89" i="6" s="1"/>
  <c r="Q127" i="12"/>
  <c r="R127" i="12"/>
  <c r="O189" i="12"/>
  <c r="R189" i="12" s="1"/>
  <c r="AB189" i="12"/>
  <c r="AA189" i="12" s="1"/>
  <c r="AD189" i="12" s="1"/>
  <c r="X175" i="12"/>
  <c r="W175" i="12"/>
  <c r="V110" i="6"/>
  <c r="X110" i="6" s="1"/>
  <c r="AB187" i="12"/>
  <c r="AA187" i="12" s="1"/>
  <c r="O187" i="12"/>
  <c r="O174" i="12"/>
  <c r="Q174" i="12" s="1"/>
  <c r="AB174" i="12"/>
  <c r="AA174" i="12" s="1"/>
  <c r="AC174" i="12" s="1"/>
  <c r="P152" i="6"/>
  <c r="P89" i="6"/>
  <c r="AA11" i="10"/>
  <c r="O11" i="10"/>
  <c r="M10" i="10"/>
  <c r="L12" i="10"/>
  <c r="Z10" i="10"/>
  <c r="N8" i="10"/>
  <c r="AC12" i="10"/>
  <c r="U11" i="10"/>
  <c r="G11" i="10"/>
  <c r="Z9" i="10"/>
  <c r="M12" i="10"/>
  <c r="Y11" i="10"/>
  <c r="G27" i="10"/>
  <c r="O21" i="10"/>
  <c r="O30" i="10"/>
  <c r="Y20" i="10"/>
  <c r="U16" i="10"/>
  <c r="D16" i="10"/>
  <c r="N14" i="10"/>
  <c r="O27" i="10"/>
  <c r="H22" i="10"/>
  <c r="Y21" i="10"/>
  <c r="U20" i="10"/>
  <c r="Y19" i="10"/>
  <c r="AC14" i="10"/>
  <c r="D14" i="10"/>
  <c r="M15" i="10"/>
  <c r="L27" i="10"/>
  <c r="Z22" i="10"/>
  <c r="K22" i="10"/>
  <c r="H21" i="10"/>
  <c r="AA20" i="10"/>
  <c r="AA16" i="10"/>
  <c r="N16" i="10"/>
  <c r="AB17" i="10"/>
  <c r="Z13" i="10"/>
  <c r="O13" i="10"/>
  <c r="Y14" i="10"/>
  <c r="AC27" i="10"/>
  <c r="K27" i="10"/>
  <c r="O19" i="10"/>
  <c r="AB14" i="10"/>
  <c r="L15" i="10"/>
  <c r="R15" i="10"/>
  <c r="H31" i="10"/>
  <c r="AA31" i="10"/>
  <c r="E29" i="10"/>
  <c r="H28" i="10"/>
  <c r="E31" i="10"/>
  <c r="O29" i="10"/>
  <c r="T28" i="10"/>
  <c r="Y31" i="10"/>
  <c r="AB28" i="10"/>
  <c r="U34" i="10"/>
  <c r="Z35" i="10"/>
  <c r="AA35" i="10"/>
  <c r="AC44" i="10"/>
  <c r="T210" i="6"/>
  <c r="V210" i="6" s="1"/>
  <c r="M36" i="10"/>
  <c r="L36" i="10"/>
  <c r="H34" i="10"/>
  <c r="G33" i="10"/>
  <c r="E48" i="10"/>
  <c r="AA45" i="10"/>
  <c r="AA33" i="10"/>
  <c r="Z33" i="10"/>
  <c r="E32" i="10"/>
  <c r="R37" i="10"/>
  <c r="T37" i="10"/>
  <c r="AC47" i="10"/>
  <c r="AB31" i="10"/>
  <c r="AB32" i="10"/>
  <c r="Y48" i="10"/>
  <c r="F37" i="10"/>
  <c r="U48" i="10"/>
  <c r="AC46" i="10"/>
  <c r="S36" i="10"/>
  <c r="AA18" i="10"/>
  <c r="AB34" i="10"/>
  <c r="AC43" i="10"/>
  <c r="Y36" i="10"/>
  <c r="AA36" i="10"/>
  <c r="AB38" i="10"/>
  <c r="O37" i="10"/>
  <c r="V35" i="10"/>
  <c r="AB37" i="10"/>
  <c r="N35" i="10"/>
  <c r="L32" i="10"/>
  <c r="Z203" i="6"/>
  <c r="AB203" i="6" s="1"/>
  <c r="O120" i="12"/>
  <c r="R120" i="12" s="1"/>
  <c r="U150" i="12"/>
  <c r="X150" i="12" s="1"/>
  <c r="U144" i="12"/>
  <c r="X144" i="12" s="1"/>
  <c r="Z76" i="6"/>
  <c r="AC76" i="6" s="1"/>
  <c r="N77" i="6"/>
  <c r="Q77" i="6" s="1"/>
  <c r="AW113" i="12"/>
  <c r="P112" i="12"/>
  <c r="O112" i="12" s="1"/>
  <c r="P113" i="12"/>
  <c r="O113" i="12" s="1"/>
  <c r="R113" i="12" s="1"/>
  <c r="Z33" i="6"/>
  <c r="AB33" i="6" s="1"/>
  <c r="N13" i="6"/>
  <c r="P13" i="6" s="1"/>
  <c r="N7" i="6"/>
  <c r="P7" i="6" s="1"/>
  <c r="Y127" i="12"/>
  <c r="Y8" i="10"/>
  <c r="AD8" i="10" s="1"/>
  <c r="AC109" i="12"/>
  <c r="AD109" i="12"/>
  <c r="AB40" i="6"/>
  <c r="AD40" i="6" s="1"/>
  <c r="AB95" i="6"/>
  <c r="AD95" i="6" s="1"/>
  <c r="AD193" i="12"/>
  <c r="AC193" i="12"/>
  <c r="AB178" i="12"/>
  <c r="AA178" i="12" s="1"/>
  <c r="AD178" i="12" s="1"/>
  <c r="O178" i="12"/>
  <c r="R178" i="12" s="1"/>
  <c r="AB118" i="6"/>
  <c r="AD118" i="6" s="1"/>
  <c r="AB12" i="6"/>
  <c r="AD12" i="6" s="1"/>
  <c r="P145" i="6"/>
  <c r="U71" i="12"/>
  <c r="X71" i="12" s="1"/>
  <c r="U94" i="12"/>
  <c r="X94" i="12" s="1"/>
  <c r="AA72" i="12"/>
  <c r="AD72" i="12" s="1"/>
  <c r="O66" i="12"/>
  <c r="R66" i="12" s="1"/>
  <c r="O96" i="12"/>
  <c r="R96" i="12" s="1"/>
  <c r="U64" i="12"/>
  <c r="X64" i="12" s="1"/>
  <c r="AA99" i="12"/>
  <c r="AD99" i="12" s="1"/>
  <c r="O51" i="12"/>
  <c r="R51" i="12" s="1"/>
  <c r="S103" i="12"/>
  <c r="O69" i="12"/>
  <c r="R69" i="12" s="1"/>
  <c r="AA58" i="12"/>
  <c r="AC58" i="12" s="1"/>
  <c r="AA69" i="12"/>
  <c r="AD69" i="12" s="1"/>
  <c r="O93" i="12"/>
  <c r="R93" i="12" s="1"/>
  <c r="U65" i="12"/>
  <c r="W65" i="12" s="1"/>
  <c r="U51" i="12"/>
  <c r="X51" i="12" s="1"/>
  <c r="U58" i="12"/>
  <c r="W58" i="12" s="1"/>
  <c r="AA101" i="12"/>
  <c r="AD101" i="12" s="1"/>
  <c r="AA94" i="12"/>
  <c r="AD94" i="12" s="1"/>
  <c r="O70" i="12"/>
  <c r="R70" i="12" s="1"/>
  <c r="AA60" i="12"/>
  <c r="AC60" i="12" s="1"/>
  <c r="U28" i="12"/>
  <c r="X28" i="12" s="1"/>
  <c r="U70" i="12"/>
  <c r="W70" i="12" s="1"/>
  <c r="U93" i="12"/>
  <c r="X93" i="12" s="1"/>
  <c r="O60" i="12"/>
  <c r="Q60" i="12" s="1"/>
  <c r="U60" i="12"/>
  <c r="W60" i="12" s="1"/>
  <c r="AA96" i="12"/>
  <c r="AD96" i="12" s="1"/>
  <c r="AA59" i="12"/>
  <c r="AD59" i="12" s="1"/>
  <c r="U95" i="12"/>
  <c r="X95" i="12" s="1"/>
  <c r="O94" i="12"/>
  <c r="R94" i="12" s="1"/>
  <c r="U59" i="12"/>
  <c r="W59" i="12" s="1"/>
  <c r="AA100" i="12"/>
  <c r="AD100" i="12" s="1"/>
  <c r="AB5" i="6"/>
  <c r="AD5" i="6" s="1"/>
  <c r="Q199" i="6"/>
  <c r="P199" i="6"/>
  <c r="N20" i="6"/>
  <c r="P20" i="6" s="1"/>
  <c r="V5" i="6"/>
  <c r="X5" i="6" s="1"/>
  <c r="N21" i="6"/>
  <c r="P21" i="6" s="1"/>
  <c r="AY111" i="12"/>
  <c r="V113" i="12"/>
  <c r="Y191" i="12"/>
  <c r="L52" i="15" s="1"/>
  <c r="Y186" i="12"/>
  <c r="M51" i="15" s="1"/>
  <c r="AY112" i="12"/>
  <c r="AY114" i="12"/>
  <c r="AY113" i="12"/>
  <c r="AB83" i="6"/>
  <c r="AD83" i="6" s="1"/>
  <c r="P18" i="6"/>
  <c r="Q117" i="12"/>
  <c r="BA53" i="6"/>
  <c r="W147" i="12"/>
  <c r="Y147" i="12" s="1"/>
  <c r="J40" i="15" s="1"/>
  <c r="R160" i="12"/>
  <c r="Q106" i="12"/>
  <c r="AC136" i="12"/>
  <c r="AE136" i="12" s="1"/>
  <c r="Q38" i="15" s="1"/>
  <c r="V60" i="6"/>
  <c r="X60" i="6" s="1"/>
  <c r="P82" i="6"/>
  <c r="V59" i="6"/>
  <c r="X59" i="6" s="1"/>
  <c r="AW111" i="12"/>
  <c r="Q64" i="12"/>
  <c r="Q102" i="12"/>
  <c r="V76" i="6"/>
  <c r="X76" i="6" s="1"/>
  <c r="AW112" i="12"/>
  <c r="P60" i="6"/>
  <c r="AW114" i="12"/>
  <c r="BA21" i="6"/>
  <c r="AC63" i="12"/>
  <c r="AE63" i="12" s="1"/>
  <c r="P21" i="15" s="1"/>
  <c r="BB174" i="12"/>
  <c r="W156" i="12"/>
  <c r="Y156" i="12" s="1"/>
  <c r="M41" i="15" s="1"/>
  <c r="AD160" i="12"/>
  <c r="AE160" i="12" s="1"/>
  <c r="Q42" i="15" s="1"/>
  <c r="P75" i="6"/>
  <c r="Q124" i="12"/>
  <c r="W149" i="12"/>
  <c r="V111" i="12"/>
  <c r="W108" i="12"/>
  <c r="Y108" i="12" s="1"/>
  <c r="M33" i="15" s="1"/>
  <c r="AC143" i="12"/>
  <c r="AE143" i="12" s="1"/>
  <c r="R39" i="15" s="1"/>
  <c r="R63" i="12"/>
  <c r="BG18" i="12"/>
  <c r="AE39" i="12"/>
  <c r="P17" i="15" s="1"/>
  <c r="Q24" i="12"/>
  <c r="W21" i="12"/>
  <c r="Y21" i="12" s="1"/>
  <c r="J14" i="15" s="1"/>
  <c r="N14" i="15" s="1"/>
  <c r="AC137" i="12"/>
  <c r="AE137" i="12" s="1"/>
  <c r="R38" i="15" s="1"/>
  <c r="Q131" i="12"/>
  <c r="W141" i="12"/>
  <c r="Y141" i="12" s="1"/>
  <c r="J39" i="15" s="1"/>
  <c r="W168" i="12"/>
  <c r="Y168" i="12" s="1"/>
  <c r="AC106" i="12"/>
  <c r="AE106" i="12" s="1"/>
  <c r="Q33" i="15" s="1"/>
  <c r="AB80" i="6"/>
  <c r="AD80" i="6" s="1"/>
  <c r="V83" i="6"/>
  <c r="X83" i="6" s="1"/>
  <c r="Q144" i="12"/>
  <c r="Q129" i="12"/>
  <c r="AC112" i="12"/>
  <c r="AE112" i="12" s="1"/>
  <c r="Q34" i="15" s="1"/>
  <c r="AC153" i="12"/>
  <c r="AE153" i="12" s="1"/>
  <c r="P41" i="15" s="1"/>
  <c r="AC159" i="12"/>
  <c r="AE159" i="12" s="1"/>
  <c r="P42" i="15" s="1"/>
  <c r="AC93" i="12"/>
  <c r="AE93" i="12" s="1"/>
  <c r="P31" i="15" s="1"/>
  <c r="W148" i="12"/>
  <c r="Y148" i="12" s="1"/>
  <c r="K40" i="15" s="1"/>
  <c r="P81" i="6"/>
  <c r="Q105" i="12"/>
  <c r="W117" i="12"/>
  <c r="Y117" i="12" s="1"/>
  <c r="J35" i="15" s="1"/>
  <c r="X52" i="6"/>
  <c r="AB59" i="6"/>
  <c r="AD59" i="6" s="1"/>
  <c r="AD180" i="12"/>
  <c r="AE180" i="12" s="1"/>
  <c r="S50" i="15" s="1"/>
  <c r="Q150" i="12"/>
  <c r="W138" i="12"/>
  <c r="Y138" i="12" s="1"/>
  <c r="M38" i="15" s="1"/>
  <c r="Q99" i="12"/>
  <c r="Y143" i="12"/>
  <c r="L39" i="15" s="1"/>
  <c r="AC95" i="12"/>
  <c r="AE95" i="12" s="1"/>
  <c r="V82" i="6"/>
  <c r="X82" i="6" s="1"/>
  <c r="W131" i="12"/>
  <c r="Y131" i="12" s="1"/>
  <c r="L37" i="15" s="1"/>
  <c r="Q156" i="12"/>
  <c r="P80" i="6"/>
  <c r="Q107" i="12"/>
  <c r="W107" i="12"/>
  <c r="Y107" i="12" s="1"/>
  <c r="L33" i="15" s="1"/>
  <c r="W159" i="12"/>
  <c r="Y159" i="12" s="1"/>
  <c r="J42" i="15" s="1"/>
  <c r="AE53" i="12"/>
  <c r="R19" i="15" s="1"/>
  <c r="AC70" i="12"/>
  <c r="AE70" i="12" s="1"/>
  <c r="Q22" i="15" s="1"/>
  <c r="AC18" i="12"/>
  <c r="AE18" i="12" s="1"/>
  <c r="S13" i="15" s="1"/>
  <c r="Q95" i="12"/>
  <c r="Q65" i="12"/>
  <c r="W29" i="12"/>
  <c r="Y29" i="12" s="1"/>
  <c r="L15" i="15" s="1"/>
  <c r="AI18" i="12"/>
  <c r="Y13" i="15" s="1"/>
  <c r="BC15" i="12"/>
  <c r="W69" i="12"/>
  <c r="Y69" i="12" s="1"/>
  <c r="J22" i="15" s="1"/>
  <c r="S48" i="12"/>
  <c r="Q119" i="12"/>
  <c r="W100" i="12"/>
  <c r="Y100" i="12" s="1"/>
  <c r="K32" i="15" s="1"/>
  <c r="Q100" i="12"/>
  <c r="W47" i="12"/>
  <c r="Y47" i="12" s="1"/>
  <c r="L18" i="15" s="1"/>
  <c r="AY28" i="12"/>
  <c r="Y42" i="12"/>
  <c r="M17" i="15" s="1"/>
  <c r="W63" i="12"/>
  <c r="Y63" i="12" s="1"/>
  <c r="J21" i="15" s="1"/>
  <c r="AC42" i="12"/>
  <c r="AE42" i="12" s="1"/>
  <c r="S17" i="15" s="1"/>
  <c r="Q71" i="12"/>
  <c r="Q29" i="12"/>
  <c r="AC129" i="12"/>
  <c r="AE129" i="12" s="1"/>
  <c r="P37" i="15" s="1"/>
  <c r="Q142" i="12"/>
  <c r="Q132" i="12"/>
  <c r="W137" i="12"/>
  <c r="Y137" i="12" s="1"/>
  <c r="L38" i="15" s="1"/>
  <c r="W129" i="12"/>
  <c r="Y129" i="12" s="1"/>
  <c r="J37" i="15" s="1"/>
  <c r="S39" i="12"/>
  <c r="W45" i="12"/>
  <c r="Y45" i="12" s="1"/>
  <c r="J18" i="15" s="1"/>
  <c r="Y39" i="12"/>
  <c r="J17" i="15" s="1"/>
  <c r="AW30" i="12"/>
  <c r="Q108" i="12"/>
  <c r="W120" i="12"/>
  <c r="Y120" i="12" s="1"/>
  <c r="M35" i="15" s="1"/>
  <c r="AC144" i="12"/>
  <c r="AE144" i="12" s="1"/>
  <c r="S39" i="15" s="1"/>
  <c r="W27" i="12"/>
  <c r="Y27" i="12" s="1"/>
  <c r="J15" i="15" s="1"/>
  <c r="Q21" i="12"/>
  <c r="Q46" i="12"/>
  <c r="AC27" i="12"/>
  <c r="AE27" i="12" s="1"/>
  <c r="P15" i="15" s="1"/>
  <c r="AE54" i="12"/>
  <c r="S19" i="15" s="1"/>
  <c r="AW23" i="12"/>
  <c r="R52" i="6"/>
  <c r="AB82" i="6"/>
  <c r="AD82" i="6" s="1"/>
  <c r="V80" i="6"/>
  <c r="X80" i="6" s="1"/>
  <c r="X165" i="12"/>
  <c r="Y165" i="12" s="1"/>
  <c r="J48" i="15" s="1"/>
  <c r="Q137" i="12"/>
  <c r="AE48" i="12"/>
  <c r="S18" i="15" s="1"/>
  <c r="AW28" i="12"/>
  <c r="W99" i="12"/>
  <c r="Y99" i="12" s="1"/>
  <c r="J32" i="15" s="1"/>
  <c r="Q58" i="12"/>
  <c r="AY24" i="12"/>
  <c r="Q59" i="12"/>
  <c r="Q141" i="12"/>
  <c r="BB124" i="12"/>
  <c r="AW16" i="12"/>
  <c r="AW17" i="12"/>
  <c r="Q22" i="12"/>
  <c r="Q118" i="12"/>
  <c r="Q125" i="12"/>
  <c r="S54" i="12"/>
  <c r="W52" i="12"/>
  <c r="Y52" i="12" s="1"/>
  <c r="K19" i="15" s="1"/>
  <c r="AC64" i="12"/>
  <c r="AE64" i="12" s="1"/>
  <c r="Q21" i="15" s="1"/>
  <c r="V75" i="6"/>
  <c r="X75" i="6" s="1"/>
  <c r="Q153" i="12"/>
  <c r="Y124" i="12"/>
  <c r="K36" i="15" s="1"/>
  <c r="W96" i="12"/>
  <c r="Y96" i="12" s="1"/>
  <c r="M31" i="15" s="1"/>
  <c r="Y40" i="12"/>
  <c r="K17" i="15" s="1"/>
  <c r="Q27" i="12"/>
  <c r="BB189" i="12"/>
  <c r="Y160" i="12"/>
  <c r="K42" i="15" s="1"/>
  <c r="Q136" i="12"/>
  <c r="W105" i="12"/>
  <c r="Y105" i="12" s="1"/>
  <c r="J33" i="15" s="1"/>
  <c r="AC131" i="12"/>
  <c r="AE131" i="12" s="1"/>
  <c r="R37" i="15" s="1"/>
  <c r="Y118" i="12"/>
  <c r="K35" i="15" s="1"/>
  <c r="P84" i="6"/>
  <c r="Q159" i="12"/>
  <c r="W154" i="12"/>
  <c r="Y154" i="12" s="1"/>
  <c r="K41" i="15" s="1"/>
  <c r="AC113" i="12"/>
  <c r="AE113" i="12" s="1"/>
  <c r="R34" i="15" s="1"/>
  <c r="S41" i="12"/>
  <c r="Q101" i="12"/>
  <c r="AC107" i="12"/>
  <c r="AE107" i="12" s="1"/>
  <c r="R33" i="15" s="1"/>
  <c r="AY18" i="12"/>
  <c r="P114" i="12"/>
  <c r="O114" i="12" s="1"/>
  <c r="AY23" i="12"/>
  <c r="P111" i="12"/>
  <c r="AE47" i="12"/>
  <c r="R18" i="15" s="1"/>
  <c r="AC102" i="12"/>
  <c r="AE102" i="12" s="1"/>
  <c r="S32" i="15" s="1"/>
  <c r="Q154" i="12"/>
  <c r="AB19" i="6"/>
  <c r="AA20" i="6"/>
  <c r="Z20" i="6" s="1"/>
  <c r="AC20" i="6" s="1"/>
  <c r="AA21" i="6"/>
  <c r="AA18" i="6"/>
  <c r="AC18" i="6" s="1"/>
  <c r="AD18" i="6" s="1"/>
  <c r="AA17" i="6"/>
  <c r="Z17" i="6" s="1"/>
  <c r="AC17" i="6" s="1"/>
  <c r="AA19" i="6"/>
  <c r="AC19" i="6" s="1"/>
  <c r="AB81" i="6"/>
  <c r="AD81" i="6" s="1"/>
  <c r="P17" i="6"/>
  <c r="Q17" i="6"/>
  <c r="AE57" i="12"/>
  <c r="P20" i="15" s="1"/>
  <c r="AC150" i="12"/>
  <c r="AE150" i="12" s="1"/>
  <c r="S40" i="15" s="1"/>
  <c r="U172" i="12"/>
  <c r="W172" i="12" s="1"/>
  <c r="Q143" i="12"/>
  <c r="AC142" i="12"/>
  <c r="AE142" i="12" s="1"/>
  <c r="Q39" i="15" s="1"/>
  <c r="W130" i="12"/>
  <c r="Y130" i="12" s="1"/>
  <c r="K37" i="15" s="1"/>
  <c r="Q126" i="12"/>
  <c r="W106" i="12"/>
  <c r="Y106" i="12" s="1"/>
  <c r="K33" i="15" s="1"/>
  <c r="AC105" i="12"/>
  <c r="AE105" i="12" s="1"/>
  <c r="P33" i="15" s="1"/>
  <c r="BB69" i="12"/>
  <c r="W46" i="12"/>
  <c r="Y46" i="12" s="1"/>
  <c r="K18" i="15" s="1"/>
  <c r="Q45" i="12"/>
  <c r="AC15" i="12"/>
  <c r="AE15" i="12" s="1"/>
  <c r="P13" i="15" s="1"/>
  <c r="W66" i="12"/>
  <c r="Y66" i="12" s="1"/>
  <c r="M21" i="15" s="1"/>
  <c r="BB59" i="12"/>
  <c r="AE41" i="12"/>
  <c r="R17" i="15" s="1"/>
  <c r="AC17" i="12"/>
  <c r="AE17" i="12" s="1"/>
  <c r="R13" i="15" s="1"/>
  <c r="AY22" i="12"/>
  <c r="AY30" i="12"/>
  <c r="AY15" i="12"/>
  <c r="AW22" i="12"/>
  <c r="AW24" i="12"/>
  <c r="W142" i="12"/>
  <c r="Y142" i="12" s="1"/>
  <c r="K39" i="15" s="1"/>
  <c r="AE29" i="12"/>
  <c r="R15" i="15" s="1"/>
  <c r="AC126" i="12"/>
  <c r="AE126" i="12" s="1"/>
  <c r="S36" i="15" s="1"/>
  <c r="AY17" i="12"/>
  <c r="AC132" i="12"/>
  <c r="AE132" i="12" s="1"/>
  <c r="S37" i="15" s="1"/>
  <c r="Q138" i="12"/>
  <c r="S53" i="12"/>
  <c r="AC120" i="12"/>
  <c r="AE120" i="12" s="1"/>
  <c r="S35" i="15" s="1"/>
  <c r="AE40" i="12"/>
  <c r="Q17" i="15" s="1"/>
  <c r="AC156" i="12"/>
  <c r="AE156" i="12" s="1"/>
  <c r="S41" i="15" s="1"/>
  <c r="AC154" i="12"/>
  <c r="AE154" i="12" s="1"/>
  <c r="Q41" i="15" s="1"/>
  <c r="Q130" i="12"/>
  <c r="AC46" i="12"/>
  <c r="AE46" i="12" s="1"/>
  <c r="Q18" i="15" s="1"/>
  <c r="AC45" i="12"/>
  <c r="AE45" i="12" s="1"/>
  <c r="P18" i="15" s="1"/>
  <c r="AY29" i="12"/>
  <c r="BB29" i="12" s="1"/>
  <c r="AW15" i="12"/>
  <c r="AC130" i="12"/>
  <c r="AE130" i="12" s="1"/>
  <c r="Q37" i="15" s="1"/>
  <c r="Q52" i="12"/>
  <c r="AC59" i="12"/>
  <c r="AC141" i="12"/>
  <c r="AE141" i="12" s="1"/>
  <c r="P39" i="15" s="1"/>
  <c r="AC138" i="12"/>
  <c r="AE138" i="12" s="1"/>
  <c r="S38" i="15" s="1"/>
  <c r="AI16" i="12"/>
  <c r="W13" i="15" s="1"/>
  <c r="BG16" i="12"/>
  <c r="BF18" i="12"/>
  <c r="BC18" i="12"/>
  <c r="W72" i="12"/>
  <c r="Y72" i="12" s="1"/>
  <c r="M22" i="15" s="1"/>
  <c r="BC17" i="12"/>
  <c r="AI15" i="12"/>
  <c r="V13" i="15" s="1"/>
  <c r="W102" i="12"/>
  <c r="Y102" i="12" s="1"/>
  <c r="M32" i="15" s="1"/>
  <c r="AC65" i="12"/>
  <c r="AE65" i="12" s="1"/>
  <c r="R21" i="15" s="1"/>
  <c r="AC52" i="12"/>
  <c r="AE52" i="12" s="1"/>
  <c r="Q19" i="15" s="1"/>
  <c r="AC51" i="12"/>
  <c r="AE51" i="12" s="1"/>
  <c r="P19" i="15" s="1"/>
  <c r="AC71" i="12"/>
  <c r="AE71" i="12" s="1"/>
  <c r="R22" i="15" s="1"/>
  <c r="S42" i="12"/>
  <c r="AI17" i="12"/>
  <c r="X13" i="15" s="1"/>
  <c r="Y41" i="12"/>
  <c r="L17" i="15" s="1"/>
  <c r="S40" i="12"/>
  <c r="BF16" i="12"/>
  <c r="Q28" i="12"/>
  <c r="Y54" i="12"/>
  <c r="M19" i="15" s="1"/>
  <c r="Y57" i="12"/>
  <c r="J20" i="15" s="1"/>
  <c r="AY16" i="12"/>
  <c r="V18" i="12"/>
  <c r="X18" i="12" s="1"/>
  <c r="Y18" i="12" s="1"/>
  <c r="M13" i="15" s="1"/>
  <c r="V16" i="12"/>
  <c r="U16" i="12" s="1"/>
  <c r="V15" i="12"/>
  <c r="U15" i="12" s="1"/>
  <c r="V17" i="12"/>
  <c r="U17" i="12" s="1"/>
  <c r="Q30" i="12"/>
  <c r="Y53" i="12"/>
  <c r="L19" i="15" s="1"/>
  <c r="AC28" i="12"/>
  <c r="AE28" i="12" s="1"/>
  <c r="Q15" i="15" s="1"/>
  <c r="BG17" i="12"/>
  <c r="Q72" i="12"/>
  <c r="BF15" i="12"/>
  <c r="W30" i="12"/>
  <c r="Y30" i="12" s="1"/>
  <c r="M15" i="15" s="1"/>
  <c r="AC66" i="12"/>
  <c r="AE66" i="12" s="1"/>
  <c r="S21" i="15" s="1"/>
  <c r="Y48" i="12"/>
  <c r="M18" i="15" s="1"/>
  <c r="Q47" i="12"/>
  <c r="BG15" i="12"/>
  <c r="AC30" i="12"/>
  <c r="AE30" i="12" s="1"/>
  <c r="S15" i="15" s="1"/>
  <c r="BC16" i="12"/>
  <c r="S57" i="12"/>
  <c r="P18" i="12"/>
  <c r="O18" i="12" s="1"/>
  <c r="P17" i="12"/>
  <c r="O17" i="12" s="1"/>
  <c r="P16" i="12"/>
  <c r="O16" i="12" s="1"/>
  <c r="P15" i="12"/>
  <c r="O15" i="12" s="1"/>
  <c r="R15" i="12" s="1"/>
  <c r="W101" i="12"/>
  <c r="Y101" i="12" s="1"/>
  <c r="L32" i="15" s="1"/>
  <c r="AC16" i="12"/>
  <c r="AE16" i="12" s="1"/>
  <c r="Q13" i="15" s="1"/>
  <c r="Q23" i="12"/>
  <c r="AW18" i="12"/>
  <c r="BB63" i="12"/>
  <c r="BB96" i="12"/>
  <c r="BB4" i="12"/>
  <c r="BB27" i="12"/>
  <c r="BB141" i="12"/>
  <c r="BB129" i="12"/>
  <c r="BB179" i="12"/>
  <c r="BA217" i="6"/>
  <c r="BB160" i="12"/>
  <c r="BB117" i="12"/>
  <c r="AB200" i="6"/>
  <c r="AD200" i="6" s="1"/>
  <c r="Q183" i="12"/>
  <c r="BB148" i="12"/>
  <c r="Q185" i="12"/>
  <c r="Y178" i="12"/>
  <c r="K50" i="15" s="1"/>
  <c r="AC185" i="12"/>
  <c r="AE185" i="12" s="1"/>
  <c r="R51" i="15" s="1"/>
  <c r="BB149" i="12"/>
  <c r="BA119" i="6"/>
  <c r="BA215" i="6"/>
  <c r="BB123" i="12"/>
  <c r="BB184" i="12"/>
  <c r="Y195" i="12"/>
  <c r="BB192" i="12"/>
  <c r="BB147" i="12"/>
  <c r="BB136" i="12"/>
  <c r="BB95" i="12"/>
  <c r="BB143" i="12"/>
  <c r="BB106" i="12"/>
  <c r="BB41" i="12"/>
  <c r="R180" i="12"/>
  <c r="BB196" i="12"/>
  <c r="BB119" i="12"/>
  <c r="BB102" i="12"/>
  <c r="BA125" i="6"/>
  <c r="BB64" i="12"/>
  <c r="BB142" i="12"/>
  <c r="BB77" i="12"/>
  <c r="BA146" i="6"/>
  <c r="BB183" i="12"/>
  <c r="AB201" i="6"/>
  <c r="AD201" i="6" s="1"/>
  <c r="BB120" i="12"/>
  <c r="BB191" i="12"/>
  <c r="BB137" i="12"/>
  <c r="BB105" i="12"/>
  <c r="BB126" i="12"/>
  <c r="Q206" i="6"/>
  <c r="AC199" i="6"/>
  <c r="AD199" i="6" s="1"/>
  <c r="Y190" i="12"/>
  <c r="K52" i="15" s="1"/>
  <c r="BB168" i="12"/>
  <c r="BB171" i="12"/>
  <c r="BB161" i="12"/>
  <c r="BB70" i="12"/>
  <c r="BB46" i="12"/>
  <c r="BB144" i="12"/>
  <c r="R166" i="12"/>
  <c r="BB150" i="12"/>
  <c r="BB138" i="12"/>
  <c r="BB107" i="12"/>
  <c r="BB87" i="12"/>
  <c r="BB51" i="12"/>
  <c r="Y166" i="12"/>
  <c r="K48" i="15" s="1"/>
  <c r="Y198" i="12"/>
  <c r="BQ198" i="12" s="1"/>
  <c r="Y196" i="12"/>
  <c r="BB177" i="12"/>
  <c r="BB75" i="12"/>
  <c r="BB132" i="12"/>
  <c r="R200" i="6"/>
  <c r="BB186" i="12"/>
  <c r="BB131" i="12"/>
  <c r="BB130" i="12"/>
  <c r="BB76" i="12"/>
  <c r="BB81" i="12"/>
  <c r="BB166" i="12"/>
  <c r="BB185" i="12"/>
  <c r="BB99" i="12"/>
  <c r="BB12" i="12"/>
  <c r="BB173" i="12"/>
  <c r="BB135" i="12"/>
  <c r="BB165" i="12"/>
  <c r="AJ3" i="6"/>
  <c r="E2" i="10"/>
  <c r="AD217" i="6"/>
  <c r="X193" i="6"/>
  <c r="R186" i="6"/>
  <c r="R210" i="6"/>
  <c r="BA7" i="6"/>
  <c r="X192" i="6"/>
  <c r="X229" i="6"/>
  <c r="Y197" i="12"/>
  <c r="BQ197" i="12" s="1"/>
  <c r="BB94" i="12"/>
  <c r="BB101" i="12"/>
  <c r="BB34" i="12"/>
  <c r="BB172" i="12"/>
  <c r="Y174" i="12"/>
  <c r="M49" i="15" s="1"/>
  <c r="BB21" i="12"/>
  <c r="Q165" i="12"/>
  <c r="R165" i="12"/>
  <c r="BB178" i="12"/>
  <c r="BB198" i="12"/>
  <c r="Y167" i="12"/>
  <c r="L48" i="15" s="1"/>
  <c r="BB167" i="12"/>
  <c r="BB9" i="12"/>
  <c r="R162" i="12"/>
  <c r="Q162" i="12"/>
  <c r="BB118" i="12"/>
  <c r="Q189" i="12"/>
  <c r="R190" i="12"/>
  <c r="Q190" i="12"/>
  <c r="S186" i="12"/>
  <c r="Q172" i="12"/>
  <c r="R172" i="12"/>
  <c r="AD168" i="12"/>
  <c r="AC168" i="12"/>
  <c r="AD173" i="12"/>
  <c r="AC173" i="12"/>
  <c r="AD162" i="12"/>
  <c r="AC162" i="12"/>
  <c r="BB153" i="12"/>
  <c r="BB83" i="12"/>
  <c r="BB54" i="12"/>
  <c r="BB58" i="12"/>
  <c r="BB45" i="12"/>
  <c r="BB78" i="12"/>
  <c r="BB71" i="12"/>
  <c r="BB53" i="12"/>
  <c r="BB52" i="12"/>
  <c r="BB11" i="12"/>
  <c r="AC184" i="12"/>
  <c r="AD184" i="12"/>
  <c r="BB195" i="12"/>
  <c r="AC186" i="12"/>
  <c r="AD186" i="12"/>
  <c r="BB190" i="12"/>
  <c r="AD192" i="12"/>
  <c r="AC192" i="12"/>
  <c r="Q171" i="12"/>
  <c r="R171" i="12"/>
  <c r="Y185" i="12"/>
  <c r="L51" i="15" s="1"/>
  <c r="AC161" i="12"/>
  <c r="AD161" i="12"/>
  <c r="BB154" i="12"/>
  <c r="BB108" i="12"/>
  <c r="BB93" i="12"/>
  <c r="BB90" i="12"/>
  <c r="BB66" i="12"/>
  <c r="BB42" i="12"/>
  <c r="BB57" i="12"/>
  <c r="BB36" i="12"/>
  <c r="BB10" i="12"/>
  <c r="BB197" i="12"/>
  <c r="AC183" i="12"/>
  <c r="AD183" i="12"/>
  <c r="Q167" i="12"/>
  <c r="R167" i="12"/>
  <c r="Q192" i="12"/>
  <c r="R192" i="12"/>
  <c r="AD190" i="12"/>
  <c r="AC190" i="12"/>
  <c r="R173" i="12"/>
  <c r="Q173" i="12"/>
  <c r="Y171" i="12"/>
  <c r="J49" i="15" s="1"/>
  <c r="AD166" i="12"/>
  <c r="AC166" i="12"/>
  <c r="AD167" i="12"/>
  <c r="AC167" i="12"/>
  <c r="AD171" i="12"/>
  <c r="AC171" i="12"/>
  <c r="BB155" i="12"/>
  <c r="BB100" i="12"/>
  <c r="BB125" i="12"/>
  <c r="BB82" i="12"/>
  <c r="BB33" i="12"/>
  <c r="BB65" i="12"/>
  <c r="BB48" i="12"/>
  <c r="BB72" i="12"/>
  <c r="BB40" i="12"/>
  <c r="BB39" i="12"/>
  <c r="BB5" i="12"/>
  <c r="BB3" i="12"/>
  <c r="Q184" i="12"/>
  <c r="R184" i="12"/>
  <c r="BB180" i="12"/>
  <c r="R191" i="12"/>
  <c r="Q191" i="12"/>
  <c r="AC191" i="12"/>
  <c r="AD191" i="12"/>
  <c r="BB162" i="12"/>
  <c r="BB159" i="12"/>
  <c r="AD165" i="12"/>
  <c r="AC165" i="12"/>
  <c r="AD172" i="12"/>
  <c r="AC172" i="12"/>
  <c r="AD174" i="12"/>
  <c r="BB156" i="12"/>
  <c r="BB89" i="12"/>
  <c r="BB88" i="12"/>
  <c r="BB60" i="12"/>
  <c r="BB35" i="12"/>
  <c r="BB47" i="12"/>
  <c r="P208" i="6"/>
  <c r="Q208" i="6"/>
  <c r="AB220" i="6"/>
  <c r="AC220" i="6"/>
  <c r="X217" i="6"/>
  <c r="Q209" i="6"/>
  <c r="P209" i="6"/>
  <c r="P222" i="6"/>
  <c r="Q222" i="6"/>
  <c r="AC195" i="6"/>
  <c r="AB195" i="6"/>
  <c r="AB207" i="6"/>
  <c r="AC207" i="6"/>
  <c r="AB216" i="6"/>
  <c r="AC216" i="6"/>
  <c r="Q214" i="6"/>
  <c r="P214" i="6"/>
  <c r="Q194" i="6"/>
  <c r="P194" i="6"/>
  <c r="P220" i="6"/>
  <c r="Q220" i="6"/>
  <c r="AB209" i="6"/>
  <c r="AC209" i="6"/>
  <c r="X223" i="6"/>
  <c r="P203" i="6"/>
  <c r="Q203" i="6"/>
  <c r="P188" i="6"/>
  <c r="Q188" i="6"/>
  <c r="AB202" i="6"/>
  <c r="AC202" i="6"/>
  <c r="AC222" i="6"/>
  <c r="AB222" i="6"/>
  <c r="AD185" i="6"/>
  <c r="X215" i="6"/>
  <c r="Q193" i="6"/>
  <c r="P193" i="6"/>
  <c r="Q223" i="6"/>
  <c r="P223" i="6"/>
  <c r="AC196" i="6"/>
  <c r="AB196" i="6"/>
  <c r="P192" i="6"/>
  <c r="Q192" i="6"/>
  <c r="Q215" i="6"/>
  <c r="P215" i="6"/>
  <c r="X227" i="6"/>
  <c r="BP227" i="6" s="1"/>
  <c r="P195" i="6"/>
  <c r="Q195" i="6"/>
  <c r="AC206" i="6"/>
  <c r="AB206" i="6"/>
  <c r="R189" i="6"/>
  <c r="AB189" i="6"/>
  <c r="AC189" i="6"/>
  <c r="AB187" i="6"/>
  <c r="AC187" i="6"/>
  <c r="AB221" i="6"/>
  <c r="AC221" i="6"/>
  <c r="AC223" i="6"/>
  <c r="AB223" i="6"/>
  <c r="X216" i="6"/>
  <c r="X206" i="6"/>
  <c r="AB192" i="6"/>
  <c r="AC192" i="6"/>
  <c r="AC214" i="6"/>
  <c r="AB214" i="6"/>
  <c r="P213" i="6"/>
  <c r="Q213" i="6"/>
  <c r="X231" i="6"/>
  <c r="BP231" i="6" s="1"/>
  <c r="Q196" i="6"/>
  <c r="P196" i="6"/>
  <c r="AC210" i="6"/>
  <c r="AB210" i="6"/>
  <c r="Q202" i="6"/>
  <c r="P202" i="6"/>
  <c r="AB213" i="6"/>
  <c r="AC213" i="6"/>
  <c r="X201" i="6"/>
  <c r="AC224" i="6"/>
  <c r="AB224" i="6"/>
  <c r="AB188" i="6"/>
  <c r="AC188" i="6"/>
  <c r="X207" i="6"/>
  <c r="X203" i="6"/>
  <c r="X202" i="6"/>
  <c r="Q207" i="6"/>
  <c r="P207" i="6"/>
  <c r="Q201" i="6"/>
  <c r="P201" i="6"/>
  <c r="P221" i="6"/>
  <c r="Q221" i="6"/>
  <c r="AB193" i="6"/>
  <c r="AC193" i="6"/>
  <c r="X196" i="6"/>
  <c r="Q216" i="6"/>
  <c r="P216" i="6"/>
  <c r="AB215" i="6"/>
  <c r="AC215" i="6"/>
  <c r="P217" i="6"/>
  <c r="Q217" i="6"/>
  <c r="X228" i="6"/>
  <c r="BP228" i="6" s="1"/>
  <c r="AC208" i="6"/>
  <c r="AB208" i="6"/>
  <c r="X220" i="6"/>
  <c r="R187" i="6"/>
  <c r="BA94" i="6"/>
  <c r="BA61" i="6"/>
  <c r="BA6" i="6"/>
  <c r="BA216" i="6"/>
  <c r="BA220" i="6"/>
  <c r="BA76" i="6"/>
  <c r="AM40" i="2"/>
  <c r="D242" i="20" s="1"/>
  <c r="BA116" i="6"/>
  <c r="BA97" i="6"/>
  <c r="BA59" i="6"/>
  <c r="BA130" i="6"/>
  <c r="BA111" i="6"/>
  <c r="BA89" i="6"/>
  <c r="BA91" i="6"/>
  <c r="BA181" i="6"/>
  <c r="BA88" i="6"/>
  <c r="BA13" i="6"/>
  <c r="BA26" i="6"/>
  <c r="BA27" i="6"/>
  <c r="BA207" i="6"/>
  <c r="BA5" i="6"/>
  <c r="BA115" i="6"/>
  <c r="BA73" i="6"/>
  <c r="BA12" i="6"/>
  <c r="BA95" i="6"/>
  <c r="BA98" i="6"/>
  <c r="BA54" i="6"/>
  <c r="BA104" i="6"/>
  <c r="BA132" i="6"/>
  <c r="BA87" i="6"/>
  <c r="BA131" i="6"/>
  <c r="BA112" i="6"/>
  <c r="BA199" i="6"/>
  <c r="BA105" i="6"/>
  <c r="BA82" i="6"/>
  <c r="BA90" i="6"/>
  <c r="BA28" i="6"/>
  <c r="BA81" i="6"/>
  <c r="BA206" i="6"/>
  <c r="BA230" i="6"/>
  <c r="BA139" i="6"/>
  <c r="BA55" i="6"/>
  <c r="BA118" i="6"/>
  <c r="BA210" i="6"/>
  <c r="BA108" i="6"/>
  <c r="BA84" i="6"/>
  <c r="BA165" i="6"/>
  <c r="BA126" i="6"/>
  <c r="BA102" i="6"/>
  <c r="BA110" i="6"/>
  <c r="BA109" i="6"/>
  <c r="BA179" i="6"/>
  <c r="BA201" i="6"/>
  <c r="BA153" i="6"/>
  <c r="BA231" i="6"/>
  <c r="BA101" i="6"/>
  <c r="BA167" i="6"/>
  <c r="BA193" i="6"/>
  <c r="BA172" i="6"/>
  <c r="BA74" i="6"/>
  <c r="BA168" i="6"/>
  <c r="BA209" i="6"/>
  <c r="BA175" i="6"/>
  <c r="BA117" i="6"/>
  <c r="BA32" i="6"/>
  <c r="BA42" i="6"/>
  <c r="BA35" i="6"/>
  <c r="BA39" i="6"/>
  <c r="BA25" i="6"/>
  <c r="BA194" i="6"/>
  <c r="BA103" i="6"/>
  <c r="BA80" i="6"/>
  <c r="BA66" i="6"/>
  <c r="BA208" i="6"/>
  <c r="BA200" i="6"/>
  <c r="BA174" i="6"/>
  <c r="BA158" i="6"/>
  <c r="BA159" i="6"/>
  <c r="BA137" i="6"/>
  <c r="BA136" i="6"/>
  <c r="BA124" i="6"/>
  <c r="BA122" i="6"/>
  <c r="BA143" i="6"/>
  <c r="BA48" i="6"/>
  <c r="BA33" i="6"/>
  <c r="BA14" i="6"/>
  <c r="BA52" i="6"/>
  <c r="BA17" i="6"/>
  <c r="BA19" i="6"/>
  <c r="BA34" i="6"/>
  <c r="BA123" i="6"/>
  <c r="BA196" i="6"/>
  <c r="BA144" i="6"/>
  <c r="BA192" i="6"/>
  <c r="BA173" i="6"/>
  <c r="BA151" i="6"/>
  <c r="BA223" i="6"/>
  <c r="BA96" i="6"/>
  <c r="BA186" i="6"/>
  <c r="BA157" i="6"/>
  <c r="BA150" i="6"/>
  <c r="BA140" i="6"/>
  <c r="BA214" i="6"/>
  <c r="BA213" i="6"/>
  <c r="BA221" i="6"/>
  <c r="BA222" i="6"/>
  <c r="BA180" i="6"/>
  <c r="BA189" i="6"/>
  <c r="BA195" i="6"/>
  <c r="BA145" i="6"/>
  <c r="BA164" i="6"/>
  <c r="BA77" i="6"/>
  <c r="BA67" i="6"/>
  <c r="BA224" i="6"/>
  <c r="BA133" i="6"/>
  <c r="BA171" i="6"/>
  <c r="BA161" i="6"/>
  <c r="BA229" i="6"/>
  <c r="BA227" i="6"/>
  <c r="BA138" i="6"/>
  <c r="BA68" i="6"/>
  <c r="BA178" i="6"/>
  <c r="BA187" i="6"/>
  <c r="BA188" i="6"/>
  <c r="BA45" i="6"/>
  <c r="BA38" i="6"/>
  <c r="BA18" i="6"/>
  <c r="BA20" i="6"/>
  <c r="BA10" i="6"/>
  <c r="AM39" i="2"/>
  <c r="D250" i="20" s="1"/>
  <c r="AM38" i="2"/>
  <c r="AM37" i="2"/>
  <c r="AM26" i="2"/>
  <c r="D226" i="20" s="1"/>
  <c r="AM51" i="2"/>
  <c r="AM17" i="2"/>
  <c r="AM21" i="2"/>
  <c r="AM52" i="2"/>
  <c r="D210" i="20" s="1"/>
  <c r="AM22" i="2"/>
  <c r="AM15" i="2"/>
  <c r="AM45" i="2"/>
  <c r="AM50" i="2"/>
  <c r="AM29" i="2"/>
  <c r="D218" i="20" s="1"/>
  <c r="AM3" i="2"/>
  <c r="D178" i="20" s="1"/>
  <c r="AM31" i="2"/>
  <c r="AM4" i="2"/>
  <c r="D202" i="20" s="1"/>
  <c r="AM27" i="2"/>
  <c r="D2" i="20" s="1"/>
  <c r="AM54" i="2"/>
  <c r="AM28" i="2"/>
  <c r="AM34" i="2"/>
  <c r="AM23" i="2"/>
  <c r="AM35" i="2"/>
  <c r="AM8" i="2"/>
  <c r="AM43" i="2"/>
  <c r="D194" i="20" s="1"/>
  <c r="AM10" i="2"/>
  <c r="AM33" i="2"/>
  <c r="AM5" i="2"/>
  <c r="D186" i="20" s="1"/>
  <c r="AM16" i="2"/>
  <c r="AM19" i="2"/>
  <c r="D234" i="20" s="1"/>
  <c r="AM46" i="2"/>
  <c r="AM13" i="2"/>
  <c r="AM44" i="2"/>
  <c r="AM11" i="2"/>
  <c r="AM61" i="2"/>
  <c r="AM7" i="2"/>
  <c r="X15" i="19" l="1"/>
  <c r="R168" i="12"/>
  <c r="AD19" i="10"/>
  <c r="AD11" i="10"/>
  <c r="Z48" i="15"/>
  <c r="Y159" i="20"/>
  <c r="N31" i="21" s="1"/>
  <c r="R21" i="19"/>
  <c r="X49" i="17"/>
  <c r="S10" i="18" s="1"/>
  <c r="AD23" i="17"/>
  <c r="X8" i="18" s="1"/>
  <c r="R15" i="19"/>
  <c r="AD31" i="10"/>
  <c r="AD14" i="17"/>
  <c r="Y7" i="18" s="1"/>
  <c r="X4" i="19"/>
  <c r="AD36" i="17"/>
  <c r="AA9" i="18" s="1"/>
  <c r="R37" i="19"/>
  <c r="AD16" i="17"/>
  <c r="AA7" i="18" s="1"/>
  <c r="BP63" i="6"/>
  <c r="R17" i="19"/>
  <c r="AD47" i="17"/>
  <c r="AB10" i="18" s="1"/>
  <c r="X50" i="19"/>
  <c r="AD24" i="19"/>
  <c r="X19" i="19"/>
  <c r="AD20" i="10"/>
  <c r="W27" i="10"/>
  <c r="BQ3" i="20"/>
  <c r="BP126" i="6"/>
  <c r="AC99" i="12"/>
  <c r="BP186" i="6"/>
  <c r="T19" i="15"/>
  <c r="AD36" i="10"/>
  <c r="AD48" i="10"/>
  <c r="AD28" i="10"/>
  <c r="BP119" i="6"/>
  <c r="D98" i="20"/>
  <c r="D74" i="12"/>
  <c r="D82" i="20"/>
  <c r="D62" i="12"/>
  <c r="D18" i="20"/>
  <c r="D14" i="12"/>
  <c r="D122" i="20"/>
  <c r="D92" i="12"/>
  <c r="D162" i="20"/>
  <c r="D122" i="12"/>
  <c r="D58" i="20"/>
  <c r="D44" i="12"/>
  <c r="D90" i="20"/>
  <c r="D68" i="12"/>
  <c r="D34" i="20"/>
  <c r="D26" i="12"/>
  <c r="D50" i="20"/>
  <c r="D38" i="12"/>
  <c r="D114" i="20"/>
  <c r="D86" i="12"/>
  <c r="G51" i="15"/>
  <c r="R206" i="6"/>
  <c r="S180" i="12"/>
  <c r="G50" i="15" s="1"/>
  <c r="G17" i="15"/>
  <c r="BQ42" i="12"/>
  <c r="S22" i="12"/>
  <c r="E14" i="15" s="1"/>
  <c r="S141" i="12"/>
  <c r="D39" i="15" s="1"/>
  <c r="D17" i="15"/>
  <c r="BQ39" i="12"/>
  <c r="S142" i="12"/>
  <c r="E39" i="15" s="1"/>
  <c r="G18" i="15"/>
  <c r="BQ48" i="12"/>
  <c r="S107" i="12"/>
  <c r="F33" i="15" s="1"/>
  <c r="R81" i="6"/>
  <c r="BP81" i="6" s="1"/>
  <c r="S63" i="12"/>
  <c r="D21" i="15" s="1"/>
  <c r="Y149" i="12"/>
  <c r="L40" i="15" s="1"/>
  <c r="R82" i="6"/>
  <c r="BP82" i="6" s="1"/>
  <c r="S160" i="12"/>
  <c r="E42" i="15" s="1"/>
  <c r="R18" i="6"/>
  <c r="BP18" i="6" s="1"/>
  <c r="AD18" i="10"/>
  <c r="W22" i="10"/>
  <c r="R138" i="6"/>
  <c r="BP138" i="6" s="1"/>
  <c r="AD161" i="6"/>
  <c r="BP161" i="6"/>
  <c r="W35" i="10"/>
  <c r="AD16" i="10"/>
  <c r="X70" i="6"/>
  <c r="O17" i="10" s="1"/>
  <c r="R143" i="6"/>
  <c r="D32" i="10" s="1"/>
  <c r="AD42" i="6"/>
  <c r="V13" i="10" s="1"/>
  <c r="R46" i="6"/>
  <c r="E14" i="10" s="1"/>
  <c r="W36" i="10"/>
  <c r="R110" i="6"/>
  <c r="F27" i="10" s="1"/>
  <c r="R157" i="6"/>
  <c r="D34" i="10" s="1"/>
  <c r="BP229" i="6"/>
  <c r="D26" i="20"/>
  <c r="D20" i="12"/>
  <c r="D42" i="20"/>
  <c r="D32" i="12"/>
  <c r="E17" i="15"/>
  <c r="BQ40" i="12"/>
  <c r="G19" i="15"/>
  <c r="BQ54" i="12"/>
  <c r="S100" i="12"/>
  <c r="E32" i="15" s="1"/>
  <c r="S65" i="12"/>
  <c r="F21" i="15" s="1"/>
  <c r="R80" i="6"/>
  <c r="BP80" i="6" s="1"/>
  <c r="R60" i="6"/>
  <c r="BP60" i="6" s="1"/>
  <c r="S64" i="12"/>
  <c r="E21" i="15" s="1"/>
  <c r="AD14" i="10"/>
  <c r="AD21" i="10"/>
  <c r="R89" i="6"/>
  <c r="BP89" i="6" s="1"/>
  <c r="X180" i="6"/>
  <c r="BP180" i="6" s="1"/>
  <c r="W33" i="10"/>
  <c r="W30" i="10"/>
  <c r="AD22" i="10"/>
  <c r="AD10" i="10"/>
  <c r="AD34" i="10"/>
  <c r="AD46" i="10"/>
  <c r="R124" i="6"/>
  <c r="BP124" i="6" s="1"/>
  <c r="AD27" i="10"/>
  <c r="R131" i="6"/>
  <c r="F30" i="10" s="1"/>
  <c r="BP178" i="6"/>
  <c r="BP98" i="6"/>
  <c r="D130" i="20"/>
  <c r="D98" i="12"/>
  <c r="D138" i="20"/>
  <c r="D104" i="12"/>
  <c r="D170" i="20"/>
  <c r="D128" i="12"/>
  <c r="D106" i="20"/>
  <c r="D80" i="12"/>
  <c r="S183" i="12"/>
  <c r="D51" i="15" s="1"/>
  <c r="D20" i="15"/>
  <c r="BQ57" i="12"/>
  <c r="F17" i="15"/>
  <c r="BQ41" i="12"/>
  <c r="R84" i="6"/>
  <c r="BP84" i="6" s="1"/>
  <c r="S29" i="12"/>
  <c r="BQ29" i="12" s="1"/>
  <c r="S156" i="12"/>
  <c r="G41" i="15" s="1"/>
  <c r="R75" i="6"/>
  <c r="F18" i="10" s="1"/>
  <c r="R145" i="6"/>
  <c r="BP145" i="6" s="1"/>
  <c r="R152" i="6"/>
  <c r="BP152" i="6" s="1"/>
  <c r="S135" i="12"/>
  <c r="D38" i="15" s="1"/>
  <c r="AD32" i="10"/>
  <c r="AD17" i="10"/>
  <c r="W11" i="10"/>
  <c r="AD35" i="10"/>
  <c r="AD33" i="10"/>
  <c r="AD13" i="10"/>
  <c r="R117" i="6"/>
  <c r="F28" i="10" s="1"/>
  <c r="X137" i="6"/>
  <c r="L31" i="10" s="1"/>
  <c r="R139" i="6"/>
  <c r="BP139" i="6" s="1"/>
  <c r="R115" i="6"/>
  <c r="D28" i="10" s="1"/>
  <c r="R31" i="6"/>
  <c r="D12" i="10" s="1"/>
  <c r="R19" i="6"/>
  <c r="F10" i="10" s="1"/>
  <c r="R61" i="6"/>
  <c r="F16" i="10" s="1"/>
  <c r="AD146" i="6"/>
  <c r="U32" i="10" s="1"/>
  <c r="R164" i="6"/>
  <c r="D35" i="10" s="1"/>
  <c r="BQ196" i="12"/>
  <c r="BP123" i="6"/>
  <c r="BP59" i="6"/>
  <c r="D74" i="20"/>
  <c r="D56" i="12"/>
  <c r="D66" i="20"/>
  <c r="D50" i="12"/>
  <c r="D146" i="20"/>
  <c r="D110" i="12"/>
  <c r="D10" i="20"/>
  <c r="D8" i="12"/>
  <c r="S166" i="12"/>
  <c r="E48" i="15" s="1"/>
  <c r="S23" i="12"/>
  <c r="F14" i="15" s="1"/>
  <c r="S72" i="12"/>
  <c r="G22" i="15" s="1"/>
  <c r="S30" i="12"/>
  <c r="G15" i="15" s="1"/>
  <c r="F19" i="15"/>
  <c r="BQ53" i="12"/>
  <c r="S58" i="12"/>
  <c r="E20" i="15" s="1"/>
  <c r="N18" i="15"/>
  <c r="S71" i="12"/>
  <c r="F22" i="15" s="1"/>
  <c r="S99" i="12"/>
  <c r="D32" i="15" s="1"/>
  <c r="S106" i="12"/>
  <c r="E33" i="15" s="1"/>
  <c r="AD38" i="10"/>
  <c r="W48" i="10"/>
  <c r="AD47" i="10"/>
  <c r="AD44" i="10"/>
  <c r="AD43" i="10"/>
  <c r="AD45" i="10"/>
  <c r="AD29" i="10"/>
  <c r="AD30" i="10"/>
  <c r="AD122" i="6"/>
  <c r="BP122" i="6" s="1"/>
  <c r="AD37" i="10"/>
  <c r="AD15" i="10"/>
  <c r="AD12" i="10"/>
  <c r="AD9" i="10"/>
  <c r="R103" i="6"/>
  <c r="F22" i="10" s="1"/>
  <c r="R97" i="6"/>
  <c r="G21" i="10" s="1"/>
  <c r="BQ195" i="12"/>
  <c r="BP111" i="6"/>
  <c r="R172" i="6"/>
  <c r="E36" i="10" s="1"/>
  <c r="R150" i="6"/>
  <c r="D33" i="10" s="1"/>
  <c r="R54" i="6"/>
  <c r="F15" i="10" s="1"/>
  <c r="R95" i="6"/>
  <c r="E21" i="10" s="1"/>
  <c r="U24" i="21"/>
  <c r="U59" i="21"/>
  <c r="U60" i="21"/>
  <c r="R14" i="17"/>
  <c r="D7" i="18" s="1"/>
  <c r="R179" i="6"/>
  <c r="E37" i="10" s="1"/>
  <c r="R62" i="6"/>
  <c r="G16" i="10" s="1"/>
  <c r="S32" i="20"/>
  <c r="H10" i="21" s="1"/>
  <c r="J54" i="21"/>
  <c r="J56" i="21"/>
  <c r="R101" i="6"/>
  <c r="D22" i="10" s="1"/>
  <c r="R53" i="6"/>
  <c r="E15" i="10" s="1"/>
  <c r="R87" i="6"/>
  <c r="D20" i="10" s="1"/>
  <c r="BQ13" i="20"/>
  <c r="BQ188" i="20"/>
  <c r="BQ101" i="20"/>
  <c r="BQ133" i="20"/>
  <c r="BQ198" i="20"/>
  <c r="BQ117" i="20"/>
  <c r="BQ54" i="20"/>
  <c r="BQ151" i="20"/>
  <c r="BQ124" i="20"/>
  <c r="BQ35" i="20"/>
  <c r="BP168" i="6"/>
  <c r="BP153" i="6"/>
  <c r="BP45" i="6"/>
  <c r="BP105" i="6"/>
  <c r="BQ134" i="20"/>
  <c r="BQ60" i="20"/>
  <c r="BQ38" i="20"/>
  <c r="BQ67" i="20"/>
  <c r="BQ144" i="20"/>
  <c r="BQ164" i="20"/>
  <c r="BQ44" i="20"/>
  <c r="BQ219" i="20"/>
  <c r="BQ187" i="20"/>
  <c r="BQ80" i="20"/>
  <c r="BP185" i="6"/>
  <c r="BP47" i="6"/>
  <c r="BP108" i="6"/>
  <c r="BQ128" i="20"/>
  <c r="BQ204" i="20"/>
  <c r="BQ171" i="20"/>
  <c r="BQ104" i="20"/>
  <c r="BQ191" i="20"/>
  <c r="BQ213" i="20"/>
  <c r="BQ78" i="20"/>
  <c r="BQ205" i="20"/>
  <c r="BQ7" i="20"/>
  <c r="BQ126" i="20"/>
  <c r="BQ40" i="20"/>
  <c r="BQ96" i="20"/>
  <c r="BQ4" i="20"/>
  <c r="BQ103" i="20"/>
  <c r="BQ15" i="20"/>
  <c r="BQ5" i="20"/>
  <c r="BQ75" i="20"/>
  <c r="BQ223" i="20"/>
  <c r="BQ175" i="20"/>
  <c r="BQ139" i="20"/>
  <c r="BQ206" i="20"/>
  <c r="BP144" i="6"/>
  <c r="BP109" i="6"/>
  <c r="R167" i="6"/>
  <c r="G35" i="10" s="1"/>
  <c r="W32" i="10"/>
  <c r="R182" i="6"/>
  <c r="H37" i="10" s="1"/>
  <c r="I37" i="10" s="1"/>
  <c r="W20" i="10"/>
  <c r="R69" i="6"/>
  <c r="G17" i="10" s="1"/>
  <c r="R118" i="6"/>
  <c r="G28" i="10" s="1"/>
  <c r="Z24" i="15"/>
  <c r="R165" i="6"/>
  <c r="E35" i="10" s="1"/>
  <c r="R90" i="6"/>
  <c r="G20" i="10" s="1"/>
  <c r="R32" i="6"/>
  <c r="E12" i="10" s="1"/>
  <c r="R158" i="6"/>
  <c r="E34" i="10" s="1"/>
  <c r="R49" i="6"/>
  <c r="H14" i="10" s="1"/>
  <c r="BP52" i="6"/>
  <c r="R112" i="6"/>
  <c r="H27" i="10" s="1"/>
  <c r="AH13" i="18"/>
  <c r="AH19" i="18"/>
  <c r="AH18" i="18"/>
  <c r="AP6" i="18"/>
  <c r="Q56" i="21"/>
  <c r="AD8" i="19"/>
  <c r="R36" i="17"/>
  <c r="F9" i="18" s="1"/>
  <c r="X24" i="19"/>
  <c r="AD8" i="17"/>
  <c r="AC6" i="18" s="1"/>
  <c r="X37" i="17"/>
  <c r="Q9" i="18" s="1"/>
  <c r="X13" i="17"/>
  <c r="M7" i="18" s="1"/>
  <c r="C54" i="21"/>
  <c r="C56" i="21"/>
  <c r="R151" i="6"/>
  <c r="E33" i="10" s="1"/>
  <c r="R48" i="6"/>
  <c r="G14" i="10" s="1"/>
  <c r="BQ180" i="20"/>
  <c r="BQ94" i="20"/>
  <c r="BQ211" i="20"/>
  <c r="BQ76" i="20"/>
  <c r="BQ71" i="20"/>
  <c r="BQ86" i="20"/>
  <c r="BQ182" i="20"/>
  <c r="BQ166" i="20"/>
  <c r="BQ183" i="20"/>
  <c r="BQ136" i="20"/>
  <c r="BQ77" i="20"/>
  <c r="BQ192" i="20"/>
  <c r="BQ93" i="20"/>
  <c r="BQ52" i="20"/>
  <c r="BQ20" i="20"/>
  <c r="BQ55" i="20"/>
  <c r="BQ116" i="20"/>
  <c r="BQ189" i="20"/>
  <c r="BQ184" i="20"/>
  <c r="BQ39" i="20"/>
  <c r="BQ59" i="20"/>
  <c r="BQ100" i="20"/>
  <c r="BQ131" i="20"/>
  <c r="BQ179" i="20"/>
  <c r="BQ168" i="20"/>
  <c r="BQ84" i="20"/>
  <c r="BQ83" i="20"/>
  <c r="BQ167" i="20"/>
  <c r="BQ123" i="20"/>
  <c r="BQ102" i="20"/>
  <c r="BQ224" i="20"/>
  <c r="R116" i="6"/>
  <c r="E28" i="10" s="1"/>
  <c r="R40" i="6"/>
  <c r="F13" i="10" s="1"/>
  <c r="R66" i="6"/>
  <c r="D17" i="10" s="1"/>
  <c r="R91" i="6"/>
  <c r="H20" i="10" s="1"/>
  <c r="Q41" i="21"/>
  <c r="Q42" i="21"/>
  <c r="R24" i="17"/>
  <c r="D8" i="18" s="1"/>
  <c r="R33" i="6"/>
  <c r="F12" i="10" s="1"/>
  <c r="S59" i="21"/>
  <c r="S60" i="21"/>
  <c r="R171" i="6"/>
  <c r="D36" i="10" s="1"/>
  <c r="R67" i="6"/>
  <c r="E17" i="10" s="1"/>
  <c r="R125" i="6"/>
  <c r="G29" i="10" s="1"/>
  <c r="R38" i="6"/>
  <c r="D13" i="10" s="1"/>
  <c r="R147" i="6"/>
  <c r="H32" i="10" s="1"/>
  <c r="BQ108" i="20"/>
  <c r="BQ70" i="20"/>
  <c r="BQ64" i="20"/>
  <c r="BQ118" i="20"/>
  <c r="BQ152" i="20"/>
  <c r="BQ190" i="20"/>
  <c r="BQ45" i="20"/>
  <c r="BQ148" i="20"/>
  <c r="BQ6" i="20"/>
  <c r="BQ72" i="20"/>
  <c r="BQ99" i="20"/>
  <c r="BP133" i="6"/>
  <c r="BQ56" i="20"/>
  <c r="BQ24" i="20"/>
  <c r="BQ95" i="20"/>
  <c r="BQ176" i="20"/>
  <c r="BQ37" i="20"/>
  <c r="BQ212" i="20"/>
  <c r="BQ125" i="20"/>
  <c r="BQ165" i="20"/>
  <c r="BQ199" i="20"/>
  <c r="BQ62" i="20"/>
  <c r="BQ119" i="20"/>
  <c r="BP56" i="6"/>
  <c r="BQ112" i="20"/>
  <c r="BQ69" i="20"/>
  <c r="BQ143" i="20"/>
  <c r="BQ68" i="20"/>
  <c r="BP37" i="17"/>
  <c r="BQ207" i="20"/>
  <c r="BQ149" i="20"/>
  <c r="BQ91" i="20"/>
  <c r="BQ19" i="20"/>
  <c r="BQ214" i="20"/>
  <c r="BQ174" i="20"/>
  <c r="BQ110" i="20"/>
  <c r="BQ196" i="20"/>
  <c r="BQ109" i="20"/>
  <c r="BQ16" i="20"/>
  <c r="BQ8" i="20"/>
  <c r="BQ22" i="20"/>
  <c r="BQ85" i="20"/>
  <c r="BQ200" i="20"/>
  <c r="BQ14" i="20"/>
  <c r="R88" i="6"/>
  <c r="BP88" i="6" s="1"/>
  <c r="R39" i="6"/>
  <c r="E13" i="10" s="1"/>
  <c r="R175" i="6"/>
  <c r="R68" i="6"/>
  <c r="F17" i="10" s="1"/>
  <c r="R102" i="6"/>
  <c r="BP102" i="6" s="1"/>
  <c r="R55" i="6"/>
  <c r="BP55" i="6" s="1"/>
  <c r="R224" i="6"/>
  <c r="R83" i="6"/>
  <c r="G19" i="10" s="1"/>
  <c r="R154" i="6"/>
  <c r="R104" i="6"/>
  <c r="G22" i="10" s="1"/>
  <c r="R96" i="6"/>
  <c r="F21" i="10" s="1"/>
  <c r="R136" i="6"/>
  <c r="R130" i="6"/>
  <c r="R76" i="6"/>
  <c r="R129" i="6"/>
  <c r="R41" i="6"/>
  <c r="X31" i="19"/>
  <c r="AD7" i="17"/>
  <c r="AB6" i="18" s="1"/>
  <c r="X38" i="19"/>
  <c r="X51" i="19"/>
  <c r="R166" i="6"/>
  <c r="F35" i="10" s="1"/>
  <c r="R132" i="6"/>
  <c r="G30" i="10" s="1"/>
  <c r="R160" i="6"/>
  <c r="G34" i="10" s="1"/>
  <c r="R94" i="6"/>
  <c r="D21" i="10" s="1"/>
  <c r="J13" i="21"/>
  <c r="BQ51" i="20"/>
  <c r="R159" i="6"/>
  <c r="F34" i="10" s="1"/>
  <c r="BQ132" i="20"/>
  <c r="BQ195" i="20"/>
  <c r="BQ127" i="20"/>
  <c r="BQ12" i="20"/>
  <c r="BQ63" i="20"/>
  <c r="BQ150" i="20"/>
  <c r="BQ21" i="20"/>
  <c r="BQ172" i="20"/>
  <c r="BQ147" i="20"/>
  <c r="BQ203" i="20"/>
  <c r="BQ47" i="20"/>
  <c r="BQ141" i="20"/>
  <c r="BQ163" i="20"/>
  <c r="BQ23" i="20"/>
  <c r="BQ92" i="20"/>
  <c r="BQ140" i="20"/>
  <c r="BQ215" i="20"/>
  <c r="BQ142" i="20"/>
  <c r="BQ221" i="20"/>
  <c r="BQ48" i="20"/>
  <c r="BQ111" i="20"/>
  <c r="BQ216" i="20"/>
  <c r="BQ220" i="20"/>
  <c r="BQ197" i="20"/>
  <c r="BQ181" i="20"/>
  <c r="BQ107" i="20"/>
  <c r="BQ43" i="20"/>
  <c r="BQ173" i="20"/>
  <c r="BQ87" i="20"/>
  <c r="BP49" i="17"/>
  <c r="BQ208" i="20"/>
  <c r="BQ79" i="20"/>
  <c r="BQ222" i="20"/>
  <c r="BQ46" i="20"/>
  <c r="BQ120" i="20"/>
  <c r="BQ135" i="20"/>
  <c r="BQ61" i="20"/>
  <c r="BQ115" i="20"/>
  <c r="BQ36" i="20"/>
  <c r="BQ88" i="20"/>
  <c r="BQ11" i="20"/>
  <c r="S52" i="12"/>
  <c r="S131" i="12"/>
  <c r="F37" i="15" s="1"/>
  <c r="S124" i="12"/>
  <c r="S75" i="12"/>
  <c r="D23" i="15" s="1"/>
  <c r="S5" i="12"/>
  <c r="T18" i="15"/>
  <c r="S138" i="12"/>
  <c r="S46" i="12"/>
  <c r="E18" i="15" s="1"/>
  <c r="S119" i="12"/>
  <c r="S33" i="12"/>
  <c r="D16" i="15" s="1"/>
  <c r="S47" i="12"/>
  <c r="Z13" i="15"/>
  <c r="T39" i="15"/>
  <c r="S126" i="12"/>
  <c r="G36" i="15" s="1"/>
  <c r="S154" i="12"/>
  <c r="S101" i="12"/>
  <c r="F32" i="15" s="1"/>
  <c r="S159" i="12"/>
  <c r="S27" i="12"/>
  <c r="BQ27" i="12" s="1"/>
  <c r="S153" i="12"/>
  <c r="S21" i="12"/>
  <c r="D14" i="15" s="1"/>
  <c r="S108" i="12"/>
  <c r="W28" i="12"/>
  <c r="Y28" i="12" s="1"/>
  <c r="K15" i="15" s="1"/>
  <c r="N15" i="15" s="1"/>
  <c r="S117" i="12"/>
  <c r="S11" i="12"/>
  <c r="F12" i="15" s="1"/>
  <c r="S185" i="12"/>
  <c r="S125" i="12"/>
  <c r="F36" i="15" s="1"/>
  <c r="S95" i="12"/>
  <c r="S129" i="12"/>
  <c r="D37" i="15" s="1"/>
  <c r="S87" i="12"/>
  <c r="S3" i="12"/>
  <c r="D11" i="15" s="1"/>
  <c r="S45" i="12"/>
  <c r="S143" i="12"/>
  <c r="F39" i="15" s="1"/>
  <c r="S118" i="12"/>
  <c r="S137" i="12"/>
  <c r="F38" i="15" s="1"/>
  <c r="S132" i="12"/>
  <c r="S105" i="12"/>
  <c r="D33" i="15" s="1"/>
  <c r="S144" i="12"/>
  <c r="S81" i="12"/>
  <c r="D24" i="15" s="1"/>
  <c r="S6" i="12"/>
  <c r="S28" i="12"/>
  <c r="BQ28" i="12" s="1"/>
  <c r="S130" i="12"/>
  <c r="S136" i="12"/>
  <c r="E38" i="15" s="1"/>
  <c r="Q148" i="12"/>
  <c r="S59" i="12"/>
  <c r="F20" i="15" s="1"/>
  <c r="S150" i="12"/>
  <c r="S24" i="12"/>
  <c r="G14" i="15" s="1"/>
  <c r="S102" i="12"/>
  <c r="S147" i="12"/>
  <c r="D40" i="15" s="1"/>
  <c r="S4" i="12"/>
  <c r="S10" i="12"/>
  <c r="E12" i="15" s="1"/>
  <c r="T13" i="15"/>
  <c r="T15" i="15"/>
  <c r="N17" i="15"/>
  <c r="T17" i="15"/>
  <c r="T21" i="15"/>
  <c r="N33" i="15"/>
  <c r="N32" i="15"/>
  <c r="Z11" i="15"/>
  <c r="N12" i="15"/>
  <c r="T11" i="15"/>
  <c r="N50" i="15"/>
  <c r="N52" i="15"/>
  <c r="T37" i="15"/>
  <c r="T38" i="15"/>
  <c r="E15" i="25"/>
  <c r="E23" i="25" s="1"/>
  <c r="V60" i="15"/>
  <c r="V66" i="15"/>
  <c r="E6" i="16"/>
  <c r="V65" i="15"/>
  <c r="V28" i="15"/>
  <c r="E4" i="25"/>
  <c r="P22" i="10"/>
  <c r="I14" i="10"/>
  <c r="P21" i="10"/>
  <c r="P14" i="10"/>
  <c r="P28" i="10"/>
  <c r="P32" i="10"/>
  <c r="P36" i="10"/>
  <c r="P17" i="10"/>
  <c r="P34" i="10"/>
  <c r="P9" i="10"/>
  <c r="P31" i="10"/>
  <c r="P13" i="10"/>
  <c r="P11" i="10"/>
  <c r="P35" i="10"/>
  <c r="P33" i="10"/>
  <c r="I11" i="10"/>
  <c r="I21" i="10"/>
  <c r="I34" i="10"/>
  <c r="I48" i="10"/>
  <c r="I28" i="10"/>
  <c r="E4" i="16"/>
  <c r="Y58" i="10"/>
  <c r="Y57" i="10"/>
  <c r="E3" i="25"/>
  <c r="E13" i="25"/>
  <c r="E19" i="25" s="1"/>
  <c r="AA48" i="15"/>
  <c r="S41" i="21"/>
  <c r="U41" i="21"/>
  <c r="N24" i="21"/>
  <c r="L24" i="21"/>
  <c r="S24" i="21"/>
  <c r="E21" i="25"/>
  <c r="AD179" i="12"/>
  <c r="Y23" i="10"/>
  <c r="Q161" i="12"/>
  <c r="AC118" i="12"/>
  <c r="AE118" i="12" s="1"/>
  <c r="Q35" i="15" s="1"/>
  <c r="AB56" i="10"/>
  <c r="AA53" i="10"/>
  <c r="X62" i="15"/>
  <c r="E23" i="16" s="1"/>
  <c r="X49" i="19"/>
  <c r="X30" i="19"/>
  <c r="R4" i="19"/>
  <c r="R23" i="17"/>
  <c r="C8" i="18" s="1"/>
  <c r="K8" i="18" s="1"/>
  <c r="F17" i="16"/>
  <c r="O7" i="16"/>
  <c r="Q70" i="12"/>
  <c r="X36" i="19"/>
  <c r="AD5" i="19"/>
  <c r="R8" i="17"/>
  <c r="AD39" i="17"/>
  <c r="AD9" i="18" s="1"/>
  <c r="R34" i="17"/>
  <c r="D9" i="18" s="1"/>
  <c r="Y155" i="20"/>
  <c r="J31" i="21" s="1"/>
  <c r="J39" i="21" s="1"/>
  <c r="X45" i="17"/>
  <c r="AD24" i="17"/>
  <c r="Y8" i="18" s="1"/>
  <c r="AF8" i="18" s="1"/>
  <c r="AC69" i="12"/>
  <c r="AE69" i="12" s="1"/>
  <c r="P22" i="15" s="1"/>
  <c r="AD17" i="19"/>
  <c r="AD40" i="19"/>
  <c r="S160" i="20"/>
  <c r="AD11" i="19"/>
  <c r="R49" i="19"/>
  <c r="AD35" i="17"/>
  <c r="Z9" i="18" s="1"/>
  <c r="R33" i="17"/>
  <c r="V39" i="21"/>
  <c r="X44" i="17"/>
  <c r="X18" i="19"/>
  <c r="X9" i="17"/>
  <c r="S6" i="18" s="1"/>
  <c r="X44" i="19"/>
  <c r="AD7" i="19"/>
  <c r="R9" i="17"/>
  <c r="R35" i="19"/>
  <c r="X48" i="17"/>
  <c r="R10" i="18" s="1"/>
  <c r="X29" i="17"/>
  <c r="AC189" i="12"/>
  <c r="AB76" i="6"/>
  <c r="R16" i="17"/>
  <c r="X3" i="17"/>
  <c r="M6" i="18" s="1"/>
  <c r="R47" i="17"/>
  <c r="X46" i="19"/>
  <c r="R4" i="17"/>
  <c r="D6" i="18" s="1"/>
  <c r="AD40" i="17"/>
  <c r="AE9" i="18" s="1"/>
  <c r="AD5" i="17"/>
  <c r="Z6" i="18" s="1"/>
  <c r="X17" i="17"/>
  <c r="X35" i="19"/>
  <c r="X5" i="19"/>
  <c r="AD35" i="19"/>
  <c r="X10" i="17"/>
  <c r="T6" i="18" s="1"/>
  <c r="V22" i="21"/>
  <c r="X34" i="19"/>
  <c r="AD48" i="17"/>
  <c r="AC10" i="18" s="1"/>
  <c r="AC11" i="18" s="1"/>
  <c r="X11" i="19"/>
  <c r="AD36" i="19"/>
  <c r="X45" i="19"/>
  <c r="AD9" i="19"/>
  <c r="R6" i="17"/>
  <c r="AD34" i="17"/>
  <c r="Y9" i="18" s="1"/>
  <c r="R39" i="17"/>
  <c r="AD3" i="17"/>
  <c r="X6" i="18" s="1"/>
  <c r="N39" i="21"/>
  <c r="AD16" i="19"/>
  <c r="S158" i="20"/>
  <c r="O22" i="21"/>
  <c r="S39" i="21"/>
  <c r="T57" i="21"/>
  <c r="R48" i="17"/>
  <c r="H10" i="18" s="1"/>
  <c r="X40" i="19"/>
  <c r="S159" i="20"/>
  <c r="R48" i="19"/>
  <c r="AD33" i="17"/>
  <c r="X9" i="18" s="1"/>
  <c r="AD6" i="17"/>
  <c r="AA6" i="18" s="1"/>
  <c r="X15" i="17"/>
  <c r="O7" i="18" s="1"/>
  <c r="D258" i="20"/>
  <c r="D3" i="19"/>
  <c r="D2" i="17"/>
  <c r="D54" i="21"/>
  <c r="C55" i="21"/>
  <c r="B22" i="25" s="1"/>
  <c r="V57" i="21"/>
  <c r="AB11" i="18"/>
  <c r="J7" i="21"/>
  <c r="H22" i="21"/>
  <c r="X9" i="19"/>
  <c r="AD34" i="19"/>
  <c r="AD6" i="19"/>
  <c r="R7" i="17"/>
  <c r="R34" i="19"/>
  <c r="X47" i="17"/>
  <c r="Q10" i="18" s="1"/>
  <c r="X23" i="17"/>
  <c r="M8" i="18" s="1"/>
  <c r="S31" i="20"/>
  <c r="AD20" i="17"/>
  <c r="AE7" i="18" s="1"/>
  <c r="Q94" i="12"/>
  <c r="U22" i="21"/>
  <c r="AD21" i="19"/>
  <c r="X6" i="19"/>
  <c r="AD41" i="19"/>
  <c r="S157" i="20"/>
  <c r="E31" i="21" s="1"/>
  <c r="E39" i="21" s="1"/>
  <c r="X48" i="19"/>
  <c r="X29" i="19"/>
  <c r="AD4" i="17"/>
  <c r="Y6" i="18" s="1"/>
  <c r="R7" i="19"/>
  <c r="X36" i="17"/>
  <c r="P9" i="18" s="1"/>
  <c r="X18" i="17"/>
  <c r="R16" i="19"/>
  <c r="R41" i="19"/>
  <c r="X26" i="17"/>
  <c r="X17" i="19"/>
  <c r="S27" i="20"/>
  <c r="T22" i="21"/>
  <c r="U39" i="21"/>
  <c r="X4" i="17"/>
  <c r="N6" i="18" s="1"/>
  <c r="X47" i="19"/>
  <c r="AD4" i="19"/>
  <c r="R10" i="17"/>
  <c r="R40" i="17"/>
  <c r="X25" i="19"/>
  <c r="X38" i="17"/>
  <c r="X16" i="17"/>
  <c r="P7" i="18" s="1"/>
  <c r="X43" i="17"/>
  <c r="X28" i="17"/>
  <c r="X16" i="19"/>
  <c r="S29" i="20"/>
  <c r="AD15" i="17"/>
  <c r="Z7" i="18" s="1"/>
  <c r="R13" i="17"/>
  <c r="C7" i="18" s="1"/>
  <c r="X5" i="17"/>
  <c r="O6" i="18" s="1"/>
  <c r="N22" i="21"/>
  <c r="X41" i="19"/>
  <c r="S155" i="20"/>
  <c r="AD48" i="19"/>
  <c r="R35" i="17"/>
  <c r="X27" i="19"/>
  <c r="R10" i="19"/>
  <c r="X40" i="17"/>
  <c r="T9" i="18" s="1"/>
  <c r="R14" i="19"/>
  <c r="X50" i="17"/>
  <c r="X30" i="17"/>
  <c r="R20" i="17"/>
  <c r="M22" i="21"/>
  <c r="D43" i="19"/>
  <c r="D284" i="20"/>
  <c r="D42" i="17"/>
  <c r="D33" i="19"/>
  <c r="D278" i="20"/>
  <c r="D32" i="17"/>
  <c r="D272" i="20"/>
  <c r="D23" i="19"/>
  <c r="D22" i="17"/>
  <c r="K22" i="21"/>
  <c r="U57" i="21"/>
  <c r="K54" i="21"/>
  <c r="J55" i="21"/>
  <c r="C22" i="25" s="1"/>
  <c r="S57" i="21"/>
  <c r="S22" i="21"/>
  <c r="C7" i="21"/>
  <c r="L22" i="21"/>
  <c r="AN2" i="2"/>
  <c r="E154" i="20" s="1"/>
  <c r="D154" i="20"/>
  <c r="R25" i="19"/>
  <c r="R9" i="19"/>
  <c r="N57" i="21"/>
  <c r="D266" i="20"/>
  <c r="D13" i="19"/>
  <c r="D12" i="17"/>
  <c r="Y77" i="12"/>
  <c r="L23" i="15" s="1"/>
  <c r="X37" i="19"/>
  <c r="Q39" i="21"/>
  <c r="Q40" i="21"/>
  <c r="D20" i="25" s="1"/>
  <c r="AH12" i="18"/>
  <c r="AH14" i="18"/>
  <c r="AH11" i="18"/>
  <c r="X7" i="19"/>
  <c r="R3" i="17"/>
  <c r="Q7" i="21"/>
  <c r="D2" i="21"/>
  <c r="D5" i="25" s="1"/>
  <c r="AD10" i="17"/>
  <c r="AE6" i="18" s="1"/>
  <c r="AE15" i="18" s="1"/>
  <c r="X35" i="17"/>
  <c r="O9" i="18" s="1"/>
  <c r="X14" i="17"/>
  <c r="N7" i="18" s="1"/>
  <c r="AD25" i="19"/>
  <c r="Y158" i="20"/>
  <c r="M31" i="21" s="1"/>
  <c r="M39" i="21" s="1"/>
  <c r="R36" i="19"/>
  <c r="X27" i="17"/>
  <c r="X6" i="17"/>
  <c r="P6" i="18" s="1"/>
  <c r="R24" i="19"/>
  <c r="AD14" i="19"/>
  <c r="X8" i="19"/>
  <c r="X26" i="19"/>
  <c r="X33" i="17"/>
  <c r="M9" i="18" s="1"/>
  <c r="X20" i="17"/>
  <c r="T7" i="18" s="1"/>
  <c r="Y156" i="20"/>
  <c r="K31" i="21" s="1"/>
  <c r="X24" i="17"/>
  <c r="X21" i="19"/>
  <c r="AD13" i="17"/>
  <c r="X7" i="18" s="1"/>
  <c r="AF7" i="18" s="1"/>
  <c r="R39" i="21"/>
  <c r="Q54" i="21"/>
  <c r="Q55" i="21"/>
  <c r="D22" i="25" s="1"/>
  <c r="X39" i="19"/>
  <c r="X10" i="19"/>
  <c r="AD37" i="19"/>
  <c r="AD10" i="19"/>
  <c r="AD49" i="19"/>
  <c r="T39" i="21"/>
  <c r="R5" i="19"/>
  <c r="R11" i="19"/>
  <c r="X39" i="17"/>
  <c r="S9" i="18" s="1"/>
  <c r="Y157" i="20"/>
  <c r="L31" i="21" s="1"/>
  <c r="L39" i="21" s="1"/>
  <c r="R40" i="19"/>
  <c r="X46" i="17"/>
  <c r="X25" i="17"/>
  <c r="X14" i="19"/>
  <c r="S30" i="20"/>
  <c r="Y27" i="20"/>
  <c r="J10" i="21" s="1"/>
  <c r="X7" i="17"/>
  <c r="Q6" i="18" s="1"/>
  <c r="R22" i="21"/>
  <c r="AD15" i="19"/>
  <c r="S156" i="20"/>
  <c r="X28" i="19"/>
  <c r="AD9" i="17"/>
  <c r="AD6" i="18" s="1"/>
  <c r="R8" i="19"/>
  <c r="R6" i="19"/>
  <c r="X34" i="17"/>
  <c r="N9" i="18" s="1"/>
  <c r="Y160" i="20"/>
  <c r="O31" i="21" s="1"/>
  <c r="O39" i="21" s="1"/>
  <c r="R57" i="21"/>
  <c r="S28" i="20"/>
  <c r="R15" i="17"/>
  <c r="X8" i="17"/>
  <c r="R6" i="18" s="1"/>
  <c r="W62" i="15"/>
  <c r="E22" i="16" s="1"/>
  <c r="K11" i="15"/>
  <c r="N11" i="15" s="1"/>
  <c r="E5" i="16"/>
  <c r="R31" i="15"/>
  <c r="AC123" i="12"/>
  <c r="AE123" i="12" s="1"/>
  <c r="P36" i="15" s="1"/>
  <c r="AE89" i="12"/>
  <c r="R25" i="15" s="1"/>
  <c r="Q178" i="12"/>
  <c r="AC155" i="12"/>
  <c r="AE155" i="12" s="1"/>
  <c r="R41" i="15" s="1"/>
  <c r="T41" i="15" s="1"/>
  <c r="Q120" i="12"/>
  <c r="AB75" i="6"/>
  <c r="AC108" i="12"/>
  <c r="AE108" i="12" s="1"/>
  <c r="S33" i="15" s="1"/>
  <c r="T33" i="15" s="1"/>
  <c r="X17" i="6"/>
  <c r="K10" i="10" s="1"/>
  <c r="P77" i="6"/>
  <c r="U31" i="10"/>
  <c r="W31" i="10" s="1"/>
  <c r="M48" i="15"/>
  <c r="N48" i="15" s="1"/>
  <c r="Z56" i="10"/>
  <c r="E13" i="16" s="1"/>
  <c r="AD194" i="6"/>
  <c r="T43" i="10" s="1"/>
  <c r="AE90" i="12"/>
  <c r="S25" i="15" s="1"/>
  <c r="AE88" i="12"/>
  <c r="Q25" i="15" s="1"/>
  <c r="AC96" i="12"/>
  <c r="AE96" i="12" s="1"/>
  <c r="S31" i="15" s="1"/>
  <c r="AC119" i="12"/>
  <c r="AE119" i="12" s="1"/>
  <c r="R35" i="15" s="1"/>
  <c r="W132" i="12"/>
  <c r="Y132" i="12" s="1"/>
  <c r="M37" i="15" s="1"/>
  <c r="N37" i="15" s="1"/>
  <c r="S34" i="12"/>
  <c r="N11" i="16"/>
  <c r="V27" i="15"/>
  <c r="N10" i="16" s="1"/>
  <c r="W94" i="12"/>
  <c r="Y94" i="12" s="1"/>
  <c r="K31" i="15" s="1"/>
  <c r="AC148" i="12"/>
  <c r="AE148" i="12" s="1"/>
  <c r="Q40" i="15" s="1"/>
  <c r="T40" i="15" s="1"/>
  <c r="BB113" i="12"/>
  <c r="Q177" i="12"/>
  <c r="W64" i="12"/>
  <c r="W153" i="12"/>
  <c r="Y153" i="12" s="1"/>
  <c r="J41" i="15" s="1"/>
  <c r="W161" i="12"/>
  <c r="Y161" i="12" s="1"/>
  <c r="L42" i="15" s="1"/>
  <c r="N42" i="15" s="1"/>
  <c r="Q69" i="12"/>
  <c r="W135" i="12"/>
  <c r="Y135" i="12" s="1"/>
  <c r="J38" i="15" s="1"/>
  <c r="N38" i="15" s="1"/>
  <c r="Y90" i="12"/>
  <c r="M25" i="15" s="1"/>
  <c r="Y34" i="12"/>
  <c r="K16" i="15" s="1"/>
  <c r="AC94" i="12"/>
  <c r="AE94" i="12" s="1"/>
  <c r="Q31" i="15" s="1"/>
  <c r="W150" i="12"/>
  <c r="Y150" i="12" s="1"/>
  <c r="M40" i="15" s="1"/>
  <c r="N40" i="15" s="1"/>
  <c r="AC178" i="12"/>
  <c r="AE178" i="12" s="1"/>
  <c r="Q50" i="15" s="1"/>
  <c r="AC117" i="12"/>
  <c r="AE117" i="12" s="1"/>
  <c r="P35" i="15" s="1"/>
  <c r="Q66" i="12"/>
  <c r="Y84" i="12"/>
  <c r="AD11" i="12"/>
  <c r="AE11" i="12" s="1"/>
  <c r="R12" i="15" s="1"/>
  <c r="AD10" i="12"/>
  <c r="R12" i="12"/>
  <c r="Y89" i="12"/>
  <c r="L25" i="15" s="1"/>
  <c r="Q179" i="12"/>
  <c r="Q51" i="12"/>
  <c r="AC100" i="12"/>
  <c r="AE100" i="12" s="1"/>
  <c r="Q32" i="15" s="1"/>
  <c r="AC124" i="12"/>
  <c r="AE124" i="12" s="1"/>
  <c r="Q36" i="15" s="1"/>
  <c r="AC125" i="12"/>
  <c r="AE125" i="12" s="1"/>
  <c r="R36" i="15" s="1"/>
  <c r="AD12" i="12"/>
  <c r="AE84" i="12"/>
  <c r="AE36" i="12"/>
  <c r="S16" i="15" s="1"/>
  <c r="S84" i="12"/>
  <c r="AE10" i="12"/>
  <c r="Q12" i="15" s="1"/>
  <c r="AE76" i="12"/>
  <c r="Q23" i="15" s="1"/>
  <c r="S76" i="12"/>
  <c r="Y88" i="12"/>
  <c r="K25" i="15" s="1"/>
  <c r="S82" i="12"/>
  <c r="E24" i="15" s="1"/>
  <c r="Y82" i="12"/>
  <c r="K24" i="15" s="1"/>
  <c r="Y36" i="12"/>
  <c r="M16" i="15" s="1"/>
  <c r="AE34" i="12"/>
  <c r="Q16" i="15" s="1"/>
  <c r="S83" i="12"/>
  <c r="Y78" i="12"/>
  <c r="M23" i="15" s="1"/>
  <c r="AE83" i="12"/>
  <c r="S77" i="12"/>
  <c r="AE12" i="12"/>
  <c r="S12" i="15" s="1"/>
  <c r="AD177" i="12"/>
  <c r="AE177" i="12" s="1"/>
  <c r="P50" i="15" s="1"/>
  <c r="Q155" i="12"/>
  <c r="D15" i="15"/>
  <c r="F15" i="15"/>
  <c r="W155" i="12"/>
  <c r="Y155" i="12" s="1"/>
  <c r="L41" i="15" s="1"/>
  <c r="S78" i="12"/>
  <c r="S89" i="12"/>
  <c r="AE82" i="12"/>
  <c r="Q24" i="15" s="1"/>
  <c r="S90" i="12"/>
  <c r="S35" i="12"/>
  <c r="AE35" i="12"/>
  <c r="R16" i="15" s="1"/>
  <c r="E2" i="15"/>
  <c r="AC72" i="12"/>
  <c r="AE72" i="12" s="1"/>
  <c r="S22" i="15" s="1"/>
  <c r="E15" i="15"/>
  <c r="W136" i="12"/>
  <c r="Y136" i="12" s="1"/>
  <c r="K38" i="15" s="1"/>
  <c r="W51" i="12"/>
  <c r="Y51" i="12" s="1"/>
  <c r="J19" i="15" s="1"/>
  <c r="N19" i="15" s="1"/>
  <c r="W125" i="12"/>
  <c r="Y125" i="12" s="1"/>
  <c r="L36" i="15" s="1"/>
  <c r="AE78" i="12"/>
  <c r="S23" i="15" s="1"/>
  <c r="Y35" i="12"/>
  <c r="L16" i="15" s="1"/>
  <c r="S9" i="12"/>
  <c r="BQ9" i="12" s="1"/>
  <c r="S88" i="12"/>
  <c r="Y76" i="12"/>
  <c r="K23" i="15" s="1"/>
  <c r="Y83" i="12"/>
  <c r="AE77" i="12"/>
  <c r="R23" i="15" s="1"/>
  <c r="S12" i="12"/>
  <c r="G12" i="15" s="1"/>
  <c r="S36" i="12"/>
  <c r="W43" i="15"/>
  <c r="M30" i="10"/>
  <c r="P30" i="10" s="1"/>
  <c r="Q12" i="6"/>
  <c r="W71" i="12"/>
  <c r="AC111" i="12"/>
  <c r="AE111" i="12" s="1"/>
  <c r="P34" i="15" s="1"/>
  <c r="BB111" i="12"/>
  <c r="Q20" i="6"/>
  <c r="AD60" i="12"/>
  <c r="AE60" i="12" s="1"/>
  <c r="S20" i="15" s="1"/>
  <c r="AC39" i="10"/>
  <c r="U13" i="10"/>
  <c r="L10" i="10"/>
  <c r="X119" i="12"/>
  <c r="Y119" i="12" s="1"/>
  <c r="L35" i="15" s="1"/>
  <c r="N35" i="15" s="1"/>
  <c r="R174" i="12"/>
  <c r="Q93" i="12"/>
  <c r="Q123" i="12"/>
  <c r="P11" i="6"/>
  <c r="Z39" i="10"/>
  <c r="E22" i="10"/>
  <c r="S37" i="10"/>
  <c r="W37" i="10" s="1"/>
  <c r="E20" i="10"/>
  <c r="O38" i="10"/>
  <c r="O39" i="10" s="1"/>
  <c r="AC114" i="12"/>
  <c r="AE114" i="12" s="1"/>
  <c r="S34" i="15" s="1"/>
  <c r="AB74" i="6"/>
  <c r="W144" i="12"/>
  <c r="Y144" i="12" s="1"/>
  <c r="M39" i="15" s="1"/>
  <c r="N39" i="15" s="1"/>
  <c r="W95" i="12"/>
  <c r="Y95" i="12" s="1"/>
  <c r="L31" i="15" s="1"/>
  <c r="W126" i="12"/>
  <c r="Y126" i="12" s="1"/>
  <c r="M36" i="15" s="1"/>
  <c r="L29" i="10"/>
  <c r="L39" i="10" s="1"/>
  <c r="W213" i="6"/>
  <c r="X213" i="6" s="1"/>
  <c r="K46" i="10" s="1"/>
  <c r="Q34" i="6"/>
  <c r="AC203" i="6"/>
  <c r="AD203" i="6" s="1"/>
  <c r="V44" i="10" s="1"/>
  <c r="W209" i="6"/>
  <c r="X209" i="6" s="1"/>
  <c r="AE109" i="12"/>
  <c r="X123" i="12"/>
  <c r="Y123" i="12" s="1"/>
  <c r="J36" i="15" s="1"/>
  <c r="AD76" i="6"/>
  <c r="U18" i="10" s="1"/>
  <c r="S168" i="12"/>
  <c r="X65" i="12"/>
  <c r="Y65" i="12" s="1"/>
  <c r="L21" i="15" s="1"/>
  <c r="X184" i="12"/>
  <c r="Y184" i="12" s="1"/>
  <c r="K51" i="15" s="1"/>
  <c r="W200" i="6"/>
  <c r="X58" i="12"/>
  <c r="Y58" i="12" s="1"/>
  <c r="K20" i="15" s="1"/>
  <c r="Q13" i="6"/>
  <c r="S127" i="12"/>
  <c r="Q3" i="6"/>
  <c r="Q6" i="6"/>
  <c r="AC32" i="6"/>
  <c r="AD32" i="6" s="1"/>
  <c r="AC77" i="6"/>
  <c r="AD77" i="6" s="1"/>
  <c r="Q96" i="12"/>
  <c r="AC101" i="12"/>
  <c r="AE101" i="12" s="1"/>
  <c r="R32" i="15" s="1"/>
  <c r="AC53" i="10"/>
  <c r="AC34" i="6"/>
  <c r="AD34" i="6" s="1"/>
  <c r="U12" i="10" s="1"/>
  <c r="AE127" i="12"/>
  <c r="L45" i="10"/>
  <c r="S38" i="10"/>
  <c r="M45" i="10"/>
  <c r="K43" i="10"/>
  <c r="H45" i="10"/>
  <c r="S10" i="10"/>
  <c r="K19" i="10"/>
  <c r="M19" i="10"/>
  <c r="R16" i="10"/>
  <c r="W16" i="10" s="1"/>
  <c r="E19" i="10"/>
  <c r="W93" i="12"/>
  <c r="Y93" i="12" s="1"/>
  <c r="J31" i="15" s="1"/>
  <c r="L16" i="10"/>
  <c r="U19" i="10"/>
  <c r="U113" i="12"/>
  <c r="W113" i="12" s="1"/>
  <c r="T8" i="10"/>
  <c r="W8" i="10" s="1"/>
  <c r="X59" i="12"/>
  <c r="Y59" i="12" s="1"/>
  <c r="L20" i="15" s="1"/>
  <c r="R60" i="12"/>
  <c r="X70" i="12"/>
  <c r="Y70" i="12" s="1"/>
  <c r="K22" i="15" s="1"/>
  <c r="U28" i="10"/>
  <c r="W28" i="10" s="1"/>
  <c r="F33" i="10"/>
  <c r="AC187" i="12"/>
  <c r="AD187" i="12"/>
  <c r="M37" i="10"/>
  <c r="P37" i="10" s="1"/>
  <c r="W58" i="15"/>
  <c r="X43" i="15"/>
  <c r="Y54" i="10"/>
  <c r="N6" i="16" s="1"/>
  <c r="Y53" i="10"/>
  <c r="F31" i="10"/>
  <c r="V34" i="10"/>
  <c r="W34" i="10" s="1"/>
  <c r="W26" i="15"/>
  <c r="E15" i="16"/>
  <c r="AB23" i="10"/>
  <c r="X26" i="15"/>
  <c r="F29" i="10"/>
  <c r="U114" i="12"/>
  <c r="W114" i="12" s="1"/>
  <c r="Y40" i="10"/>
  <c r="N5" i="16" s="1"/>
  <c r="Y39" i="10"/>
  <c r="O43" i="10"/>
  <c r="M44" i="10"/>
  <c r="K44" i="10"/>
  <c r="H47" i="10"/>
  <c r="K48" i="10"/>
  <c r="M46" i="10"/>
  <c r="E38" i="10"/>
  <c r="E44" i="10"/>
  <c r="T44" i="10"/>
  <c r="S19" i="10"/>
  <c r="T19" i="10"/>
  <c r="D19" i="10"/>
  <c r="K15" i="10"/>
  <c r="P15" i="10" s="1"/>
  <c r="S123" i="12"/>
  <c r="D36" i="15" s="1"/>
  <c r="N19" i="10"/>
  <c r="R19" i="10"/>
  <c r="U111" i="12"/>
  <c r="X111" i="12" s="1"/>
  <c r="K39" i="10"/>
  <c r="O23" i="10"/>
  <c r="M27" i="10"/>
  <c r="P27" i="10" s="1"/>
  <c r="M20" i="10"/>
  <c r="P20" i="10" s="1"/>
  <c r="N39" i="10"/>
  <c r="V59" i="15"/>
  <c r="V58" i="15"/>
  <c r="T14" i="10"/>
  <c r="W14" i="10" s="1"/>
  <c r="AB53" i="10"/>
  <c r="AC56" i="10"/>
  <c r="E16" i="16" s="1"/>
  <c r="AC23" i="10"/>
  <c r="Y62" i="15"/>
  <c r="E24" i="16" s="1"/>
  <c r="Y26" i="15"/>
  <c r="L46" i="10"/>
  <c r="V43" i="15"/>
  <c r="F38" i="10"/>
  <c r="L48" i="10"/>
  <c r="N44" i="10"/>
  <c r="O48" i="10"/>
  <c r="K45" i="10"/>
  <c r="H38" i="10"/>
  <c r="R38" i="10"/>
  <c r="O46" i="10"/>
  <c r="M48" i="10"/>
  <c r="L43" i="10"/>
  <c r="R44" i="10"/>
  <c r="S44" i="10"/>
  <c r="S70" i="12"/>
  <c r="E22" i="15" s="1"/>
  <c r="D15" i="10"/>
  <c r="K12" i="10"/>
  <c r="P12" i="10" s="1"/>
  <c r="N18" i="10"/>
  <c r="K16" i="10"/>
  <c r="P16" i="10" s="1"/>
  <c r="M8" i="10"/>
  <c r="P8" i="10" s="1"/>
  <c r="X60" i="12"/>
  <c r="Y60" i="12" s="1"/>
  <c r="M20" i="15" s="1"/>
  <c r="AD58" i="12"/>
  <c r="AE58" i="12" s="1"/>
  <c r="Q20" i="15" s="1"/>
  <c r="F32" i="10"/>
  <c r="S21" i="10"/>
  <c r="W21" i="10" s="1"/>
  <c r="Y24" i="10"/>
  <c r="N4" i="16" s="1"/>
  <c r="Y56" i="10"/>
  <c r="E12" i="16" s="1"/>
  <c r="Q7" i="6"/>
  <c r="AC33" i="6"/>
  <c r="AD33" i="6" s="1"/>
  <c r="M47" i="10"/>
  <c r="W210" i="6"/>
  <c r="W224" i="6"/>
  <c r="X224" i="6" s="1"/>
  <c r="X58" i="15"/>
  <c r="AD175" i="12"/>
  <c r="AC175" i="12"/>
  <c r="T17" i="10"/>
  <c r="W17" i="10" s="1"/>
  <c r="AB39" i="10"/>
  <c r="Q4" i="6"/>
  <c r="K47" i="10"/>
  <c r="O44" i="10"/>
  <c r="N46" i="10"/>
  <c r="L47" i="10"/>
  <c r="N47" i="10"/>
  <c r="M43" i="10"/>
  <c r="V46" i="10"/>
  <c r="D45" i="10"/>
  <c r="AE59" i="12"/>
  <c r="R20" i="15" s="1"/>
  <c r="O111" i="12"/>
  <c r="R111" i="12" s="1"/>
  <c r="H19" i="10"/>
  <c r="M18" i="10"/>
  <c r="S94" i="12"/>
  <c r="E31" i="15" s="1"/>
  <c r="F19" i="10"/>
  <c r="E10" i="10"/>
  <c r="T9" i="10"/>
  <c r="W9" i="10" s="1"/>
  <c r="AE193" i="12"/>
  <c r="T13" i="10"/>
  <c r="W13" i="10" s="1"/>
  <c r="V62" i="15"/>
  <c r="E21" i="16" s="1"/>
  <c r="V26" i="15"/>
  <c r="F20" i="10"/>
  <c r="Q187" i="12"/>
  <c r="R187" i="12"/>
  <c r="Y175" i="12"/>
  <c r="Q5" i="6"/>
  <c r="Q14" i="6"/>
  <c r="AC35" i="6"/>
  <c r="W73" i="6"/>
  <c r="X73" i="6" s="1"/>
  <c r="X183" i="12"/>
  <c r="Y183" i="12" s="1"/>
  <c r="J51" i="15" s="1"/>
  <c r="Z53" i="10"/>
  <c r="AA39" i="10"/>
  <c r="V19" i="10"/>
  <c r="R175" i="12"/>
  <c r="Q175" i="12"/>
  <c r="T15" i="10"/>
  <c r="W15" i="10" s="1"/>
  <c r="Q10" i="6"/>
  <c r="Q73" i="6"/>
  <c r="AC73" i="6"/>
  <c r="AD73" i="6" s="1"/>
  <c r="Z23" i="10"/>
  <c r="AA23" i="10"/>
  <c r="AA56" i="10"/>
  <c r="E14" i="16" s="1"/>
  <c r="S193" i="12"/>
  <c r="Y64" i="12"/>
  <c r="K21" i="15" s="1"/>
  <c r="N21" i="15" s="1"/>
  <c r="Y71" i="12"/>
  <c r="L22" i="15" s="1"/>
  <c r="AE99" i="12"/>
  <c r="Z21" i="6"/>
  <c r="AB21" i="6" s="1"/>
  <c r="Q21" i="6"/>
  <c r="W112" i="12"/>
  <c r="Y112" i="12" s="1"/>
  <c r="K34" i="15" s="1"/>
  <c r="BB114" i="12"/>
  <c r="BB112" i="12"/>
  <c r="R112" i="12"/>
  <c r="Q112" i="12"/>
  <c r="BB15" i="12"/>
  <c r="Q113" i="12"/>
  <c r="BB30" i="12"/>
  <c r="BB28" i="12"/>
  <c r="AB17" i="6"/>
  <c r="AD17" i="6" s="1"/>
  <c r="BB17" i="12"/>
  <c r="BB18" i="12"/>
  <c r="BB23" i="12"/>
  <c r="AB20" i="6"/>
  <c r="AD20" i="6" s="1"/>
  <c r="BB24" i="12"/>
  <c r="BB22" i="12"/>
  <c r="BB16" i="12"/>
  <c r="R17" i="6"/>
  <c r="BP17" i="6" s="1"/>
  <c r="R114" i="12"/>
  <c r="Q114" i="12"/>
  <c r="AD19" i="6"/>
  <c r="BP19" i="6" s="1"/>
  <c r="Q15" i="12"/>
  <c r="X172" i="12"/>
  <c r="Y172" i="12" s="1"/>
  <c r="K49" i="15" s="1"/>
  <c r="N49" i="15" s="1"/>
  <c r="R16" i="12"/>
  <c r="Q16" i="12"/>
  <c r="X16" i="12"/>
  <c r="W16" i="12"/>
  <c r="R17" i="12"/>
  <c r="Q17" i="12"/>
  <c r="R18" i="12"/>
  <c r="Q18" i="12"/>
  <c r="X17" i="12"/>
  <c r="W17" i="12"/>
  <c r="X15" i="12"/>
  <c r="W15" i="12"/>
  <c r="D16" i="6"/>
  <c r="C10" i="10" s="1"/>
  <c r="D65" i="6"/>
  <c r="C17" i="10" s="1"/>
  <c r="D158" i="12"/>
  <c r="D184" i="6"/>
  <c r="C38" i="10" s="1"/>
  <c r="D142" i="6"/>
  <c r="C32" i="10" s="1"/>
  <c r="D51" i="6"/>
  <c r="C15" i="10" s="1"/>
  <c r="D79" i="6"/>
  <c r="C19" i="10" s="1"/>
  <c r="D30" i="6"/>
  <c r="C12" i="10" s="1"/>
  <c r="D134" i="12"/>
  <c r="D156" i="6"/>
  <c r="C34" i="10" s="1"/>
  <c r="D128" i="6"/>
  <c r="C30" i="10" s="1"/>
  <c r="D9" i="6"/>
  <c r="C9" i="10" s="1"/>
  <c r="D206" i="12"/>
  <c r="D241" i="6"/>
  <c r="D140" i="12"/>
  <c r="D163" i="6"/>
  <c r="C35" i="10" s="1"/>
  <c r="D58" i="6"/>
  <c r="C16" i="10" s="1"/>
  <c r="D170" i="12"/>
  <c r="D198" i="6"/>
  <c r="C44" i="10" s="1"/>
  <c r="D107" i="6"/>
  <c r="C27" i="10" s="1"/>
  <c r="D176" i="12"/>
  <c r="D205" i="6"/>
  <c r="C45" i="10" s="1"/>
  <c r="D121" i="6"/>
  <c r="C29" i="10" s="1"/>
  <c r="D2" i="12"/>
  <c r="D2" i="6"/>
  <c r="C8" i="10" s="1"/>
  <c r="D164" i="12"/>
  <c r="D191" i="6"/>
  <c r="C43" i="10" s="1"/>
  <c r="D44" i="6"/>
  <c r="C14" i="10" s="1"/>
  <c r="D100" i="6"/>
  <c r="C22" i="10" s="1"/>
  <c r="D234" i="6"/>
  <c r="D200" i="12"/>
  <c r="D182" i="12"/>
  <c r="D212" i="6"/>
  <c r="C46" i="10" s="1"/>
  <c r="D218" i="12"/>
  <c r="D255" i="6"/>
  <c r="D212" i="12"/>
  <c r="D248" i="6"/>
  <c r="D72" i="6"/>
  <c r="C18" i="10" s="1"/>
  <c r="D23" i="6"/>
  <c r="C11" i="10" s="1"/>
  <c r="D114" i="6"/>
  <c r="C28" i="10" s="1"/>
  <c r="D149" i="6"/>
  <c r="C33" i="10" s="1"/>
  <c r="D93" i="6"/>
  <c r="C21" i="10" s="1"/>
  <c r="D146" i="12"/>
  <c r="D170" i="6"/>
  <c r="C36" i="10" s="1"/>
  <c r="D86" i="6"/>
  <c r="C20" i="10" s="1"/>
  <c r="D177" i="6"/>
  <c r="C37" i="10" s="1"/>
  <c r="D152" i="12"/>
  <c r="D135" i="6"/>
  <c r="C31" i="10" s="1"/>
  <c r="D37" i="6"/>
  <c r="C13" i="10" s="1"/>
  <c r="D194" i="12"/>
  <c r="D226" i="6"/>
  <c r="C48" i="10" s="1"/>
  <c r="D188" i="12"/>
  <c r="D219" i="6"/>
  <c r="C47" i="10" s="1"/>
  <c r="R192" i="6"/>
  <c r="R209" i="6"/>
  <c r="AD193" i="6"/>
  <c r="R223" i="6"/>
  <c r="AD209" i="6"/>
  <c r="AD213" i="6"/>
  <c r="AD216" i="6"/>
  <c r="AD206" i="6"/>
  <c r="R221" i="6"/>
  <c r="R202" i="6"/>
  <c r="AD214" i="6"/>
  <c r="AD222" i="6"/>
  <c r="R220" i="6"/>
  <c r="AD207" i="6"/>
  <c r="R222" i="6"/>
  <c r="AD220" i="6"/>
  <c r="S162" i="12"/>
  <c r="R217" i="6"/>
  <c r="BP217" i="6" s="1"/>
  <c r="R216" i="6"/>
  <c r="BP216" i="6" s="1"/>
  <c r="R213" i="6"/>
  <c r="AD192" i="6"/>
  <c r="AD187" i="6"/>
  <c r="BP187" i="6" s="1"/>
  <c r="R203" i="6"/>
  <c r="BP203" i="6" s="1"/>
  <c r="AE191" i="12"/>
  <c r="R52" i="15" s="1"/>
  <c r="S167" i="12"/>
  <c r="AE184" i="12"/>
  <c r="Q51" i="15" s="1"/>
  <c r="AE171" i="12"/>
  <c r="P49" i="15" s="1"/>
  <c r="AE166" i="12"/>
  <c r="Q48" i="15" s="1"/>
  <c r="S192" i="12"/>
  <c r="S171" i="12"/>
  <c r="S189" i="12"/>
  <c r="AE167" i="12"/>
  <c r="AE168" i="12"/>
  <c r="S172" i="12"/>
  <c r="AE189" i="12"/>
  <c r="P52" i="15" s="1"/>
  <c r="AE179" i="12"/>
  <c r="R50" i="15" s="1"/>
  <c r="S165" i="12"/>
  <c r="AE172" i="12"/>
  <c r="Q49" i="15" s="1"/>
  <c r="S184" i="12"/>
  <c r="S173" i="12"/>
  <c r="AE190" i="12"/>
  <c r="Q52" i="15" s="1"/>
  <c r="AE186" i="12"/>
  <c r="AE173" i="12"/>
  <c r="R49" i="15" s="1"/>
  <c r="AE174" i="12"/>
  <c r="S49" i="15" s="1"/>
  <c r="AE165" i="12"/>
  <c r="P48" i="15" s="1"/>
  <c r="S191" i="12"/>
  <c r="AE183" i="12"/>
  <c r="P51" i="15" s="1"/>
  <c r="AE161" i="12"/>
  <c r="R42" i="15" s="1"/>
  <c r="AE192" i="12"/>
  <c r="S52" i="15" s="1"/>
  <c r="AE162" i="12"/>
  <c r="S42" i="15" s="1"/>
  <c r="S190" i="12"/>
  <c r="AD215" i="6"/>
  <c r="R201" i="6"/>
  <c r="BP201" i="6" s="1"/>
  <c r="AD188" i="6"/>
  <c r="AD210" i="6"/>
  <c r="R199" i="6"/>
  <c r="BP199" i="6" s="1"/>
  <c r="AD221" i="6"/>
  <c r="AD189" i="6"/>
  <c r="BP189" i="6" s="1"/>
  <c r="R195" i="6"/>
  <c r="R188" i="6"/>
  <c r="R214" i="6"/>
  <c r="BP214" i="6" s="1"/>
  <c r="R208" i="6"/>
  <c r="AD224" i="6"/>
  <c r="AD223" i="6"/>
  <c r="AD202" i="6"/>
  <c r="AD208" i="6"/>
  <c r="R207" i="6"/>
  <c r="R196" i="6"/>
  <c r="R215" i="6"/>
  <c r="AD196" i="6"/>
  <c r="R193" i="6"/>
  <c r="BP193" i="6" s="1"/>
  <c r="R194" i="6"/>
  <c r="BP194" i="6" s="1"/>
  <c r="AD195" i="6"/>
  <c r="AN40" i="2"/>
  <c r="E242" i="20" s="1"/>
  <c r="AN43" i="2"/>
  <c r="E194" i="20" s="1"/>
  <c r="AN4" i="2"/>
  <c r="E202" i="20" s="1"/>
  <c r="AN22" i="2"/>
  <c r="E42" i="20" s="1"/>
  <c r="AN51" i="2"/>
  <c r="AN39" i="2"/>
  <c r="E250" i="20" s="1"/>
  <c r="AN11" i="2"/>
  <c r="E26" i="20" s="1"/>
  <c r="AN26" i="2"/>
  <c r="E226" i="20" s="1"/>
  <c r="AN19" i="2"/>
  <c r="E234" i="20" s="1"/>
  <c r="AN44" i="2"/>
  <c r="E170" i="20" s="1"/>
  <c r="AN16" i="2"/>
  <c r="E106" i="20" s="1"/>
  <c r="AN34" i="2"/>
  <c r="E98" i="20" s="1"/>
  <c r="AN7" i="2"/>
  <c r="AN13" i="2"/>
  <c r="E18" i="20" s="1"/>
  <c r="AN5" i="2"/>
  <c r="E186" i="20" s="1"/>
  <c r="AN8" i="2"/>
  <c r="AN28" i="2"/>
  <c r="E74" i="20" s="1"/>
  <c r="AN31" i="2"/>
  <c r="E66" i="20" s="1"/>
  <c r="AN50" i="2"/>
  <c r="E82" i="20" s="1"/>
  <c r="AN52" i="2"/>
  <c r="E210" i="20" s="1"/>
  <c r="AN61" i="2"/>
  <c r="E122" i="20" s="1"/>
  <c r="AN46" i="2"/>
  <c r="E162" i="20" s="1"/>
  <c r="AN33" i="2"/>
  <c r="E58" i="20" s="1"/>
  <c r="AN35" i="2"/>
  <c r="E90" i="20" s="1"/>
  <c r="AN54" i="2"/>
  <c r="E34" i="20" s="1"/>
  <c r="AN3" i="2"/>
  <c r="E178" i="20" s="1"/>
  <c r="AN45" i="2"/>
  <c r="E146" i="20" s="1"/>
  <c r="AN21" i="2"/>
  <c r="E10" i="20" s="1"/>
  <c r="AN37" i="2"/>
  <c r="AN23" i="2"/>
  <c r="E138" i="20" s="1"/>
  <c r="AN29" i="2"/>
  <c r="E218" i="20" s="1"/>
  <c r="AN15" i="2"/>
  <c r="E50" i="20" s="1"/>
  <c r="AN17" i="2"/>
  <c r="E114" i="20" s="1"/>
  <c r="AN38" i="2"/>
  <c r="AN27" i="2"/>
  <c r="E2" i="20" s="1"/>
  <c r="AN10" i="2"/>
  <c r="E130" i="20" s="1"/>
  <c r="BP132" i="6" l="1"/>
  <c r="I27" i="10"/>
  <c r="Z11" i="18"/>
  <c r="BP159" i="6"/>
  <c r="BP94" i="6"/>
  <c r="BP117" i="6"/>
  <c r="H17" i="15"/>
  <c r="I17" i="10"/>
  <c r="I35" i="10"/>
  <c r="BP31" i="6"/>
  <c r="BP131" i="6"/>
  <c r="N51" i="15"/>
  <c r="I32" i="10"/>
  <c r="BP96" i="6"/>
  <c r="BP91" i="6"/>
  <c r="BP40" i="6"/>
  <c r="BP69" i="6"/>
  <c r="BQ106" i="12"/>
  <c r="BQ156" i="12"/>
  <c r="BP157" i="6"/>
  <c r="BQ149" i="12"/>
  <c r="BQ22" i="12"/>
  <c r="BP196" i="6"/>
  <c r="BP188" i="6"/>
  <c r="T42" i="15"/>
  <c r="BP213" i="6"/>
  <c r="E16" i="10"/>
  <c r="I16" i="10" s="1"/>
  <c r="N23" i="15"/>
  <c r="Y15" i="18"/>
  <c r="BP160" i="6"/>
  <c r="BP166" i="6"/>
  <c r="BP167" i="6"/>
  <c r="BP115" i="6"/>
  <c r="BP137" i="6"/>
  <c r="BQ10" i="12"/>
  <c r="BP207" i="6"/>
  <c r="R29" i="10"/>
  <c r="W29" i="10" s="1"/>
  <c r="I29" i="10"/>
  <c r="N31" i="15"/>
  <c r="I22" i="10"/>
  <c r="G15" i="10"/>
  <c r="BP104" i="6"/>
  <c r="BP66" i="6"/>
  <c r="BP116" i="6"/>
  <c r="BP118" i="6"/>
  <c r="BQ32" i="20"/>
  <c r="BP110" i="6"/>
  <c r="BQ63" i="12"/>
  <c r="BQ107" i="12"/>
  <c r="BQ142" i="12"/>
  <c r="BQ141" i="12"/>
  <c r="BP208" i="6"/>
  <c r="F52" i="15"/>
  <c r="BQ191" i="12"/>
  <c r="S51" i="15"/>
  <c r="BQ186" i="12"/>
  <c r="E49" i="15"/>
  <c r="BQ172" i="12"/>
  <c r="D49" i="15"/>
  <c r="BQ171" i="12"/>
  <c r="BP202" i="6"/>
  <c r="BP209" i="6"/>
  <c r="S15" i="12"/>
  <c r="D13" i="15" s="1"/>
  <c r="P32" i="15"/>
  <c r="T32" i="15" s="1"/>
  <c r="BQ99" i="12"/>
  <c r="R73" i="6"/>
  <c r="BP73" i="6" s="1"/>
  <c r="R14" i="6"/>
  <c r="BP14" i="6"/>
  <c r="R4" i="6"/>
  <c r="BP4" i="6" s="1"/>
  <c r="X210" i="6"/>
  <c r="BP210" i="6" s="1"/>
  <c r="R3" i="6"/>
  <c r="BP3" i="6" s="1"/>
  <c r="BQ168" i="12"/>
  <c r="AD74" i="6"/>
  <c r="BP74" i="6" s="1"/>
  <c r="BQ123" i="12"/>
  <c r="G16" i="15"/>
  <c r="BQ36" i="12"/>
  <c r="F16" i="15"/>
  <c r="BQ35" i="12"/>
  <c r="G23" i="15"/>
  <c r="BQ78" i="12"/>
  <c r="S155" i="12"/>
  <c r="F41" i="15" s="1"/>
  <c r="E23" i="15"/>
  <c r="BQ76" i="12"/>
  <c r="BQ135" i="12"/>
  <c r="BQ64" i="12"/>
  <c r="AD75" i="6"/>
  <c r="T18" i="10" s="1"/>
  <c r="D10" i="21"/>
  <c r="D22" i="21" s="1"/>
  <c r="BQ28" i="20"/>
  <c r="D31" i="21"/>
  <c r="D39" i="21" s="1"/>
  <c r="BQ156" i="20"/>
  <c r="P10" i="18"/>
  <c r="BP46" i="17"/>
  <c r="T8" i="18"/>
  <c r="BP30" i="17"/>
  <c r="C31" i="21"/>
  <c r="BQ155" i="20"/>
  <c r="R8" i="18"/>
  <c r="BP28" i="17"/>
  <c r="C10" i="21"/>
  <c r="BQ27" i="20"/>
  <c r="BQ94" i="12"/>
  <c r="AA11" i="18"/>
  <c r="AA15" i="18"/>
  <c r="X14" i="18"/>
  <c r="X19" i="18"/>
  <c r="X18" i="18"/>
  <c r="X15" i="18"/>
  <c r="Z18" i="18"/>
  <c r="Z15" i="18"/>
  <c r="G10" i="18"/>
  <c r="BP47" i="17"/>
  <c r="I6" i="18"/>
  <c r="BP9" i="17"/>
  <c r="O10" i="18"/>
  <c r="BP45" i="17"/>
  <c r="H6" i="18"/>
  <c r="H15" i="18" s="1"/>
  <c r="BP8" i="17"/>
  <c r="G32" i="15"/>
  <c r="BQ102" i="12"/>
  <c r="S148" i="12"/>
  <c r="E40" i="15" s="1"/>
  <c r="G11" i="15"/>
  <c r="BQ6" i="12"/>
  <c r="G37" i="15"/>
  <c r="BQ132" i="12"/>
  <c r="D18" i="15"/>
  <c r="BQ45" i="12"/>
  <c r="F31" i="15"/>
  <c r="BQ95" i="12"/>
  <c r="D35" i="15"/>
  <c r="BQ117" i="12"/>
  <c r="D41" i="15"/>
  <c r="BQ153" i="12"/>
  <c r="E41" i="15"/>
  <c r="BQ154" i="12"/>
  <c r="F18" i="15"/>
  <c r="BQ47" i="12"/>
  <c r="G38" i="15"/>
  <c r="H38" i="15" s="1"/>
  <c r="BQ138" i="12"/>
  <c r="E36" i="15"/>
  <c r="BQ124" i="12"/>
  <c r="J42" i="21"/>
  <c r="AB18" i="18"/>
  <c r="AB15" i="18"/>
  <c r="BP48" i="17"/>
  <c r="D30" i="10"/>
  <c r="BP129" i="6"/>
  <c r="BQ82" i="12"/>
  <c r="BP215" i="6"/>
  <c r="D48" i="15"/>
  <c r="BQ165" i="12"/>
  <c r="G52" i="15"/>
  <c r="BQ192" i="12"/>
  <c r="BQ167" i="12"/>
  <c r="G42" i="15"/>
  <c r="BQ162" i="12"/>
  <c r="BP220" i="6"/>
  <c r="BP221" i="6"/>
  <c r="BP192" i="6"/>
  <c r="R10" i="6"/>
  <c r="BP10" i="6" s="1"/>
  <c r="R5" i="6"/>
  <c r="BP5" i="6" s="1"/>
  <c r="N22" i="15"/>
  <c r="X200" i="6"/>
  <c r="L44" i="10" s="1"/>
  <c r="S93" i="12"/>
  <c r="D31" i="15" s="1"/>
  <c r="R20" i="6"/>
  <c r="G10" i="10" s="1"/>
  <c r="R12" i="6"/>
  <c r="BP12" i="6"/>
  <c r="E25" i="15"/>
  <c r="BQ88" i="12"/>
  <c r="G25" i="15"/>
  <c r="BQ90" i="12"/>
  <c r="BQ12" i="12"/>
  <c r="S177" i="12"/>
  <c r="D50" i="15" s="1"/>
  <c r="R77" i="6"/>
  <c r="BP77" i="6" s="1"/>
  <c r="S120" i="12"/>
  <c r="G35" i="15" s="1"/>
  <c r="F10" i="21"/>
  <c r="BQ30" i="20"/>
  <c r="N8" i="18"/>
  <c r="BP24" i="17"/>
  <c r="C60" i="21"/>
  <c r="T10" i="18"/>
  <c r="BP50" i="17"/>
  <c r="M10" i="18"/>
  <c r="M15" i="18" s="1"/>
  <c r="BP43" i="17"/>
  <c r="J9" i="18"/>
  <c r="BP40" i="17"/>
  <c r="R7" i="18"/>
  <c r="BP18" i="17"/>
  <c r="H11" i="18"/>
  <c r="F31" i="21"/>
  <c r="F39" i="21" s="1"/>
  <c r="BQ158" i="20"/>
  <c r="I9" i="18"/>
  <c r="BP39" i="17"/>
  <c r="S8" i="18"/>
  <c r="BP29" i="17"/>
  <c r="N10" i="18"/>
  <c r="BP44" i="17"/>
  <c r="G13" i="10"/>
  <c r="I13" i="10" s="1"/>
  <c r="BP41" i="6"/>
  <c r="G18" i="10"/>
  <c r="BP76" i="6"/>
  <c r="H33" i="10"/>
  <c r="BP154" i="6"/>
  <c r="F49" i="15"/>
  <c r="BQ173" i="12"/>
  <c r="BP223" i="6"/>
  <c r="R21" i="6"/>
  <c r="W19" i="10"/>
  <c r="S60" i="12"/>
  <c r="G20" i="15" s="1"/>
  <c r="R13" i="6"/>
  <c r="BP13" i="6" s="1"/>
  <c r="R34" i="6"/>
  <c r="BP34" i="6" s="1"/>
  <c r="S174" i="12"/>
  <c r="G49" i="15" s="1"/>
  <c r="BQ83" i="12"/>
  <c r="S51" i="12"/>
  <c r="D19" i="15" s="1"/>
  <c r="N16" i="15"/>
  <c r="AD15" i="18"/>
  <c r="AD18" i="18"/>
  <c r="Q8" i="18"/>
  <c r="BP27" i="17"/>
  <c r="Q24" i="21"/>
  <c r="Q59" i="21"/>
  <c r="Q25" i="21"/>
  <c r="Q61" i="21"/>
  <c r="D6" i="25" s="1"/>
  <c r="E9" i="18"/>
  <c r="BP35" i="17"/>
  <c r="E10" i="21"/>
  <c r="BQ29" i="20"/>
  <c r="J6" i="18"/>
  <c r="BP10" i="17"/>
  <c r="P8" i="18"/>
  <c r="P15" i="18" s="1"/>
  <c r="BP26" i="17"/>
  <c r="G10" i="21"/>
  <c r="BQ31" i="20"/>
  <c r="G6" i="18"/>
  <c r="BP7" i="17"/>
  <c r="D11" i="18"/>
  <c r="D15" i="18"/>
  <c r="F7" i="18"/>
  <c r="BP16" i="17"/>
  <c r="E11" i="15"/>
  <c r="BQ4" i="12"/>
  <c r="G40" i="15"/>
  <c r="BQ150" i="12"/>
  <c r="E37" i="15"/>
  <c r="H37" i="15" s="1"/>
  <c r="BQ130" i="12"/>
  <c r="G39" i="15"/>
  <c r="H39" i="15" s="1"/>
  <c r="BQ144" i="12"/>
  <c r="E35" i="15"/>
  <c r="BQ118" i="12"/>
  <c r="D25" i="15"/>
  <c r="BQ87" i="12"/>
  <c r="F51" i="15"/>
  <c r="BQ185" i="12"/>
  <c r="G33" i="15"/>
  <c r="BQ108" i="12"/>
  <c r="D42" i="15"/>
  <c r="BQ159" i="12"/>
  <c r="F35" i="15"/>
  <c r="BQ119" i="12"/>
  <c r="F11" i="15"/>
  <c r="BQ5" i="12"/>
  <c r="E19" i="15"/>
  <c r="BQ52" i="12"/>
  <c r="BP4" i="17"/>
  <c r="BP34" i="17"/>
  <c r="E30" i="10"/>
  <c r="E39" i="10" s="1"/>
  <c r="BP130" i="6"/>
  <c r="BP206" i="6"/>
  <c r="BP195" i="6"/>
  <c r="E52" i="15"/>
  <c r="BQ190" i="12"/>
  <c r="E51" i="15"/>
  <c r="BQ184" i="12"/>
  <c r="D52" i="15"/>
  <c r="BQ189" i="12"/>
  <c r="BP222" i="6"/>
  <c r="S113" i="12"/>
  <c r="F34" i="15" s="1"/>
  <c r="AD35" i="6"/>
  <c r="BP35" i="6"/>
  <c r="R7" i="6"/>
  <c r="BP7" i="6"/>
  <c r="I33" i="10"/>
  <c r="R6" i="6"/>
  <c r="BP6" i="6" s="1"/>
  <c r="R11" i="6"/>
  <c r="BP11" i="6" s="1"/>
  <c r="T34" i="15"/>
  <c r="F25" i="15"/>
  <c r="BQ89" i="12"/>
  <c r="F23" i="15"/>
  <c r="BQ77" i="12"/>
  <c r="N25" i="15"/>
  <c r="G24" i="15"/>
  <c r="BQ84" i="12"/>
  <c r="N41" i="15"/>
  <c r="E16" i="15"/>
  <c r="H16" i="15" s="1"/>
  <c r="BQ34" i="12"/>
  <c r="T25" i="15"/>
  <c r="E7" i="18"/>
  <c r="BP15" i="17"/>
  <c r="O8" i="18"/>
  <c r="O18" i="18" s="1"/>
  <c r="BP25" i="17"/>
  <c r="C6" i="18"/>
  <c r="BP3" i="17"/>
  <c r="J7" i="18"/>
  <c r="BP20" i="17"/>
  <c r="R9" i="18"/>
  <c r="BP38" i="17"/>
  <c r="J25" i="21"/>
  <c r="J61" i="21"/>
  <c r="C6" i="25" s="1"/>
  <c r="G31" i="21"/>
  <c r="G39" i="21" s="1"/>
  <c r="BQ159" i="20"/>
  <c r="F6" i="18"/>
  <c r="BP6" i="17"/>
  <c r="T15" i="18"/>
  <c r="Q7" i="18"/>
  <c r="BP17" i="17"/>
  <c r="S15" i="18"/>
  <c r="S18" i="18"/>
  <c r="C9" i="18"/>
  <c r="BP33" i="17"/>
  <c r="H31" i="21"/>
  <c r="H39" i="21" s="1"/>
  <c r="BQ160" i="20"/>
  <c r="BQ70" i="12"/>
  <c r="BP13" i="17"/>
  <c r="BQ157" i="20"/>
  <c r="D31" i="10"/>
  <c r="I31" i="10" s="1"/>
  <c r="BP136" i="6"/>
  <c r="BP224" i="6"/>
  <c r="H36" i="10"/>
  <c r="I36" i="10" s="1"/>
  <c r="BP175" i="6"/>
  <c r="BP23" i="17"/>
  <c r="BQ33" i="12"/>
  <c r="BQ137" i="12"/>
  <c r="BQ126" i="12"/>
  <c r="T22" i="15"/>
  <c r="H33" i="15"/>
  <c r="H14" i="15"/>
  <c r="H32" i="15"/>
  <c r="BP38" i="6"/>
  <c r="BP67" i="6"/>
  <c r="BP48" i="6"/>
  <c r="BP36" i="17"/>
  <c r="BP112" i="6"/>
  <c r="BP49" i="6"/>
  <c r="BP32" i="6"/>
  <c r="BP165" i="6"/>
  <c r="BP182" i="6"/>
  <c r="BP87" i="6"/>
  <c r="BP101" i="6"/>
  <c r="BP179" i="6"/>
  <c r="BP54" i="6"/>
  <c r="BP172" i="6"/>
  <c r="BP97" i="6"/>
  <c r="BQ58" i="12"/>
  <c r="BQ72" i="12"/>
  <c r="BQ166" i="12"/>
  <c r="BP164" i="6"/>
  <c r="BP61" i="6"/>
  <c r="BQ125" i="12"/>
  <c r="BQ100" i="12"/>
  <c r="BQ101" i="12"/>
  <c r="BP42" i="6"/>
  <c r="BP70" i="6"/>
  <c r="BQ160" i="12"/>
  <c r="BQ21" i="12"/>
  <c r="BQ180" i="12"/>
  <c r="BQ3" i="12"/>
  <c r="BQ75" i="12"/>
  <c r="BQ131" i="12"/>
  <c r="BQ136" i="12"/>
  <c r="BQ143" i="12"/>
  <c r="BQ11" i="12"/>
  <c r="BP83" i="6"/>
  <c r="BP68" i="6"/>
  <c r="BP39" i="6"/>
  <c r="BP147" i="6"/>
  <c r="BP125" i="6"/>
  <c r="BP171" i="6"/>
  <c r="BP33" i="6"/>
  <c r="BP151" i="6"/>
  <c r="AC15" i="18"/>
  <c r="BP158" i="6"/>
  <c r="BP90" i="6"/>
  <c r="BQ81" i="12"/>
  <c r="BP53" i="6"/>
  <c r="BP62" i="6"/>
  <c r="BP14" i="17"/>
  <c r="BP95" i="6"/>
  <c r="BP150" i="6"/>
  <c r="BP103" i="6"/>
  <c r="BQ105" i="12"/>
  <c r="BQ71" i="12"/>
  <c r="BQ46" i="12"/>
  <c r="BQ30" i="12"/>
  <c r="BQ23" i="12"/>
  <c r="BP146" i="6"/>
  <c r="BQ129" i="12"/>
  <c r="BQ183" i="12"/>
  <c r="BQ24" i="12"/>
  <c r="BQ65" i="12"/>
  <c r="BQ59" i="12"/>
  <c r="BQ147" i="12"/>
  <c r="BP46" i="6"/>
  <c r="BP143" i="6"/>
  <c r="H20" i="15"/>
  <c r="H15" i="15"/>
  <c r="T16" i="15"/>
  <c r="S179" i="12"/>
  <c r="F50" i="15" s="1"/>
  <c r="S178" i="12"/>
  <c r="E50" i="15" s="1"/>
  <c r="H18" i="15"/>
  <c r="H51" i="15"/>
  <c r="T20" i="15"/>
  <c r="N20" i="15"/>
  <c r="H23" i="15"/>
  <c r="S161" i="12"/>
  <c r="F42" i="15" s="1"/>
  <c r="H42" i="15" s="1"/>
  <c r="H36" i="15"/>
  <c r="S96" i="12"/>
  <c r="G31" i="15" s="1"/>
  <c r="H31" i="15" s="1"/>
  <c r="H25" i="15"/>
  <c r="T23" i="15"/>
  <c r="S66" i="12"/>
  <c r="G21" i="15" s="1"/>
  <c r="H21" i="15" s="1"/>
  <c r="T31" i="15"/>
  <c r="S69" i="12"/>
  <c r="D22" i="15" s="1"/>
  <c r="H22" i="15" s="1"/>
  <c r="H35" i="15"/>
  <c r="T52" i="15"/>
  <c r="H52" i="15"/>
  <c r="T49" i="15"/>
  <c r="T50" i="15"/>
  <c r="T36" i="15"/>
  <c r="H49" i="15"/>
  <c r="T12" i="15"/>
  <c r="T35" i="15"/>
  <c r="T51" i="15"/>
  <c r="N36" i="15"/>
  <c r="P45" i="15"/>
  <c r="C15" i="25"/>
  <c r="C23" i="25" s="1"/>
  <c r="J60" i="15"/>
  <c r="I15" i="10"/>
  <c r="P46" i="10"/>
  <c r="I20" i="10"/>
  <c r="P44" i="10"/>
  <c r="P43" i="10"/>
  <c r="P38" i="10"/>
  <c r="P48" i="10"/>
  <c r="P19" i="10"/>
  <c r="P10" i="10"/>
  <c r="P29" i="10"/>
  <c r="I19" i="10"/>
  <c r="D14" i="25"/>
  <c r="D21" i="25" s="1"/>
  <c r="O48" i="15"/>
  <c r="E12" i="25"/>
  <c r="E7" i="25"/>
  <c r="N41" i="21"/>
  <c r="H57" i="21"/>
  <c r="G41" i="21"/>
  <c r="J41" i="21"/>
  <c r="L41" i="21"/>
  <c r="E60" i="21"/>
  <c r="J24" i="21"/>
  <c r="C41" i="21"/>
  <c r="E41" i="21"/>
  <c r="J40" i="21"/>
  <c r="C20" i="25" s="1"/>
  <c r="J60" i="21"/>
  <c r="J58" i="21"/>
  <c r="E24" i="21"/>
  <c r="N60" i="21"/>
  <c r="G60" i="21"/>
  <c r="L60" i="21"/>
  <c r="Q58" i="21"/>
  <c r="Q60" i="21"/>
  <c r="H22" i="25"/>
  <c r="D17" i="25"/>
  <c r="C58" i="21"/>
  <c r="C24" i="21"/>
  <c r="G24" i="21"/>
  <c r="N12" i="16"/>
  <c r="AF6" i="18"/>
  <c r="K10" i="18"/>
  <c r="AF9" i="18"/>
  <c r="AF10" i="18"/>
  <c r="U7" i="18"/>
  <c r="U6" i="18"/>
  <c r="K7" i="18"/>
  <c r="K9" i="18"/>
  <c r="U9" i="18"/>
  <c r="U10" i="18"/>
  <c r="U8" i="18"/>
  <c r="AB13" i="18"/>
  <c r="Q12" i="18"/>
  <c r="Q11" i="18"/>
  <c r="Q13" i="18"/>
  <c r="X13" i="18"/>
  <c r="G13" i="18"/>
  <c r="M13" i="18"/>
  <c r="S11" i="18"/>
  <c r="F11" i="18"/>
  <c r="AE11" i="18"/>
  <c r="I11" i="18"/>
  <c r="Z12" i="18"/>
  <c r="AB12" i="18"/>
  <c r="L23" i="10"/>
  <c r="Y11" i="18"/>
  <c r="R11" i="18"/>
  <c r="F57" i="21"/>
  <c r="D57" i="21"/>
  <c r="N7" i="16"/>
  <c r="S12" i="18"/>
  <c r="C40" i="21"/>
  <c r="B20" i="25" s="1"/>
  <c r="AD11" i="18"/>
  <c r="AD12" i="18"/>
  <c r="O57" i="21"/>
  <c r="X12" i="18"/>
  <c r="X11" i="18"/>
  <c r="K39" i="21"/>
  <c r="E22" i="21"/>
  <c r="E57" i="21"/>
  <c r="J57" i="21"/>
  <c r="J22" i="21"/>
  <c r="J23" i="21"/>
  <c r="C18" i="25" s="1"/>
  <c r="E258" i="20"/>
  <c r="E3" i="19"/>
  <c r="E2" i="17"/>
  <c r="E266" i="20"/>
  <c r="E13" i="19"/>
  <c r="E12" i="17"/>
  <c r="C11" i="18"/>
  <c r="C12" i="18"/>
  <c r="L57" i="21"/>
  <c r="C2" i="18"/>
  <c r="M57" i="21"/>
  <c r="O12" i="18"/>
  <c r="O11" i="18"/>
  <c r="J11" i="18"/>
  <c r="N11" i="18"/>
  <c r="C2" i="21"/>
  <c r="C5" i="25" s="1"/>
  <c r="P11" i="18"/>
  <c r="F22" i="21"/>
  <c r="Q57" i="21"/>
  <c r="Q23" i="21"/>
  <c r="D18" i="25" s="1"/>
  <c r="Q22" i="21"/>
  <c r="B2" i="21"/>
  <c r="B5" i="25" s="1"/>
  <c r="M12" i="18"/>
  <c r="M11" i="18"/>
  <c r="K57" i="21"/>
  <c r="T11" i="18"/>
  <c r="G22" i="21"/>
  <c r="E272" i="20"/>
  <c r="E23" i="19"/>
  <c r="E22" i="17"/>
  <c r="E284" i="20"/>
  <c r="E43" i="19"/>
  <c r="E42" i="17"/>
  <c r="E278" i="20"/>
  <c r="E32" i="17"/>
  <c r="E33" i="19"/>
  <c r="P44" i="15"/>
  <c r="M11" i="16" s="1"/>
  <c r="C57" i="21"/>
  <c r="C22" i="21"/>
  <c r="C23" i="21"/>
  <c r="B18" i="25" s="1"/>
  <c r="D2" i="18"/>
  <c r="G11" i="18"/>
  <c r="G12" i="18"/>
  <c r="E26" i="16"/>
  <c r="B3" i="16"/>
  <c r="K3" i="16" s="1"/>
  <c r="R39" i="10"/>
  <c r="E17" i="16"/>
  <c r="N13" i="16"/>
  <c r="E7" i="16"/>
  <c r="N9" i="16"/>
  <c r="E25" i="16"/>
  <c r="Q62" i="15"/>
  <c r="D22" i="16" s="1"/>
  <c r="C3" i="16"/>
  <c r="L3" i="16" s="1"/>
  <c r="S39" i="10"/>
  <c r="K43" i="15"/>
  <c r="Q43" i="15"/>
  <c r="G48" i="15"/>
  <c r="R48" i="15"/>
  <c r="W111" i="12"/>
  <c r="Y111" i="12" s="1"/>
  <c r="J34" i="15" s="1"/>
  <c r="M53" i="10"/>
  <c r="N23" i="10"/>
  <c r="F48" i="15"/>
  <c r="Q111" i="12"/>
  <c r="M39" i="10"/>
  <c r="S48" i="15"/>
  <c r="D2" i="15"/>
  <c r="L24" i="15"/>
  <c r="M24" i="15"/>
  <c r="F24" i="15"/>
  <c r="H24" i="15" s="1"/>
  <c r="R24" i="15"/>
  <c r="S24" i="15"/>
  <c r="S26" i="15" s="1"/>
  <c r="D12" i="15"/>
  <c r="H12" i="15" s="1"/>
  <c r="L58" i="15"/>
  <c r="E9" i="10"/>
  <c r="N45" i="10"/>
  <c r="N53" i="10" s="1"/>
  <c r="C2" i="10"/>
  <c r="P43" i="15"/>
  <c r="F9" i="10"/>
  <c r="AE175" i="12"/>
  <c r="V18" i="10"/>
  <c r="M58" i="15"/>
  <c r="S175" i="12"/>
  <c r="S187" i="12"/>
  <c r="X113" i="12"/>
  <c r="Y113" i="12" s="1"/>
  <c r="L34" i="15" s="1"/>
  <c r="L43" i="15" s="1"/>
  <c r="L56" i="10"/>
  <c r="C13" i="16" s="1"/>
  <c r="F39" i="10"/>
  <c r="H9" i="10"/>
  <c r="E8" i="10"/>
  <c r="T12" i="10"/>
  <c r="H8" i="10"/>
  <c r="D9" i="10"/>
  <c r="F43" i="10"/>
  <c r="U47" i="10"/>
  <c r="D44" i="10"/>
  <c r="H44" i="10"/>
  <c r="G46" i="10"/>
  <c r="F47" i="10"/>
  <c r="S46" i="10"/>
  <c r="U43" i="10"/>
  <c r="F46" i="10"/>
  <c r="U44" i="10"/>
  <c r="W44" i="10" s="1"/>
  <c r="E46" i="10"/>
  <c r="S47" i="10"/>
  <c r="F44" i="10"/>
  <c r="D46" i="10"/>
  <c r="R47" i="10"/>
  <c r="T47" i="10"/>
  <c r="R45" i="10"/>
  <c r="U45" i="10"/>
  <c r="D43" i="10"/>
  <c r="D10" i="10"/>
  <c r="H10" i="10"/>
  <c r="G8" i="10"/>
  <c r="R18" i="10"/>
  <c r="K58" i="15"/>
  <c r="K53" i="10"/>
  <c r="H43" i="10"/>
  <c r="G38" i="10"/>
  <c r="I38" i="10" s="1"/>
  <c r="T46" i="10"/>
  <c r="G47" i="10"/>
  <c r="T10" i="10"/>
  <c r="U10" i="10"/>
  <c r="R10" i="10"/>
  <c r="D18" i="10"/>
  <c r="F8" i="10"/>
  <c r="O47" i="10"/>
  <c r="P47" i="10" s="1"/>
  <c r="M23" i="10"/>
  <c r="M56" i="10"/>
  <c r="C14" i="16" s="1"/>
  <c r="S18" i="10"/>
  <c r="G12" i="10"/>
  <c r="I12" i="10" s="1"/>
  <c r="D8" i="10"/>
  <c r="B2" i="10"/>
  <c r="J58" i="15"/>
  <c r="V47" i="10"/>
  <c r="K18" i="10"/>
  <c r="G9" i="10"/>
  <c r="H18" i="10"/>
  <c r="K40" i="10"/>
  <c r="L5" i="16" s="1"/>
  <c r="AE187" i="12"/>
  <c r="E43" i="10"/>
  <c r="E45" i="10"/>
  <c r="G43" i="10"/>
  <c r="V45" i="10"/>
  <c r="T38" i="10"/>
  <c r="T39" i="10" s="1"/>
  <c r="H46" i="10"/>
  <c r="S45" i="10"/>
  <c r="G44" i="10"/>
  <c r="U46" i="10"/>
  <c r="S43" i="10"/>
  <c r="V43" i="10"/>
  <c r="T45" i="10"/>
  <c r="F45" i="10"/>
  <c r="V38" i="10"/>
  <c r="V39" i="10" s="1"/>
  <c r="S43" i="15"/>
  <c r="U38" i="10"/>
  <c r="U39" i="10" s="1"/>
  <c r="R43" i="10"/>
  <c r="D47" i="10"/>
  <c r="E47" i="10"/>
  <c r="R46" i="10"/>
  <c r="G45" i="10"/>
  <c r="S12" i="10"/>
  <c r="V12" i="10"/>
  <c r="O45" i="10"/>
  <c r="L53" i="10"/>
  <c r="X114" i="12"/>
  <c r="Y114" i="12" s="1"/>
  <c r="M34" i="15" s="1"/>
  <c r="M43" i="15" s="1"/>
  <c r="AC21" i="6"/>
  <c r="AD21" i="6" s="1"/>
  <c r="D3" i="16" s="1"/>
  <c r="M3" i="16" s="1"/>
  <c r="S112" i="12"/>
  <c r="E34" i="15" s="1"/>
  <c r="E43" i="15" s="1"/>
  <c r="S114" i="12"/>
  <c r="G34" i="15" s="1"/>
  <c r="B14" i="25" s="1"/>
  <c r="Y17" i="12"/>
  <c r="L13" i="15" s="1"/>
  <c r="S17" i="12"/>
  <c r="F13" i="15" s="1"/>
  <c r="S16" i="12"/>
  <c r="E13" i="15" s="1"/>
  <c r="Y15" i="12"/>
  <c r="S18" i="12"/>
  <c r="G13" i="15" s="1"/>
  <c r="Y16" i="12"/>
  <c r="K13" i="15" s="1"/>
  <c r="K26" i="15" s="1"/>
  <c r="E72" i="6"/>
  <c r="E62" i="12"/>
  <c r="E86" i="6"/>
  <c r="E74" i="12"/>
  <c r="E32" i="12"/>
  <c r="E37" i="6"/>
  <c r="E234" i="6"/>
  <c r="E200" i="12"/>
  <c r="E104" i="12"/>
  <c r="E121" i="6"/>
  <c r="E156" i="6"/>
  <c r="E134" i="12"/>
  <c r="E122" i="12"/>
  <c r="E142" i="6"/>
  <c r="E58" i="6"/>
  <c r="E50" i="12"/>
  <c r="E14" i="12"/>
  <c r="E16" i="6"/>
  <c r="E80" i="12"/>
  <c r="E93" i="6"/>
  <c r="E23" i="6"/>
  <c r="E20" i="12"/>
  <c r="E152" i="12"/>
  <c r="E177" i="6"/>
  <c r="E2" i="12"/>
  <c r="E2" i="6"/>
  <c r="E164" i="12"/>
  <c r="E191" i="6"/>
  <c r="E110" i="12"/>
  <c r="E128" i="6"/>
  <c r="E51" i="6"/>
  <c r="E44" i="12"/>
  <c r="E163" i="6"/>
  <c r="E140" i="12"/>
  <c r="E198" i="6"/>
  <c r="E170" i="12"/>
  <c r="E100" i="6"/>
  <c r="E86" i="12"/>
  <c r="E206" i="12"/>
  <c r="E241" i="6"/>
  <c r="E30" i="6"/>
  <c r="E26" i="12"/>
  <c r="E92" i="12"/>
  <c r="E107" i="6"/>
  <c r="E65" i="6"/>
  <c r="E56" i="12"/>
  <c r="E255" i="6"/>
  <c r="E218" i="12"/>
  <c r="E128" i="12"/>
  <c r="E149" i="6"/>
  <c r="E188" i="12"/>
  <c r="E219" i="6"/>
  <c r="E146" i="12"/>
  <c r="E170" i="6"/>
  <c r="E98" i="12"/>
  <c r="E114" i="6"/>
  <c r="E44" i="6"/>
  <c r="E38" i="12"/>
  <c r="E8" i="12"/>
  <c r="E9" i="6"/>
  <c r="E68" i="12"/>
  <c r="E79" i="6"/>
  <c r="E158" i="12"/>
  <c r="E184" i="6"/>
  <c r="E212" i="12"/>
  <c r="E248" i="6"/>
  <c r="E116" i="12"/>
  <c r="E135" i="6"/>
  <c r="E205" i="6"/>
  <c r="E176" i="12"/>
  <c r="E226" i="6"/>
  <c r="E194" i="12"/>
  <c r="E212" i="6"/>
  <c r="E182" i="12"/>
  <c r="AS2" i="2"/>
  <c r="AQ2" i="2"/>
  <c r="AR2" i="2"/>
  <c r="X193" i="12"/>
  <c r="Y193" i="12" s="1"/>
  <c r="T24" i="15" l="1"/>
  <c r="M14" i="18"/>
  <c r="Q18" i="18"/>
  <c r="BP75" i="6"/>
  <c r="H48" i="15"/>
  <c r="T48" i="15"/>
  <c r="C25" i="21"/>
  <c r="N15" i="18"/>
  <c r="BQ93" i="12"/>
  <c r="BQ155" i="12"/>
  <c r="BP21" i="6"/>
  <c r="BQ174" i="12"/>
  <c r="R15" i="18"/>
  <c r="BQ120" i="12"/>
  <c r="BQ177" i="12"/>
  <c r="W18" i="10"/>
  <c r="O15" i="18"/>
  <c r="BQ148" i="12"/>
  <c r="BQ113" i="12"/>
  <c r="BQ66" i="12"/>
  <c r="BP20" i="6"/>
  <c r="BP200" i="6"/>
  <c r="BQ16" i="12"/>
  <c r="D39" i="10"/>
  <c r="I30" i="10"/>
  <c r="BQ96" i="12"/>
  <c r="W47" i="10"/>
  <c r="W12" i="10"/>
  <c r="H50" i="15"/>
  <c r="G15" i="18"/>
  <c r="G18" i="18"/>
  <c r="M19" i="18"/>
  <c r="BQ17" i="12"/>
  <c r="W43" i="10"/>
  <c r="W45" i="10"/>
  <c r="Q15" i="18"/>
  <c r="BQ178" i="12"/>
  <c r="BQ18" i="12"/>
  <c r="BQ51" i="12"/>
  <c r="W38" i="10"/>
  <c r="BQ114" i="12"/>
  <c r="M18" i="18"/>
  <c r="C61" i="21"/>
  <c r="B6" i="25" s="1"/>
  <c r="H40" i="15"/>
  <c r="I15" i="18"/>
  <c r="I12" i="18"/>
  <c r="I18" i="18"/>
  <c r="W46" i="10"/>
  <c r="I10" i="10"/>
  <c r="N24" i="15"/>
  <c r="BQ161" i="12"/>
  <c r="F15" i="18"/>
  <c r="C18" i="18"/>
  <c r="C15" i="18"/>
  <c r="D16" i="18"/>
  <c r="BQ179" i="12"/>
  <c r="H39" i="10"/>
  <c r="H11" i="15"/>
  <c r="G57" i="21"/>
  <c r="J15" i="18"/>
  <c r="H19" i="15"/>
  <c r="BQ60" i="12"/>
  <c r="BQ69" i="12"/>
  <c r="BQ112" i="12"/>
  <c r="C39" i="21"/>
  <c r="C42" i="21"/>
  <c r="H41" i="15"/>
  <c r="BQ15" i="12"/>
  <c r="E62" i="15"/>
  <c r="B22" i="16" s="1"/>
  <c r="F43" i="15"/>
  <c r="S111" i="12"/>
  <c r="D34" i="15" s="1"/>
  <c r="D65" i="15" s="1"/>
  <c r="H13" i="15"/>
  <c r="J43" i="15"/>
  <c r="N34" i="15"/>
  <c r="D6" i="16"/>
  <c r="D4" i="25"/>
  <c r="P65" i="15"/>
  <c r="D28" i="15"/>
  <c r="B4" i="25"/>
  <c r="C4" i="25"/>
  <c r="J28" i="15"/>
  <c r="D60" i="15"/>
  <c r="P60" i="15"/>
  <c r="J45" i="15"/>
  <c r="R64" i="15"/>
  <c r="P66" i="15"/>
  <c r="D45" i="15"/>
  <c r="P28" i="15"/>
  <c r="I45" i="10"/>
  <c r="K24" i="10"/>
  <c r="L4" i="16" s="1"/>
  <c r="P18" i="10"/>
  <c r="I8" i="10"/>
  <c r="P45" i="10"/>
  <c r="I9" i="10"/>
  <c r="I43" i="10"/>
  <c r="I44" i="10"/>
  <c r="I47" i="10"/>
  <c r="I46" i="10"/>
  <c r="I18" i="10"/>
  <c r="C4" i="16"/>
  <c r="K58" i="10"/>
  <c r="B4" i="16"/>
  <c r="D58" i="10"/>
  <c r="D57" i="10"/>
  <c r="K57" i="10"/>
  <c r="D13" i="25"/>
  <c r="D19" i="25" s="1"/>
  <c r="I48" i="15"/>
  <c r="D59" i="15" s="1"/>
  <c r="B3" i="25"/>
  <c r="B12" i="25" s="1"/>
  <c r="B13" i="25"/>
  <c r="B19" i="25" s="1"/>
  <c r="B15" i="25"/>
  <c r="B23" i="25" s="1"/>
  <c r="U48" i="15"/>
  <c r="D3" i="25"/>
  <c r="C13" i="25"/>
  <c r="C3" i="25"/>
  <c r="C12" i="25" s="1"/>
  <c r="D15" i="25"/>
  <c r="D23" i="25" s="1"/>
  <c r="C14" i="25"/>
  <c r="H14" i="25" s="1"/>
  <c r="B21" i="25"/>
  <c r="H20" i="25"/>
  <c r="C17" i="25"/>
  <c r="H18" i="25"/>
  <c r="B17" i="25"/>
  <c r="L62" i="15"/>
  <c r="C23" i="16" s="1"/>
  <c r="D53" i="10"/>
  <c r="G62" i="15"/>
  <c r="B24" i="16" s="1"/>
  <c r="D5" i="16"/>
  <c r="D7" i="16" s="1"/>
  <c r="D23" i="10"/>
  <c r="D56" i="10"/>
  <c r="B12" i="16" s="1"/>
  <c r="D24" i="10"/>
  <c r="K4" i="16" s="1"/>
  <c r="N56" i="10"/>
  <c r="C15" i="16" s="1"/>
  <c r="F62" i="15"/>
  <c r="B23" i="16" s="1"/>
  <c r="F26" i="15"/>
  <c r="K62" i="15"/>
  <c r="C22" i="16" s="1"/>
  <c r="C5" i="16"/>
  <c r="B5" i="16"/>
  <c r="K54" i="10"/>
  <c r="L6" i="16" s="1"/>
  <c r="D43" i="15"/>
  <c r="J44" i="15"/>
  <c r="L11" i="16" s="1"/>
  <c r="M62" i="15"/>
  <c r="C24" i="16" s="1"/>
  <c r="P27" i="15"/>
  <c r="M10" i="16" s="1"/>
  <c r="L26" i="15"/>
  <c r="M26" i="15"/>
  <c r="J13" i="15"/>
  <c r="N13" i="15" s="1"/>
  <c r="C2" i="15"/>
  <c r="D27" i="15"/>
  <c r="K10" i="16" s="1"/>
  <c r="D26" i="15"/>
  <c r="T23" i="10"/>
  <c r="R26" i="15"/>
  <c r="T53" i="10"/>
  <c r="R58" i="15"/>
  <c r="O56" i="10"/>
  <c r="C16" i="16" s="1"/>
  <c r="O53" i="10"/>
  <c r="T56" i="10"/>
  <c r="D14" i="16" s="1"/>
  <c r="H53" i="10"/>
  <c r="G58" i="15"/>
  <c r="E58" i="15"/>
  <c r="S56" i="10"/>
  <c r="D13" i="16" s="1"/>
  <c r="S23" i="10"/>
  <c r="V53" i="10"/>
  <c r="G53" i="10"/>
  <c r="E53" i="10"/>
  <c r="J59" i="15"/>
  <c r="R40" i="10"/>
  <c r="M5" i="16" s="1"/>
  <c r="S62" i="15"/>
  <c r="D24" i="16" s="1"/>
  <c r="G43" i="15"/>
  <c r="S58" i="15"/>
  <c r="E26" i="15"/>
  <c r="Q26" i="15"/>
  <c r="F23" i="10"/>
  <c r="F56" i="10"/>
  <c r="B14" i="16" s="1"/>
  <c r="R23" i="10"/>
  <c r="R56" i="10"/>
  <c r="D12" i="16" s="1"/>
  <c r="G56" i="10"/>
  <c r="B15" i="16" s="1"/>
  <c r="G23" i="10"/>
  <c r="D54" i="10"/>
  <c r="K6" i="16" s="1"/>
  <c r="F53" i="10"/>
  <c r="R53" i="10"/>
  <c r="R54" i="10"/>
  <c r="M6" i="16" s="1"/>
  <c r="S53" i="10"/>
  <c r="P62" i="15"/>
  <c r="D21" i="16" s="1"/>
  <c r="P26" i="15"/>
  <c r="G26" i="15"/>
  <c r="D58" i="15"/>
  <c r="F58" i="15"/>
  <c r="H56" i="10"/>
  <c r="B16" i="16" s="1"/>
  <c r="H23" i="10"/>
  <c r="V10" i="10"/>
  <c r="R58" i="10" s="1"/>
  <c r="D2" i="10"/>
  <c r="R43" i="15"/>
  <c r="P58" i="15"/>
  <c r="P59" i="15"/>
  <c r="M12" i="16" s="1"/>
  <c r="Q58" i="15"/>
  <c r="R62" i="15"/>
  <c r="D23" i="16" s="1"/>
  <c r="K23" i="10"/>
  <c r="K56" i="10"/>
  <c r="C12" i="16" s="1"/>
  <c r="U23" i="10"/>
  <c r="U56" i="10"/>
  <c r="D15" i="16" s="1"/>
  <c r="D40" i="10"/>
  <c r="K5" i="16" s="1"/>
  <c r="G39" i="10"/>
  <c r="U53" i="10"/>
  <c r="E56" i="10"/>
  <c r="B13" i="16" s="1"/>
  <c r="E23" i="10"/>
  <c r="L7" i="16" l="1"/>
  <c r="W10" i="10"/>
  <c r="D66" i="15"/>
  <c r="BQ111" i="12"/>
  <c r="D44" i="15"/>
  <c r="K11" i="16" s="1"/>
  <c r="B2" i="15"/>
  <c r="D62" i="15"/>
  <c r="B21" i="16" s="1"/>
  <c r="B25" i="16" s="1"/>
  <c r="B6" i="16"/>
  <c r="H34" i="15"/>
  <c r="C7" i="25"/>
  <c r="C6" i="16"/>
  <c r="J65" i="15"/>
  <c r="J66" i="15"/>
  <c r="B7" i="25"/>
  <c r="R57" i="10"/>
  <c r="D4" i="16"/>
  <c r="H13" i="25"/>
  <c r="C21" i="25"/>
  <c r="C19" i="25"/>
  <c r="J27" i="15"/>
  <c r="L10" i="16" s="1"/>
  <c r="H15" i="25"/>
  <c r="D12" i="25"/>
  <c r="D7" i="25"/>
  <c r="K12" i="16"/>
  <c r="K13" i="16" s="1"/>
  <c r="L12" i="16"/>
  <c r="C26" i="16"/>
  <c r="B26" i="16"/>
  <c r="M9" i="16"/>
  <c r="C17" i="16"/>
  <c r="M13" i="16"/>
  <c r="D25" i="16"/>
  <c r="K7" i="16"/>
  <c r="K9" i="16"/>
  <c r="B7" i="16"/>
  <c r="B17" i="16"/>
  <c r="D26" i="16"/>
  <c r="C7" i="16"/>
  <c r="L9" i="16"/>
  <c r="J62" i="15"/>
  <c r="C21" i="16" s="1"/>
  <c r="C25" i="16" s="1"/>
  <c r="J26" i="15"/>
  <c r="V56" i="10"/>
  <c r="D16" i="16" s="1"/>
  <c r="D17" i="16" s="1"/>
  <c r="V23" i="10"/>
  <c r="R24" i="10"/>
  <c r="M4" i="16" s="1"/>
  <c r="M7" i="16" s="1"/>
  <c r="P5" i="17"/>
  <c r="Q5" i="17"/>
  <c r="L13" i="16" l="1"/>
  <c r="R5" i="17"/>
  <c r="BP5" i="17" s="1"/>
  <c r="E6" i="18" l="1"/>
  <c r="B2" i="18"/>
  <c r="K6" i="18" l="1"/>
  <c r="E18" i="18"/>
  <c r="E15" i="18"/>
  <c r="C19" i="18"/>
  <c r="C13" i="18"/>
  <c r="C14" i="18"/>
  <c r="E12" i="18"/>
  <c r="E11" i="18"/>
</calcChain>
</file>

<file path=xl/sharedStrings.xml><?xml version="1.0" encoding="utf-8"?>
<sst xmlns="http://schemas.openxmlformats.org/spreadsheetml/2006/main" count="3479" uniqueCount="804">
  <si>
    <t>type</t>
  </si>
  <si>
    <t>academic</t>
  </si>
  <si>
    <t>industry</t>
  </si>
  <si>
    <t>public sector</t>
  </si>
  <si>
    <t># of sentences</t>
  </si>
  <si>
    <t># of meta sent.</t>
  </si>
  <si>
    <t># of rel. ref.</t>
  </si>
  <si>
    <t>avg. sentence length</t>
  </si>
  <si>
    <t>Active VOS</t>
  </si>
  <si>
    <t>Oracle</t>
  </si>
  <si>
    <t>BizAgi 1</t>
  </si>
  <si>
    <t>BizAgi 2</t>
  </si>
  <si>
    <t>ACME</t>
  </si>
  <si>
    <t>HR Process - HR</t>
  </si>
  <si>
    <t>Exercise 1</t>
  </si>
  <si>
    <t>Exercise 2</t>
  </si>
  <si>
    <t>Exercise 3a</t>
  </si>
  <si>
    <t>Exercise 3b</t>
  </si>
  <si>
    <t>Exercise 4</t>
  </si>
  <si>
    <t>Exercise 5</t>
  </si>
  <si>
    <t>similarity</t>
  </si>
  <si>
    <t>B2</t>
  </si>
  <si>
    <t>B3</t>
  </si>
  <si>
    <t>B4</t>
  </si>
  <si>
    <t>B5.1</t>
  </si>
  <si>
    <t>B5.2</t>
  </si>
  <si>
    <t>B6</t>
  </si>
  <si>
    <t>B7</t>
  </si>
  <si>
    <t>B8</t>
  </si>
  <si>
    <t>C1</t>
  </si>
  <si>
    <t>C2</t>
  </si>
  <si>
    <t>C3</t>
  </si>
  <si>
    <t>D1</t>
  </si>
  <si>
    <t>D2</t>
  </si>
  <si>
    <t>D3</t>
  </si>
  <si>
    <t>source - model</t>
  </si>
  <si>
    <t>2009-1 MC Finalise SCT Warrant Possession</t>
  </si>
  <si>
    <t>2009-2 Conduct Directiosn Hearings</t>
  </si>
  <si>
    <t>2009-4 event-based gateways</t>
  </si>
  <si>
    <t>2010-1 Claims Notification</t>
  </si>
  <si>
    <t>2010-2 Claims Creation</t>
  </si>
  <si>
    <t>2010-3 Cleams Handling</t>
  </si>
  <si>
    <t>textbook</t>
  </si>
  <si>
    <t># of links</t>
  </si>
  <si>
    <t>inubit University</t>
  </si>
  <si>
    <t>TU - supplier switch</t>
  </si>
  <si>
    <t>FNA - B6</t>
  </si>
  <si>
    <t>Spalte1</t>
  </si>
  <si>
    <t>TU Berlin - Total - 2 models</t>
  </si>
  <si>
    <t>QUT - Total - 8 models</t>
  </si>
  <si>
    <t>FNA - Metrology Processes  - Total - 14 models</t>
  </si>
  <si>
    <t>HR process - Simple</t>
  </si>
  <si>
    <t>HR Process - Functional Department</t>
  </si>
  <si>
    <t>Frank Puhlmann - Calling Leads</t>
  </si>
  <si>
    <t>Help - Tutorial</t>
  </si>
  <si>
    <t>Turbopixel</t>
  </si>
  <si>
    <t>Powerlicht</t>
  </si>
  <si>
    <t>PhD Thesis - Hajo Reijers</t>
  </si>
  <si>
    <t>2009-3 Repetition/Cylces</t>
  </si>
  <si>
    <t>Vendor Tutorials - Total - 4 models</t>
  </si>
  <si>
    <t>inubit AG - Total - 4 models</t>
  </si>
  <si>
    <t>BPM Practicioners - Total - 1 model</t>
  </si>
  <si>
    <t>TU Eindhoven - Total - 1 model</t>
  </si>
  <si>
    <t>1 Introduction 1</t>
  </si>
  <si>
    <t>1.1 Motivation . . . . . . . . . . . . . . . . . . . . . . . . . . . . . . . . . . . . 1</t>
  </si>
  <si>
    <t>1.2 Research Contribution . . . . . . . . . . . . . . . . . . . . . . . . . . . . . 3</t>
  </si>
  <si>
    <t>1.3 Research Methodology . . . . . . . . . . . . . . . . . . . . . . . . . . . . . 3</t>
  </si>
  <si>
    <t>1.4 Structure of this Thesis . . . . . . . . . . . . . . . . . . . . . . . . . . . . . 6</t>
  </si>
  <si>
    <t>2 Background 7</t>
  </si>
  <si>
    <t>2.1 Business Process Management . . . . . . . . . . . . . . . . . . . . . . . . . 7</t>
  </si>
  <si>
    <t>2.2 Natural Language Processing . . . . . . . . . . . . . . . . . . . . . . . . . 7</t>
  </si>
  <si>
    <t>2.2.1 Syntax Parsing . . . . . . . . . . . . . . . . . . . . . . . . . . . . . 8</t>
  </si>
  <si>
    <t>2.2.2 Anaphora Resolution . . . . . . . . . . . . . . . . . . . . . . . . . . 10</t>
  </si>
  <si>
    <t>2.2.3 Semantic Analysis . . . . . . . . . . . . . . . . . . . . . . . . . . . 11</t>
  </si>
  <si>
    <t>2.3 Application of NLP in the area of BPM . . . . . . . . . . . . . . . . . . . . 14</t>
  </si>
  <si>
    <t>2.4 Other Related Work . . . . . . . . . . . . . . . . . . . . . . . . . . . . . . 16</t>
  </si>
  <si>
    <t>3 Transformation Approach 17</t>
  </si>
  <si>
    <t>3.1 Categorization of Issues . . . . . . . . . . . . . . . . . . . . . . . . . . . . 17</t>
  </si>
  <si>
    <t>3.1.1 Semantics 6= Syntax . . . . . . . . . . . . . . . . . . . . . . . . . . 17</t>
  </si>
  <si>
    <t>3.1.2 Atomicity . . . . . . . . . . . . . . . . . . . . . . . . . . . . . . . . 19</t>
  </si>
  <si>
    <t>3.1.3 Relevance . . . . . . . . . . . . . . . . . . . . . . . . . . . . . . . . 21</t>
  </si>
  <si>
    <t>3.1.4 Referencing . . . . . . . . . . . . . . . . . . . . . . . . . . . . . . . 22</t>
  </si>
  <si>
    <t>3.1.5 Solution Strategy . . . . . . . . . . . . . . . . . . . . . . . . . . . . 23</t>
  </si>
  <si>
    <t>3.2 Assumptions . . . . . . . . . . . . . . . . . . . . . . . . . . . . . . . . . . . 24</t>
  </si>
  <si>
    <t>3.3 Intermediate Data Structure (World Model) . . . . . . . . . . . . . . . . . 24</t>
  </si>
  <si>
    <t>3.4 Sentence Level Analysis . . . . . . . . . . . . . . . . . . . . . . . . . . . . 25</t>
  </si>
  <si>
    <t>3.4.1 Text and Sentence Decomposition . . . . . . . . . . . . . . . . . . . 25</t>
  </si>
  <si>
    <t>3.4.2 Action Extraction . . . . . . . . . . . . . . . . . . . . . . . . . . . . 28</t>
  </si>
  <si>
    <t>3.4.3 Element Creation and Semantic Analysis . . . . . . . . . . . . . . . 36</t>
  </si>
  <si>
    <t>3.5 Text Level Analysis . . . . . . . . . . . . . . . . . . . . . . . . . . . . . . . 43</t>
  </si>
  <si>
    <t>3.5.1 Anaphora Resolution Technique . . . . . . . . . . . . . . . . . . . . 44</t>
  </si>
  <si>
    <t>3.5.2 Action combination . . . . . . . . . . . . . . . . . . . . . . . . . . . 47</t>
  </si>
  <si>
    <t>3.5.3 Conditional Marking . . . . . . . . . . . . . . . . . . . . . . . . . . 47</t>
  </si>
  <si>
    <t>3.5.4 Inter-Action Link determination . . . . . . . . . . . . . . . . . . . . 47</t>
  </si>
  <si>
    <t>3.5.5 Flow Generation . . . . . . . . . . . . . . . . . . . . . . . . . . . . 47</t>
  </si>
  <si>
    <t>3.6 Process Model Generation . . . . . . . . . . . . . . . . . . . . . . . . . . . 47</t>
  </si>
  <si>
    <t>3.7 Lane Split-o_x000B_ Procedure . . . . . . . . . . . . . . . . . . . . . . . . . . . . 47</t>
  </si>
  <si>
    <t>3.7.1 SequenceFlow Transformation . . . . . . . . . . . . . . . . . . . . . 47</t>
  </si>
  <si>
    <t>3.7.2 Building Semantic Communication Links . . . . . . . . . . . . . . . 51</t>
  </si>
  <si>
    <t>4 Evaluation of Generated Process Models 54</t>
  </si>
  <si>
    <t>4.1 Test Data Set . . . . . . . . . . . . . . . . . . . . . . . . . . . . . . . . . . 55</t>
  </si>
  <si>
    <t>4.2 Evaluation Methodology . . . . . . . . . . . . . . . . . . . . . . . . . . . . 56</t>
  </si>
  <si>
    <t>4.3 Evaluation Methodology . . . . . . . . . . . . . . . . . . . . . . . . . . . . 58</t>
  </si>
  <si>
    <t>4.4 Test Results . . . . . . . . . . . . . . . . . . . . . . . . . . . . . . . . . . . 58</t>
  </si>
  <si>
    <t>4.5 Discussion . . . . . . . . . . . . . . . . . . . . . . . . . . . . . . . . . . . . 58</t>
  </si>
  <si>
    <t>5 Further Work and Limitations 58</t>
  </si>
  <si>
    <t>5.1 Discussion . . . . . . . . . . . . . . . . . . . . . . . . . . . . . . . . . . . . 58</t>
  </si>
  <si>
    <t>5.2 Transfer to other languages . . . . . . . . . . . . . . . . . . . . . . . . . . 58</t>
  </si>
  <si>
    <t>5.3 Dynamic interview system . . . . . . . . . . . . . . . . . . . . . . . . . . . 58</t>
  </si>
  <si>
    <t>References 59</t>
  </si>
  <si>
    <t>Appendix A Example models 67</t>
  </si>
  <si>
    <t># of nodes gen</t>
  </si>
  <si>
    <t># of nodes hum</t>
  </si>
  <si>
    <t># of nodes difference</t>
  </si>
  <si>
    <t># of edges gen</t>
  </si>
  <si>
    <t># of edges hum</t>
  </si>
  <si>
    <t># of edges difference</t>
  </si>
  <si>
    <t>HU Berlin - Total - 4 models</t>
  </si>
  <si>
    <t>Supplier Switch</t>
  </si>
  <si>
    <t>SLA Violation</t>
  </si>
  <si>
    <t>1 - bicycle manufacturing</t>
  </si>
  <si>
    <t>2 - Computer repair</t>
  </si>
  <si>
    <t>3 - Hotel Service</t>
  </si>
  <si>
    <t>4 - Underwriters</t>
  </si>
  <si>
    <t>model</t>
  </si>
  <si>
    <t># of references</t>
  </si>
  <si>
    <t>Total</t>
  </si>
  <si>
    <t>BART</t>
  </si>
  <si>
    <t>Reconcile</t>
  </si>
  <si>
    <t>our approach</t>
  </si>
  <si>
    <t>Errors</t>
  </si>
  <si>
    <t>faulty recognition of meta actors (forms)</t>
  </si>
  <si>
    <t>parser failed</t>
  </si>
  <si>
    <t>waterfall type</t>
  </si>
  <si>
    <t>faulty animacy detection</t>
  </si>
  <si>
    <t>ID</t>
  </si>
  <si>
    <t>1-1</t>
  </si>
  <si>
    <t>1-2</t>
  </si>
  <si>
    <t>1-3</t>
  </si>
  <si>
    <t>1-4</t>
  </si>
  <si>
    <t>2-1</t>
  </si>
  <si>
    <t>2-2</t>
  </si>
  <si>
    <t>3-1</t>
  </si>
  <si>
    <t>3-2</t>
  </si>
  <si>
    <t>3-3</t>
  </si>
  <si>
    <t>3-4</t>
  </si>
  <si>
    <t>3-5</t>
  </si>
  <si>
    <t>3-6</t>
  </si>
  <si>
    <t>3-7</t>
  </si>
  <si>
    <t>3-8</t>
  </si>
  <si>
    <t>4-1</t>
  </si>
  <si>
    <t>5-1</t>
  </si>
  <si>
    <t>5-2</t>
  </si>
  <si>
    <t>5-3</t>
  </si>
  <si>
    <t>5-4</t>
  </si>
  <si>
    <t>6-1</t>
  </si>
  <si>
    <t>6-2</t>
  </si>
  <si>
    <t>6-3</t>
  </si>
  <si>
    <t>6-4</t>
  </si>
  <si>
    <t>7-1</t>
  </si>
  <si>
    <t>8-1</t>
  </si>
  <si>
    <t>8-2</t>
  </si>
  <si>
    <t>8-3</t>
  </si>
  <si>
    <t>9-1</t>
  </si>
  <si>
    <t>9-2</t>
  </si>
  <si>
    <t>9-3</t>
  </si>
  <si>
    <t>9-4</t>
  </si>
  <si>
    <t>9-5</t>
  </si>
  <si>
    <t>9-6</t>
  </si>
  <si>
    <t>10-1</t>
  </si>
  <si>
    <t>10-2</t>
  </si>
  <si>
    <t>10-3</t>
  </si>
  <si>
    <t>10-4</t>
  </si>
  <si>
    <t>10-5</t>
  </si>
  <si>
    <t>10-6</t>
  </si>
  <si>
    <t>10-7</t>
  </si>
  <si>
    <t>10-8</t>
  </si>
  <si>
    <t>10-9</t>
  </si>
  <si>
    <t>10-10</t>
  </si>
  <si>
    <t>10-11</t>
  </si>
  <si>
    <t>10-12</t>
  </si>
  <si>
    <t>10-13</t>
  </si>
  <si>
    <t>10-14</t>
  </si>
  <si>
    <t>1</t>
  </si>
  <si>
    <t>2</t>
  </si>
  <si>
    <t>3</t>
  </si>
  <si>
    <t>4</t>
  </si>
  <si>
    <t>5</t>
  </si>
  <si>
    <t>6</t>
  </si>
  <si>
    <t>7</t>
  </si>
  <si>
    <t>8</t>
  </si>
  <si>
    <t>9</t>
  </si>
  <si>
    <t>10</t>
  </si>
  <si>
    <t># of gateways gen</t>
  </si>
  <si>
    <t># of gateways hum</t>
  </si>
  <si>
    <t># of gateways diff</t>
  </si>
  <si>
    <t>BPMN M&amp;R guide - Total - 6 models</t>
  </si>
  <si>
    <t>BPMN Prac. Handbook - Total (3 Models)</t>
  </si>
  <si>
    <t>2009-5 P\&amp;E Lodge Originating Document by Post</t>
  </si>
  <si>
    <t>Start</t>
  </si>
  <si>
    <t>End</t>
  </si>
  <si>
    <t>SequenceFlow</t>
  </si>
  <si>
    <t>XOR</t>
  </si>
  <si>
    <t>eventBasedGateway</t>
  </si>
  <si>
    <t>Start Message</t>
  </si>
  <si>
    <t>Task</t>
  </si>
  <si>
    <t>MessageFlow</t>
  </si>
  <si>
    <t>intermediateCatchEvent + messageEventDefinition</t>
  </si>
  <si>
    <t>expanded subprocess</t>
  </si>
  <si>
    <t>A customer brings in a defective computer and the CRS checks the defect and hands out a repair cost calculation back. If the customer decides that the costs are acceptable, the process continues, otherwise she takes her computer home unrepaired. The ongoing repair consists of two activities, which are executed, in an arbitrary order. The first activity is to check and repair the hardware, whereas the second activity checks and configures the software. After each of these activities, the proper system functionality is tested. If an error is detected another arbitrary repair activity is executed, otherwise the repair is finished.</t>
  </si>
  <si>
    <t>The Evanstonian is an upscale independent hotel. When a guest calls room service at The Evanstonian, the room-service manager takes down the order. She then submits an order ticket to the kitchen to begin preparing the food. She also gives an order to the sommelier (i.e., the wine waiter) to fetch wine from the cellar and to prepare any other alcoholic beverages. Eighty percent of room-service orders include wine or some other alcoholic beverage. Finally, she assigns the order to the waiter. While the kitchen and the sommelier are doing their tasks, the waiter readies a cart (i.e., puts a tablecloth on the cart and gathers silverware). The waiter is also responsible for nonalcoholic drinks. Once the food, wine, and cart are ready, the waiter delivers it to the guests room. After returning to the room-service station, the waiter debits the guests account. The waiter may wait to do the billing if he has another order to prepare or deliver.</t>
  </si>
  <si>
    <t>Whenever a company makes the decision to go public, its first task is to select the un- derwriters. Underwriters act as financial midwives to a new issue. Usually they play a triple role: First they provide the company with procedural and financial advice, then they buy the issue, and finally they resell it to the public. Established underwriters are careful of their reputation and will not handle a new issue unless they believe the facts have been presented fairly. Thus, in addition to handling the sale of a companys issue, the underwriters in effect give their seal of approval to it. They prepare a registration statement for the approval of the Securities and Exchange Commission (SEC). In addition to registering the issue with the SEC, they need to check that the issue complies with the so-called blue-sky laws of each state that regulate sales of securities within the state. While the registration statement is awaiting approval, underwriters begin to firm up the issue price. They arrange a road show to talk to potential investors. Immediately after they receive clearance from the SEC, underwriters fix the issue price. After that they enter into a firm commitment to buy the stock and then offer it to the public, when they havent still found any reason not to do it.</t>
  </si>
  <si>
    <t>Inclusive gateway</t>
  </si>
  <si>
    <t>Pools</t>
  </si>
  <si>
    <t>Lanes</t>
  </si>
  <si>
    <t>End throw error</t>
  </si>
  <si>
    <t>Expanded subprocess + boundary error</t>
  </si>
  <si>
    <t>intermediateThrowEvent + messageEventDefinition</t>
  </si>
  <si>
    <t>Boundary: Inter,ediate errorEventDefinition + task</t>
  </si>
  <si>
    <t>Boundary: intermedia Message Event + task</t>
  </si>
  <si>
    <t>At the beginning the customer perceives that her subscribed service has degraded. A list with all the problem parameters is then sent to the Customer Service department of TELECO. At the customer service an employee enters (based on the received data) a problem report into system T.. Then the problem report is compared to the customer SLA to identify what the extent and the details of the service degradation are. Based on this, the necessary counter measures are determined including their respective priorities. An electronic service then determines the significance of the customer based on information that has been collected during the history of the contractual relationship. In case the customer is premium, the process will link to an extra problem fix process (this process will not be detailed here). In case the customer is of certain significance which would affect the counter measures previously decided upon, the process goes back to re-prioritize these measures otherwise the process continues. Taking together the information (i.e. contract commitment data + prioritized actions) a detailed problem report is created. The detailed problem report is then sent to Service Management. Service Management deals on a first level with violations of quality in services that are provided to customers. After receiving the detailed problem report, Service management investigates whether the problem is analyzable at the level of their department or whether the problem may be located at Resource Provisioning. In case Service Management assesses the problem to be not analyzable by themselves, the detailed problem report is sent out to Resource Provisioning. If Service Management is sure they can analyze it, they perform the analysis and based on the outcome they create a trouble report that indicates the type of problem. After Resource Provisioning receives the detailed problem report, it is checked whether there are any possible problems. If no problems are detected, a notification about the normal service execution is created. If a problem is detected this will be analyzed by Resource Provisioning and a trouble report is created. Either trouble report or the normal execution notification will be included in a status report and sent back to Service Management. Service Management then prepares the final status report based on the received information. Subsequently it has to be determined what counter measures should be taken depending on the information in the final status report. Three alternative process paths may be taken. For the case that no problem was detected at all, the actual service performance is sent back to the Customer Service. For the case that minor corrective actions are required, Service Management will undertake corrective actions by themselves. Subsequently, the problem resolution report is created and then sent out to Customer Service. After sending, this process path of Service Management ends. For the case that automatic resource restoration from Resource Provisioning is required, Service Management must create a request for automatic resource restoration. This message is then sent to Resource Provisioning. Resource Provisioning has been on-hold and waiting for a restoration request but this must happen within 2 days after the status report was sent out, otherwise Resource Provisioning terminates the process. After the restoration request is received, all possible errors are tracked. Based on the tracked errors, all necessary corrective actions are undertaken by Resource Provisioning. Then a trouble-shooting report is created. This report is sent out to Service Management; then the process ends. The trouble-shooting report is received by Service Management and this information goes then into the creation of the problem resolution report just as described for ii). Customer Service either receives the actual service performance (if there was no problem) or the problem resolution report. Then, two concurrent activities are triggered, i.e. i) a report is created for the customer which details the current service performance and the resolution of the problem, and ii) an SLA violation rebate is reported to Billing &amp; Collections who will adjust the billing. The report for the customer is sent out to her. After all three activities are completed the process ends within Customer Service. After the customer then receives the report about service performance and problem resolution from Customer Service, the process flow at the customer also ends.</t>
  </si>
  <si>
    <t>The process is initiated by a switch-over request. In doing so, the customer transmits his data to the customer service department of the company. Customer service is a shared service center between the departments Sales and Distribution. The customer data is received by customer service and based on this data a customer data object is entered into the CRM system. After customer data has been entered it should then be compared with the internal customer data base and checked for completeness and plausibility. In case of any errors these should be corrected on the basis of a simple error list. The comparison of data is done to prevent individual customer data being stored multiple times. In case the customer does not exist in the customer data base, a new customer object is being created which will remain the data object of interest during the rest of the process flow. This object consists of data elements such as the customers name and address and the assigned power gauge. The generated customer object is then used, in combination with other customer data to prepare the contract documents for the power supplier switch (including data such as bank connection, information on the selected rate, requested date of switch-over). In the following an automated check of the contract documents is carried out within the CIS (customer information system) in order to confirm their successful generation. In case of a negative response, i.e. the contract documents are not (or incorrectly) generated, the causing issues are being analyzed and resolved. Subsequently the contract documents are generated once again. In case of a positive response a confirmation document is sent out to the customer stating that the switch-over to the new supplier can be executed. A request to the grid operator is automatically sent out by the CIS. It puts the question whether the customer may be supplied by the selected supplier in the future. The switch-over request is checked by the grid operator for supplier concurrence, and the grid operator transmits a response comment. In the case of supplier concurrence the grid operator would inform all involved suppliers and demand the resolution of the conflict. The grid operator communicates with the old supplier and carries out the termination of the sales agreement between the customer and the old supplier (i.e. the customer service (of the new supplier) does not have to interact with the old supplier regarding termination). If there are not any objections by the grid operator (i.e. no supplier concurrence), customer service creates a CIS contract. The customer then has the chance to check the contract details and based on this check may decide to either withdraw from the switch contract or confirm it. Depending on the customers acceptance/rejection the process flow at customer service either ends (in case of withdrawal) or continues (in case of a confirmation). An additional constraint is that the customer can only withdraw from the offered contract within 7 days after the 7th day the contract will be regarded as accepted and the process continues. The confirmation message by the customer is therefore not absolutely necessary (as it will count as accepted after 7 days in any way) but it can speed up the switch process. On the switch-date, but no later than 10 days after power supply has begun, the grid operator transmits the power meter data to the customer service and the old supplier via messages containing a services consumption report. At the same time, the grid operator computes the final billing based on the meter data and sends it to the old supplier. Likewise the old supplier creates and sends the final billing to the customer. For the customer as well as the grid operator the process ends then. After receiving the meter data customer service imports the meter data to systems that require the information. The process of winning a new customer ends here.</t>
  </si>
  <si>
    <t>Each morning, the files which have yet to be processed need to be checked, to make sure they are in order for the court hearing that day. If some files are missing, a search is initiated, otherwise the files can be physically tracked to the intended location. Once all the files are ready, these are handed to the Associate, and meantime the Judges Lawlist is distributed to the relevant people. Afterwards, the directions hearings are conducted.</t>
  </si>
  <si>
    <t>After a claim is registered, it is examined by a claims officer. The claims officer then writes a ”settlement recommendation”. This recommendation is then checked by a senior claims officer who may mark the claim as ”OK” or ”Not OK”. If the claim is marked as ”Not OK”, it is sent back to the claims officer and the recommendation is repeated. If the claim is OK, the claim handling process proceeds.</t>
  </si>
  <si>
    <t>Associations</t>
  </si>
  <si>
    <t>Data Object Reference</t>
  </si>
  <si>
    <t>intermediateCatchEvent + TimerEventDefinition</t>
  </si>
  <si>
    <t>Intermediate Catch + Link Event</t>
  </si>
  <si>
    <t>In the context of a claim handling process, it is sometimes necessary to send a questionnaire to the
claimant to gather additional information. 
The claimant is expected to return the questionnaire within five days. 
If no response is received after five days, a reminder is sent to the claimant. 
If after another five days there is still no response, another reminder is sent and so on until the completed questionnaire is received.</t>
  </si>
  <si>
    <t>Grouping</t>
  </si>
  <si>
    <t>Text Annotation</t>
  </si>
  <si>
    <t>The intake workflow starts with a notice by telephone at the secretarial office of the mental health care institute. This notice is done by the family doctor of somebody who is in need of mental treatment. The secretarial worker inquires after the name and residence of the patient. On the basis of this information, the doctor is put through to the nursing officer responsible for the part of the region that the patient lives in. The nursing officer makes a full inquiry into the mental, health, and social state of the patient in question. This information is recorded on a registration form. At the end of the conversation, this form is handed in at the secretarial office of the institute. Here, the information on the form is stored in the information system and subsequently printed. For new patients, a patient file is created. The registration form as well as the print from the information system are stored in the patient file. Patient files are kept at the secretarial office and may not leave the building. At the secretarial office, two registration cards are produced for respectively the future first and second intaker of the patient. The registration card contains a set of basic patient data. The new patient is added on the list of new notices. Halfway the week, at Wednesday, a staff meeting of the entire medical team takes place. The medical team consists of social-medical workers, physicians, and a psychiatrist. At this meeting, the team-leader assigns all new patients on the list of new notices to members of the team. Each patient will be assigned to a social-medical worker, who will act as the first intaker of the patient. One of the physicians will act as the second intaker. In assigning intakers, the teamleader takes into account their expertise, the region they are responsible for, earlier contacts they might have had with the patient, and their case load. The assignments are recorded on an assignment list which is handed to the secretarial office. For each new assignment, it is also determined whether the medical file of the patient is required. This information is added to the assignment list. The secretarial office stores the assignment of each patient of the assignment list in the information system. It passes the produced registration cards to the first and second intaker of each newly assigned patient. An intaker keeps this registration with him at times when visiting the patient and in his close proximity when he is at the office. For each patient for which the medical file is required, the secretarial office prepares and sends a letter to the family doctor of the patient, requesting for a copy of the medical file. As soon as this copy is received, the secretarial office will inform the second intaker and add the copy to the patient file. The first intaker plans a meeting with the patient as soon as this is possible. During the first meeting, the patient is examined using a standard checklist which is filled out. Additional observations are registered in a personal notebook. After a visit, the first intaker puts a copy of these notes in the file of a patient. The standard checklist is also added to the patient’s file. The second intaker plans the first meeting only after the medical information of the physician if required has been received. Physicians use dictaphones to record their observations made during meetings with patients. The secretarial office types out these tapes, after which the information is added to the patient file. As soon as the meetings of the first and second intaker with the patient have taken place, the secretarial office puts the patient on the list of patients that reach this status. For the staff meeting on Wednesday, they provide the team-leader with a list of these patients. For each of these patients, the first and second intaker together with the team-leader and the attending psychiatrist formulate a treatment plan. This treatment plan formally ends the intake procedure.</t>
  </si>
  <si>
    <t>End Message thrown</t>
  </si>
  <si>
    <t>Default sequence flow</t>
  </si>
  <si>
    <t xml:space="preserve">Task Message Sent </t>
  </si>
  <si>
    <t>Task Message Receive</t>
  </si>
  <si>
    <t>Task System</t>
  </si>
  <si>
    <t>Start Link</t>
  </si>
  <si>
    <t>collapsed subprocess</t>
  </si>
  <si>
    <t>Intermediate Throw + Link Event</t>
  </si>
  <si>
    <t>Starte Timer</t>
  </si>
  <si>
    <t>Every time we get a new order from the sales department, first, one of my masters determines the necessary parts and quantities as well as the delivery date. Once that information is present, it has to be entered into our production planning system (PPS). It optimizes our production processes and creates possibly uniform work packages so that the setup times are minimized. Besides, it creates a list of parts to be procured. Unfortunately it is not coupled correctly to our Enterprise Resource Planning system (ERP), so the data must be transferred manually. By the way, that is the second step. Once all the data is present, we need to decide whether any parts are missing and must be procured or if this is not necessary. Once production is scheduled to start, we receive a notice from the system and an employee takes care of the implementation.Finally, the order will be checked again for its quality.</t>
  </si>
  <si>
    <t>The first step is to determine contact details of potential customers. This can be achieved in several ways. Sometimes, we buy details for cold calls, sometimes, our marketing staff participates in exhibitions and sometimes, you just happen to know somebody, who is interested in the product. Then we start calling the customer. That is done by the call center staff. They are determining the contact person and the budget which would be available for the project. Of course, asking the customer whether he is generally interested is also important. If this is not the case, we leave him alone, except if the potential project budget is huge. Then the head of development personally tries to acquire the customer. If the customer is interested in the end, the next step is a detailed online presentation. It is given either by a sales representative or by a pre-sales employee in case of a more technical presentation. Afterwards we are waiting for the customer to come back to us. If we are not contacted within 2 weeks, a sales representative is calling the customer. The last phase is the creation of a quotation.</t>
  </si>
  <si>
    <t>Task Manual</t>
  </si>
  <si>
    <t>Task User</t>
  </si>
  <si>
    <t>First, the Manager checks the open leads. Afterwards, he selects the top five ones. He then tells his Sales Assistant to call the contact person of the leads. The Sales Assistant calls each customer. If someone is interested, he sends a note to the Manager. The Manager then processes the lead. Otherwise, he calls the next customer.</t>
  </si>
  <si>
    <t>Start Conditional</t>
  </si>
  <si>
    <t>When I have detected a number of personnel requirements, I report the vacancy to the Personnel Department. Then I wait to get the job description for review before it is advertized. Under certain circumstances, I must ask for corrections again, otherwise I approve the job description. Sometimes it also happens that the colleague from the HR department still has questions about the tasks and requirements before he can describe the job. Then I am available for clarifications, of course.</t>
  </si>
  <si>
    <t>Task Manual Repeated</t>
  </si>
  <si>
    <t>Data Object Reference Multiple Instances</t>
  </si>
  <si>
    <t>Every weekday morning, the database is backed up and then it is checked to see whether
the “Account Defaulter” table has new records. If no new records are found, then the
process should check the CRM system to see whether new returns have been filed. If new
returns exist, then register all defaulting accounts and customers. If the defaulting client
codes have not been previously advised, produce another table of defaulting accounts and
send to account management. All of this must be completed by 2:30 pm, if it is not, then an
alert should be sent to the supervisor. Once the new defaulting account report has been
completed, check the CRM system to see whether new returns have been filed. If new
returns have been filed, reconcile with the existing account defaulters table. This must be
completed by 4:00 pm otherwise a supervisor should be sent a message.</t>
  </si>
  <si>
    <t>collapsed subprocess multiple instances</t>
  </si>
  <si>
    <t>The Customer Service Representative sends a Mortgage offer to the customer and waits
whether they have been previous defaulters. It also uses a series of parallel Timer
for a reply. If the customer calls or writes back declining the mortgage, the case details are
Intermediate Events to send the alert, in combination with the Terminate End Events.
updated and the work is then archived prior to cancellation. If the customer sends back the completed offer documents and attaches all prerequisite documents then the case is moved to administration for completion. If all pre-requisite documents are not provided a message is generated to the customer requesting outstanding documents. If no answer is received after 2 weeks, the case details are updated prior to archive and cancellation.</t>
  </si>
  <si>
    <t>Start Signal</t>
  </si>
  <si>
    <t>End Signal</t>
  </si>
  <si>
    <t>End Cancel</t>
  </si>
  <si>
    <t>Boundary: Intermediate catch Timer event</t>
  </si>
  <si>
    <t>Mail from the party is collected on a daily basis by the Mail Processing Unit. Within this unit, the Mail Clerk sorts the unopened mail into the various business areas. The mail is then distributed. When the mail is received by the Registry, it is opened and sorted into groups for distribution, and thus registered in a manual incoming Mail Register. Afterwards, the Assistant Registry Manager within the Registry performs a quality check. If the mail is not compliant, a list of requisition explaining the reason for rejection is compiled and sent back to the party. Otherwise, the matter details (types of action) are captured and provided to the Cashier, who takes the applicable fees attached to the mail. At this point, the Assistant Registry Manager puts the receipt and copied documents into an envelope and posts it to the party. Meantime, the Cashier captures the Party Details and prints the Physical Court File.</t>
  </si>
  <si>
    <t>Model Complexity</t>
  </si>
  <si>
    <t>The MPON reports the meter operation to the GO. The GO examines the application of the MPON. The GO rejects the application of the MPON or the GO confirmes the application of the MPON. The GO informs the MPOO about the registration confirmation of the MPON. The GO informs the MSPO about the registration confirmation of the MPON. The MPON and the MPOO perform the equipment acquisition and/or equipment changes. The MPON informs the GO about the failure of the entire process or the MPON informs the GO about the successful completion of the entire process. The GO informs the MPON about the failure of the overall transaction by deadline if after a maximum time limit no message of the MPON is present at the GO. If the MPON informs the GO about the failure of the entire process, the GO confirms the failure of the assignment to the MPON. If the MPON informs the GO about the successful completion of the overall process, the GO assigns the MPON. The GO confirms the assignment to the MPON. The GO informs the MPOO about the failure of the assignment of the MPON or the GO informs the MPOO about the assignment of the MPON. The GO informs the MSPO about the failure of the assignment of the MPON or the GO informs the MSPO about the assignment of the MPON. The GO informs the SP about the assignment of the MPON.</t>
  </si>
  <si>
    <t>Start Error</t>
  </si>
  <si>
    <t>Model Complexity Category</t>
  </si>
  <si>
    <t>Parallel</t>
  </si>
  <si>
    <t>The MPOO deregisters at the GO. The GO verifies the deregistration. The GO rejects the deregistration of the MPOO or the GO preliminarily confirms the deregistration of the MPOO. The GO prepares the readmission of the measuring point. Optionally, the GO may oblige the MPOO to continue the operations. If the GO binds the MPOO to continue the operation, the MPOO confirms the continuation to the MPOO. The GO performs the equipment acquisition and/or equipment changes. The GO assigns the GO as MPO. The GO informs the MPOO about the end of the assignment of the MPOO and the beginning of the assignment of the GO. The GO informs the MSPO about the assignment of the GO. The GO informs the SP about the assignment of the GO.</t>
  </si>
  <si>
    <t>The MPON notifies the MPOO about equipment change intentions. The MPOO an- nounces self dismounting to the MPON or the MPOO shall notify the MPON about no self-dismounting of the MPOO. The MPON or the MPOO perform the final reading. The MPON or the MPOO dismount the old equipment. The MPON mounts the new device. The MPON reads the meter count from the installed meter. The MPON sents the values of the final reading to the GO. The MPON tells the GO about the device changes, the master data and the meter count at installation. The GO shall notify the MSP about the device changes, the master data, the meter count at dismounting, and the meter count at installation.</t>
  </si>
  <si>
    <t>The MPON requests a device takeover bid of the MPOO. The MPOO sends a tender for the equipment takeover to the MPON. The MPON places an order at the MPOO. The MPOO confirms the order of the MPON and sends the master data.</t>
  </si>
  <si>
    <t>The MSPN sents a dismissal to the MSPO. The MSPO reviews the dismissal. The MSPO rejects the dismissal of the MSPN or The MSPO confirms the dismissal of the MSPN.</t>
  </si>
  <si>
    <t>The EC tells the INQ about the change of his master data. The INQ notifies the IP of the change. The IP checks whether the master data can be changed at the desired time. The IP confirmes the changes of the INQ or the IP rejectes the changes of the INQ.</t>
  </si>
  <si>
    <t>Textual Description</t>
  </si>
  <si>
    <t>Nr models total</t>
  </si>
  <si>
    <t>Total nr. elements</t>
  </si>
  <si>
    <t>Total nr. different element types</t>
  </si>
  <si>
    <t>Nr. token</t>
  </si>
  <si>
    <t>Weight1 Total nr. elements</t>
  </si>
  <si>
    <t>Weight2 Total nr. different element types</t>
  </si>
  <si>
    <t>Avg. Nr. token</t>
  </si>
  <si>
    <t>Avg. Total nr. elements</t>
  </si>
  <si>
    <t>Avg. Total nr. different element types</t>
  </si>
  <si>
    <t>Max. Nr. token</t>
  </si>
  <si>
    <t>Nr. low</t>
  </si>
  <si>
    <t>nr. medium</t>
  </si>
  <si>
    <t>Nr. high</t>
  </si>
  <si>
    <t>low limit</t>
  </si>
  <si>
    <t>8-4</t>
  </si>
  <si>
    <t>8-6</t>
  </si>
  <si>
    <t>Goethe-University HR-Processes</t>
  </si>
  <si>
    <t>8-5</t>
  </si>
  <si>
    <t>Business Trip</t>
  </si>
  <si>
    <t>Job posting appointment</t>
  </si>
  <si>
    <t>Use as new case</t>
  </si>
  <si>
    <t>Use as example</t>
  </si>
  <si>
    <t>x</t>
  </si>
  <si>
    <t>Nr new cases</t>
  </si>
  <si>
    <t>Nr examples</t>
  </si>
  <si>
    <t>Job posting</t>
  </si>
  <si>
    <t>The process begins with the "Start" event. The first task is to "Fill out the request for job posting". After this task, the process reaches an exclusive gateway named "Scientific personnel? / SPLIT". If the answer is "No", the process moves to another exclusive gateway named "Scientific personnel? / SPLIT / JOIN". If the answer is "Yes", the process moves to another exclusive gateway named "Limited according to the WissZeitVG? / SPLIT".
In the "Limited according to the WissZeitVG? / SPLIT" gateway, if the answer is "No", the task "Fill out the form 'Permanent Position Categories'" is performed. If the answer is "Yes", the task "Complete the form 'Additional Information for Hiring Temporary Scientific Staff" is performed. Both these tasks converge at the "Limited according to the WissZeitVG? / JOIN" gateway, which then leads back to the "Scientific personnel? / SPLIT / JOIN" gateway.
From the "Scientific personnel? / SPLIT / JOIN" gateway, the task "Fill out the job description" is performed, followed by the task "Compose and attach the job advertisement text". The next task is to "Send the application for job posting with a copy of the job advertisement text to the Equal Opportunities Officer". To this task a text annotation is associated with providing the information that the documents can be sent to the "Responsible Decentralized Equal Opportunities Officer/Central Equal Opportunities Officer". After this task, the "Send the job advertisement text as a Word file to the HR officer" task is performed, supported by the text annotation "With the note that the application for job posting is on its way to the Human Resources Department", followed by the "Send the application through the official channels to the Human Resources Department" task.
Once the application is sent, an intermediate catch event named "Request received" is triggered. This leads to a parallel gateway named "Parallel Gateway / SPLIT", which splits the process into two paths. One path involves the task "Review of the job description", followed by an exclusive gateway named "Request ok? / SPLIT". If the request is not okay, the task "Seek consultation" is performed, which leads back to the "Request ok? / JOIN" gateway. If the request is okay, the process moves to the "Parallel Gateway / JOIN" gateway.
The other path involves the task "Review of the request and job advertisement text", followed by an exclusive gateway named "Request ok? / SPLIT". If the request is not okay, the task "Seek consultation" is performed, which leads back to the "Request ok? / JOIN" gateway. If the request is okay, the process moves to the "Parallel Gateway / JOIN" gateway.
From the "Parallel Gateway / JOIN" gateway, the task "Posting the job advertisement in the desired media" is performed, followed by the task "Notification to the Employment Agency Frankfurt's Disabled Workers Placement Service". The next task is to "Send information about the closure of the job posting and the final job advertisement text". After this task, an intermediate catch event named "Information about the closure of the job posting and the final job advertisement text received" is triggered.
This leads to an exclusive gateway named "Job posting on EURAXESS? / SPLIT". If the answer is "No", the process ends. If the answer is "Yes", the task "Job posting on EURAXESS with the final job advertisement text" is performed, after which the process ends.</t>
  </si>
  <si>
    <t>The process begins with the "Sales Department" receiving an order (Receive Order). The order is then evaluated (Accept Order?). If the order is not accepted, the process ends. If the order is accepted, the "Sales Department" informs the "Storehouse" and "Engineering Department" (Inform Storehouse and Engineering Department).
The process then splits into two parallel paths. In the "Storehouse", the part quantity is checked (Check Part Quantity). If the part is not available in-house, it is back-ordered (Back-order Part). If the part is available, it is reserved (Reserve Part). This process is repeated until all parts have been checked (Any Part Left Unchecked?). If there are parts left unchecked, the process loops back to select the unchecked part (Select Unchecked Part) and check its quantity again.
Simultaneously, in the "Engineering Department", preparations for assembling are made (Prepare for Assembling). Once all parts have been checked and the preparations for assembling are complete, the bicycle is assembled (Assemble Bicycle).
Finally, the assembled bicycle is shipped to the customer (Ship Bicycle to Customer), and the process ends.</t>
  </si>
  <si>
    <t>The party sends a warrant possession request asking a warrant to be released. The Client Service Back Office as part of the Small Claims Registry Operations receives the request and retrieves the SCT file. Then, the SCT Warrant Possession is forwarded to Queensland Police. The SCT physical file is stored by the Back Office. After the Police has sent the report to the Back Office, the Back Office retrieves the respective SCT file. Then, the Back Office attaches the new SCT document, and stores the expanded SCT physical file. After that, some other MC internal staff receives the physical SCT file (out of scope).</t>
  </si>
  <si>
    <t>When a claim is received, it is first checked whether the claimantis insured by the organization. If not, the claimant is informed that the claim must be rejected. Otherwise, the severity of the claim is evaluated. Based on the outcome (simple or complex claims), relevant forms are sent to the claimant. Once the forms are returned, they are checked for completeness. If the forms provide all relevant details, the claim is registered in the Claims Management system, which ends the Claims Notification process. Otherwise, the claimant is informed to update the forms and sent the updated forms again. Upon reception of the updated forms, they are checked again.</t>
  </si>
  <si>
    <t>The process is triggered by the start condition "vacancy created" reflecting the demand of a functional department to fill a post. The Functional Department then "reports vacancy" to HR Department. The HR Department "advertise post". Then, Applicant "apply" for this adverties post. The HR Department checks this application and subsequently "fill post". The process finishes with the post in the Functional Department being filled, supported by the text annotation stating that "contract is signed" at this point.</t>
  </si>
  <si>
    <t xml:space="preserve">In November of each year, the Coordination Unit at the Town Planning Authority drafts a schedule of meetings for the next calendar year ("Draft Dates") and then adds draft dates to all calendars ("Enter Onto Next Years Calender"). The Support Officer then checks the dates and suggests modifications ("Checks &amp; Suggests Updates"). The Coordination Unit then finalizes the calender schedule ("Finalize Calender Schedule"), which is sent to Committee Members ("Send Schedule to Members"). This triggers the subprocess "Members Check Schedules" for each member (Instances). Each Committee Member reveices the meeting schedule ("Receive Meeting Schedule") by the Coordination Unit, starting the subprocess. Each Committee Member checks for possible conflicts ("Check for Conflicts") and then sends the advised schedule of conflicts ("Advise of Schedule Conflicts") to the Support Officer. The Support Officer in turn receives the schedule conflicts ("Receive Schedule Conflicts") and updates the group calenders accordingly ("Updates Group Calenders"). Finally, the Support Officer sends the final schedule to each Committee Member ("Send Final Schedule To Members"). For the Support Officer the process ends here. The Committee Members catches the final schedule ("Receive Final Schedule"), where the process also ends for the members. </t>
  </si>
  <si>
    <t>The process starts with MPON, who first creates a dismissal ("Dismissal"). MPON then sends this dismissal to the MPOO, triggering the message start event by MPOO, who starts the process by receiving the dismissal. The MPOO first reviews the dismissal ("Review"). Depending on the results of the review, the MPOO either rejects or confirms the dismissal. If the MPOO rejects the dismissal (Message sent task: "Rejection of the dismissal"), the MPOO sends  the rejection to the MPON. For the MPOO the process ends here. If the MPOO confirms the dismissal (Message sent task: "Confirmation of the dismissal"), the MPOO sends  the confirmation to the MPON. For the MPOO the process ends here. In both cases, the MPON receives the message (Either Rejection or Confirmation of the dismissal but not both at the same time) by the MPOO. Afterwards the process also ends for MPON.</t>
  </si>
  <si>
    <t>Ranking</t>
  </si>
  <si>
    <t>Model ID</t>
  </si>
  <si>
    <t>Complexity Level</t>
  </si>
  <si>
    <t>Round 1</t>
  </si>
  <si>
    <t>Round 2</t>
  </si>
  <si>
    <t>Round 3</t>
  </si>
  <si>
    <t>Round 4</t>
  </si>
  <si>
    <t>Round 5</t>
  </si>
  <si>
    <t>Prompt used</t>
  </si>
  <si>
    <t>Date</t>
  </si>
  <si>
    <t>Model 1</t>
  </si>
  <si>
    <t>Model 2</t>
  </si>
  <si>
    <t>Model 3</t>
  </si>
  <si>
    <t>Model 4</t>
  </si>
  <si>
    <t>Model 5</t>
  </si>
  <si>
    <t>Model 6</t>
  </si>
  <si>
    <t>Model 7</t>
  </si>
  <si>
    <t>Model 8</t>
  </si>
  <si>
    <t>Model 9</t>
  </si>
  <si>
    <t>Model 10</t>
  </si>
  <si>
    <t>Model 11</t>
  </si>
  <si>
    <t>Model 12</t>
  </si>
  <si>
    <t>Model 13</t>
  </si>
  <si>
    <t>Model 14</t>
  </si>
  <si>
    <t>Model 15</t>
  </si>
  <si>
    <t>Model 16</t>
  </si>
  <si>
    <t>Model 17</t>
  </si>
  <si>
    <t>Model 18</t>
  </si>
  <si>
    <t>Model 19</t>
  </si>
  <si>
    <t>Model 20</t>
  </si>
  <si>
    <t>Model 21</t>
  </si>
  <si>
    <t>Model 22</t>
  </si>
  <si>
    <t>Model 23</t>
  </si>
  <si>
    <t>Model 24</t>
  </si>
  <si>
    <t>Model 25</t>
  </si>
  <si>
    <t>Model 26</t>
  </si>
  <si>
    <t>Model 27</t>
  </si>
  <si>
    <t>Model 28</t>
  </si>
  <si>
    <t>Model 29</t>
  </si>
  <si>
    <t>Model 30</t>
  </si>
  <si>
    <t>Model 31</t>
  </si>
  <si>
    <t>Model 32</t>
  </si>
  <si>
    <t>Model 33</t>
  </si>
  <si>
    <t>Model 34</t>
  </si>
  <si>
    <t>Model 35</t>
  </si>
  <si>
    <t>Model 36</t>
  </si>
  <si>
    <t>Activity Coverage (AC)</t>
  </si>
  <si>
    <t>Event Coverage (EC)</t>
  </si>
  <si>
    <t>Gateway Coverage (GC)</t>
  </si>
  <si>
    <t>Participants Coverage (PC)</t>
  </si>
  <si>
    <t>Sequence Flow Coverage (FC)</t>
  </si>
  <si>
    <t>Information Sentences (IS)</t>
  </si>
  <si>
    <t>#Missing Elements (ME)</t>
  </si>
  <si>
    <t>#Elements</t>
  </si>
  <si>
    <t># Types of elements</t>
  </si>
  <si>
    <t>#Missing Element Types (MT)</t>
  </si>
  <si>
    <t xml:space="preserve"> Sentences per Node Ratio (S/N)</t>
  </si>
  <si>
    <t>#Nodes (Activities, Gateways, Events)</t>
  </si>
  <si>
    <t>max_tokens=2000, n=1, temperature=0.0, model="gpt-4"</t>
  </si>
  <si>
    <t>LLM Config (Options: temperature, max_token, n, model)</t>
  </si>
  <si>
    <t>Complexity Level Category</t>
  </si>
  <si>
    <t>Output: Generated text</t>
  </si>
  <si>
    <t>Sentences per Node  (S/N)</t>
  </si>
  <si>
    <t>T-Units per Sentence Ratio (T/S):</t>
  </si>
  <si>
    <t xml:space="preserve">Changes in Setup </t>
  </si>
  <si>
    <t>#Content sentences (CS)</t>
  </si>
  <si>
    <t>#Sentences (S)</t>
  </si>
  <si>
    <t>#Information Sentences (IS)</t>
  </si>
  <si>
    <t>#Words (W)</t>
  </si>
  <si>
    <t>Words per Sentence Ratio:
 W/S</t>
  </si>
  <si>
    <t>#Nodes (Activities, Gateways, Events):
N</t>
  </si>
  <si>
    <t>#T-Units
(T)</t>
  </si>
  <si>
    <t>The BPMN model "Procurement" describes a process involving two participants: "Supplier" and "Assembler AG". 
The process for "Supplier" is executable and consists of two tasks: "Process Order" and "Send Invoice". The "Process Order" task is the starting point of the process. Once the order is processed, the flow moves to the "Send Invoice" task. 
The process for "Assembler AG" is not executable. It starts with a timer event that triggers on the 1st of each month. Once the timer event is triggered, the flow moves to the "Create Order" task. After the order is created, the flow moves to the "Receive Invoice" task. The process ends after the invoice is received.
There are two message flows in the collaboration. The first message flow is from the "Create Order" task of "Assembler AG" to the "Process Order" task of "Supplier". The second message flow is from the "Send Invoice" task of "Supplier" to the "Receive Invoice" task of "Assembler AG". 
This means that "Assembler AG" creates an order and sends it to "Supplier". The "Supplier" processes the order and sends an invoice back to "Assembler AG". The process for "Assembler AG" ends after receiving the invoice.</t>
  </si>
  <si>
    <t>The "Procurement" process involves two main participants: "Supplier" and "Assembler AG". 
The process starts at "Assembler AG" on the 1st of each month. This is represented by the start event named "1st each month". After the start event, the next task is "Create Order". This task involves creating an order for the required items.
Once the order is created, it is sent to the "Supplier". This is represented by the message flow from "Create Order" to "Process Order". The "Supplier" then processes the order, which is represented by the task "Process Order".
After processing the order, the "Supplier" sends an invoice to "Assembler AG". This is represented by the message flow from "Send Invoice" to "Receive Invoice". The task "Receive Invoice" at "Assembler AG" represents the receipt of the invoice from the "Supplier".
Finally, the process at "Assembler AG" ends after the invoice is received. This is represented by the end event following the "Receive Invoice" task.
In summary, the process involves creating an order at "Assembler AG", sending it to the "Supplier", processing the order at the "Supplier", sending an invoice back to "Assembler AG", and receiving the invoice at "Assembler AG".</t>
  </si>
  <si>
    <t>The given BPMN model describes a procurement process involving two participants: "Supplier" and "Assembler AG". 
The process for "Assembler AG" starts on the 1st of each month. This is represented by the start event named "1st each month". After the start event, the task "Create Order" is executed. This task involves creating an order for the required goods or services. Once the order is created, it is sent to the "Supplier". This is represented by the message flow from "Create Order" to "Process Order".
On the "Supplier" side, the process starts with the task "Process Order". This task involves processing the order received from "Assembler AG". After the order is processed, the next task is "Send Invoice". This task involves sending an invoice for the processed order back to "Assembler AG". This is represented by the message flow from "Send Invoice" to "Receive Invoice".
Back on the "Assembler AG" side, the task "Receive Invoice" is executed after receiving the invoice from the "Supplier". This task involves receiving and processing the invoice. Once the invoice is received and processed, the process ends. This is represented by the end event.
In summary, the process involves "Assembler AG" creating an order on the 1st of each month and sending it to the "Supplier". The "Supplier" processes the order and sends an invoice back to "Assembler AG". "Assembler AG" then receives and processes the invoice, after which the process ends.</t>
  </si>
  <si>
    <t>The process "Procurement" involves two main participants: "Supplier" and "Assembler AG". 
The process starts with "Assembler AG". On the first day of each month, a task named "Create Order" is initiated. Once the order is created, a message is sent to the "Supplier". 
Upon receiving the message, the "Supplier" starts their part of the process. The first task they perform is "Process Order". After the order is processed, the "Supplier" moves on to the next task, which is "Send Invoice". 
Once the invoice is sent, a message is sent back to "Assembler AG". Upon receiving the message, "Assembler AG" performs the task "Receive Invoice". After the invoice is received, the process ends.
The flow of tasks and messages between "Assembler AG" and "Supplier" forms the complete "Procurement" process.</t>
  </si>
  <si>
    <t>0 (task-only)</t>
  </si>
  <si>
    <t>1 (system)</t>
  </si>
  <si>
    <t>2 (placeholder)</t>
  </si>
  <si>
    <t>3 (output style)</t>
  </si>
  <si>
    <t>4 (all but placeholder)</t>
  </si>
  <si>
    <t>The "Procurement" process involves two main participants: "Supplier" and "Assembler AG". 
The process for "Assembler AG" begins on the 1st of each month, as indicated by the start event. Following this, the task "Create Order" is executed. Once the order is created, a message is sent to the "Supplier". 
On the "Supplier" side, upon receiving the order, the task "Process Order" is carried out. After the order is processed, the "Supplier" then executes the task "Send Invoice", and a message is sent back to "Assembler AG". 
Back at "Assembler AG", upon receiving the invoice, the task "Receive Invoice" is executed. After the invoice is received, the process ends. 
The flow of tasks and messages between "Supplier" and "Assembler AG" forms the complete "Procurement" process. 
Please note that the "Supplier" process is executable, meaning it can be automated or run by a system, while the "Assembler AG" process is not executable, indicating it may require manual intervention.</t>
  </si>
  <si>
    <t>#Meta Sentences (MS)</t>
  </si>
  <si>
    <t>#Correct Meta Sentences (CMS)</t>
  </si>
  <si>
    <t>Correct Control Flow Mapping: CMS/MS</t>
  </si>
  <si>
    <t>09.09.203</t>
  </si>
  <si>
    <t>As a basic principle, ACME AG receives invoices on paper or fax. These are received by the Secretariat in the central inbox and forwarded after a short visual inspection to an accounting employee. In ”ACME Financial Accounting”, a software specially developed for the ACME AG, she identifies the charging suppliers and creates a new instance (invoice). She then checks the invoice items and notes the corresponding cost center at the ACME AG and the related cost center managers for each position on a separate form (”docket”).The docket and the copy of the invoice go to the internal mail together and are sent to the first cost center manager to the list. He reviews the content for accuracy after receiving the copy of the invoice. Should everything be in order, he notes his code one on the docket (”accurate position - AP”) and returns the copy of the invoice to the internal mail. From it, the copy of the invoice is passed on to the next cost center manager, based on the docket, or if all items are marked correct, sent back to accounting. Therefore, the copy of invoice and the docket gradually move through the hands of all cost center man- agers until all positions are marked as completely accurate. However, if inconsistencies exist, e.g. because the ordered product is not of the expected quantity or quality, the cost center manager rejects the AP with a note and explanatory statement on the docket, and the copy of the invoice is sent back to accounting directly. Based on the statements of the cost center managers, she will proceede with the clarification with the vendor, but, if necessary, she consults the cost center managers by telephone or e-mail again. When all inconsistencies are resolved, the copy of the invoice is sent to the cost center managers again, and the process continues. After all invoice items are AP, the accounting employee forwards the copy of the invoice to the commercial manager. He makes the commercial audit and issues the approval for payment. If the bill amount exceeds EUR 20,000, the Board wants to check it again (4-eyes-principle). The copy of the invoice including the docket moves back to the accounting employee in the appropriate signature file. Should there be a complaint during the commercial audit, it will be resolved by the accounting employee with the supplier. After the commercial audit is successfully completed, the ac- counting employee gives payment instructions and closes the instance in ”ACME financial accounting”.</t>
  </si>
  <si>
    <t>max_token=1991</t>
  </si>
  <si>
    <t>max_tokens=1974</t>
  </si>
  <si>
    <t>max_tokens=1940</t>
  </si>
  <si>
    <t>Limited context window reached: The prompt (number of tokens: 8265) does not fit into the context window. Allowed are 8,192 token.</t>
  </si>
  <si>
    <t>max_tokens=1116</t>
  </si>
  <si>
    <t>max_tokens=1053</t>
  </si>
  <si>
    <t>max_tokens=1036</t>
  </si>
  <si>
    <t>max_tokens=1002</t>
  </si>
  <si>
    <t>max_tokens=1020</t>
  </si>
  <si>
    <t>8-7</t>
  </si>
  <si>
    <t>Promotion</t>
  </si>
  <si>
    <t>Model 37</t>
  </si>
  <si>
    <t>max_tokens=1964</t>
  </si>
  <si>
    <t>max_tokens=1947</t>
  </si>
  <si>
    <t>max_tokens=1913</t>
  </si>
  <si>
    <t>max_tokens=1931</t>
  </si>
  <si>
    <t>The process "Loan Requests" begins with the start event "Receive Customer Request for Loan Amount". This event triggers the service task "Invoke Risk Assessor" which assesses the risk associated with the loan request. 
After the risk assessment, the process reaches an exclusive gateway "If". This gateway has three possible paths based on the risk assessment results. 
If the risk is high, the process follows the sequence flow "high risk" and ends with the end event "Deny", which sends a message indicating the denial of the loan request. 
If the risk is low, the process follows the sequence flow "low risk" and ends with the end event "Approve", which sends a message indicating the approval of the loan request. 
If the loan amount is large or the risk needs further review, the process follows the sequence flow "large loan or review risk" and triggers the service task "Invoke Loan Approval". This task reviews the loan request and makes a final decision. 
After the loan approval task, the process ends with the end event "Return Approval Response", which sends a message indicating the final decision on the loan request. 
The process is executable, meaning it can be run in a BPMN engine. It was created using the Camunda Modeler version 5.11.0 and is compatible with the Camunda Cloud execution platform version 8.2.0.</t>
  </si>
  <si>
    <t>The "Loan Requests" process begins when a customer sends a request for a loan amount. This is represented by the start event "Receive Customer Request for Loan Amount". 
Once the request is received, the process moves to the service task "Invoke Risk Assessor". This task represents the action of assessing the risk associated with the loan request. 
After the risk assessment, the process reaches an exclusive gateway named "If". This gateway represents a decision point in the process where the flow of control will diverge based on the risk assessment. 
If the risk is high, the process will follow the sequence flow named "high risk" and reach the end event "Deny". This end event represents the action of denying the loan request due to high risk. 
If the risk is low, the process will follow the sequence flow named "low risk" and reach the end event "Approve". This end event represents the action of approving the loan request due to low risk. 
If the loan is large or the risk needs review, the process will follow the sequence flow named "large loan or review risk" and reach the service task "Invoke Loan Approval". This task represents the action of invoking a loan approval process for large loans or loans with risk that needs review. 
After the loan approval process, the process reaches the end event "Return Approval Response". This end event represents the action of returning the approval response to the customer. 
In summary, this process model represents a loan request process where the loan request is received, the risk is assessed, a decision is made based on the risk assessment, and the decision is communicated back to the customer.</t>
  </si>
  <si>
    <t>The process begins when we receive a customer request for a loan amount. This is represented by the start event "Receive Customer Request for Loan Amount". 
Once the request is received, the process moves to the service task "Invoke Risk Assessor". Here, the risk associated with the loan request is assessed. 
After the risk assessment, the process reaches an exclusive gateway "If". This gateway represents a decision point in the process. Depending on the risk assessment, the process can take one of three paths:
1. If the risk is high, the process moves to the end event "Deny". This means that the loan request is denied due to high risk.
2. If the risk is low, the process moves to the end event "Approve". This means that the loan request is approved as the risk is low.
3. If the loan amount is large or the risk needs further review, the process moves to the service task "Invoke Loan Approval". Here, the loan approval process is invoked. After the loan approval process, the process moves to the end event "Return Approval Response". This means that the response of the loan approval process is returned.
This is a high-level description of the process. Each task or event in the process can have more detailed operations associated with it.</t>
  </si>
  <si>
    <t>CMS/N</t>
  </si>
  <si>
    <t>The process begins when we receive a customer request for a loan amount. This is represented by the start event "Receive Customer Request for Loan Amount". 
Once the request is received, the process moves to the service task "Invoke Risk Assessor". This task represents the action of assessing the risk associated with the loan request. 
After the risk assessment, the process reaches an exclusive gateway named "If". This gateway represents a decision point in the process where the flow of control can take one of several paths based on the outcome of the risk assessment. 
If the risk assessment indicates a high risk, the process moves to the end event "Deny", which represents the action of denying the loan request. This path is represented by the sequence flow "high risk". 
If the risk assessment indicates a low risk, the process moves to the end event "Approve", which represents the action of approving the loan request. This path is represented by the sequence flow "low risk". 
If the loan request is large or the risk requires review, the process moves to the service task "Invoke Loan Approval". This task represents the action of invoking a loan approval process. This path is represented by the sequence flow "large loan or review risk". 
After the loan approval process, the process moves to the end event "Return Approval Response", which represents the action of returning the approval response to the customer. This path is represented by the sequence flow from "Invoke Loan Approval" to "Return Approval Response". 
This completes the description of the process.</t>
  </si>
  <si>
    <t>The process "Loan Requests" begins when a customer sends a request for a loan amount. This is represented by the start event "Receive Customer Request for Loan Amount". 
Once the request is received, the process moves to the service task "Invoke Risk Assessor". This task represents the action of assessing the risk associated with the loan request. 
After the risk assessment, the process reaches an exclusive gateway named "If". This gateway represents a decision point in the process where the flow of control will diverge based on the risk assessment. 
If the risk is high, the process will follow the sequence flow named "high risk" and reach the end event "Deny". This end event represents the action of denying the loan request due to high risk. 
If the risk is low, the process will follow the sequence flow named "low risk" and reach the end event "Approve". This end event represents the action of approving the loan request due to low risk. 
If the loan amount is large or the risk needs to be reviewed, the process will follow the sequence flow named "large loan or review risk" and reach the service task "Invoke Loan Approval". This task represents the action of invoking a loan approval process for large loans or loans with reviewable risk. 
After the loan approval process, the process will follow the sequence flow and reach the end event "Return Approval Response". This end event represents the action of returning the approval response to the customer. 
In summary, this process represents the flow of actions from receiving a loan request to either approving, denying, or reviewing the loan based on the risk assessment.</t>
  </si>
  <si>
    <t>The process "Survey" begins with the task "Send Questionnaire". After the questionnaire is sent, the process reaches an exclusive gateway. 
From this gateway, the process can follow two paths. One path leads to an event-based gateway. From this event-based gateway, the process can again follow two paths. 
One path leads to an intermediate catch event "Filled Questionnaire Received". Once the filled questionnaire is received, the process proceeds to an intermediate throw event and then ends. 
The other path from the event-based gateway leads to another intermediate catch event "After 5 days". If 5 days pass without the filled questionnaire being received, the process proceeds to the task "Send reminder". After the reminder is sent, the process loops back to the exclusive gateway. 
The other path from the first exclusive gateway also leads back to this gateway, creating a loop in the process. This loop continues until the filled questionnaire is received, at which point the process ends.</t>
  </si>
  <si>
    <t>The BPMN model "Survey" describes a process where a questionnaire is sent out and responses are managed. Here is a textual description of the process:
1. The process starts with the task "Send Questionnaire". This could involve sending out a survey to a list of recipients via email or another method.
2. After the questionnaire is sent, the process reaches an exclusive gateway. This is a decision point in the process where the flow can go in one of two directions based on certain conditions.
3. From the exclusive gateway, the process can go in two directions. One direction leads to an event-based gateway, which waits for a specific event to occur before the process can continue.
4. The event-based gateway waits for one of two events to occur. The first event is "Filled Questionnaire Received", which means a recipient has filled out and returned the questionnaire. If this event occurs, the process continues to an intermediate throw event, which could involve storing the filled questionnaire or performing some other action.
5. The second event the event-based gateway waits for is "After 5 days". This means that if five days have passed since the questionnaire was sent and no filled questionnaire has been received, the process continues to the task "Send reminder". This could involve sending a reminder email to the recipient to fill out the questionnaire.
6. After the reminder is sent, the process loops back to the exclusive gateway. This means that the process will wait again for a filled questionnaire to be received or for another five days to pass.
7. This loop continues until a filled questionnaire is received, at which point the process ends.
This process model ensures that recipients are reminded to fill out the questionnaire if they haven't done so after five days, and that filled questionnaires are properly handled when they are received.</t>
  </si>
  <si>
    <t>#Correct Content sentences (CCS)</t>
  </si>
  <si>
    <t>Explainations E = CCS/CS</t>
  </si>
  <si>
    <t>Avg. Performance Explainng Model Structuring:
EC + TC + CFM + E / 4</t>
  </si>
  <si>
    <t>CCS per Node:
CCS/N</t>
  </si>
  <si>
    <t>The process begins with the task "Send Questionnaire". Once this task is completed, the process moves to an exclusive gateway. This gateway serves as a decision point in the process, where the flow of control is directed to one of the outgoing sequence flows based on certain conditions.
From this exclusive gateway, the process moves to an event-based gateway. This gateway is used to model a point in the process where the flow of control is directed based on the occurrence of an event.
Two events are attached to this event-based gateway. The first event is "Filled Questionnaire Received". If this event occurs, the process moves to an intermediate throw event. This event is used to model the occurrence of an event that is expected to be caught by another part of the process.
The second event attached to the event-based gateway is "After 5 days". If this event occurs, the process moves to the task "Send reminder". Once this task is completed, the process moves back to the exclusive gateway, and the cycle repeats.
In summary, this process models a survey where a questionnaire is sent out. If the filled questionnaire is received, an event is thrown. If the filled questionnaire is not received after 5 days, a reminder is sent out.</t>
  </si>
  <si>
    <t>The process begins with the task "Send Questionnaire". Once this task is completed, the process moves to an exclusive gateway. This gateway directs the process flow based on certain conditions.
From this exclusive gateway, the process can take two paths. One path leads to an event-based gateway. This gateway waits for a specific event to occur before the process can continue. There are two possible events that this gateway is waiting for.
The first event is "Filled Questionnaire Received". If this event occurs, the process moves to an intermediate throw event. This event does not have a specific name, but it is used to link to another part of the process or to trigger another process.
The second event that the event-based gateway is waiting for is "After 5 days". If this event occurs, the process moves to the task "Send reminder". Once this task is completed, the process returns to the exclusive gateway.
The exclusive gateway then directs the process flow based on the conditions that are met. If the "Filled Questionnaire Received" event has occurred, the process ends. If the "After 5 days" event has occurred and the "Send reminder" task has been completed, the process returns to the exclusive gateway and waits for the "Filled Questionnaire Received" event to occur.
This process continues until the "Filled Questionnaire Received" event occurs, at which point the process ends.</t>
  </si>
  <si>
    <t>The process "Survey" begins with the task "Send Questionnaire". Once this task is completed, the process moves to an exclusive gateway. This gateway serves as a decision point in the process, directing the flow based on certain conditions.
From this exclusive gateway, the process flow moves to an event-based gateway. This gateway waits for one of its outgoing sequence flows to occur. There are two possible events that can occur after this gateway: "Filled Questionnaire Received" or "After 5 days".
If the "Filled Questionnaire Received" event occurs, the process flow moves to an intermediate throw event. This event does not have a specific name, but it is used to link to another part of the process or to trigger another process.
If the "After 5 days" event occurs, the process flow moves to the task "Send reminder". Once this task is completed, the process flow moves back to the exclusive gateway, and the process repeats.
This process will continue until the "Filled Questionnaire Received" event occurs, at which point the process will end.</t>
  </si>
  <si>
    <t>The process "Law Files" begins with the task "Check Files". After this task is completed, the process reaches an exclusive gateway. 
From this gateway, the process can follow two paths. If there are missing files, the process goes to the task "Initiate Search". If there are no missing files, the process goes directly to another exclusive gateway. 
After the task "Initiate Search", the process also reaches the second exclusive gateway. 
From the second exclusive gateway, the process goes to the task "Track Physical Files". After this task is completed, the process reaches a parallel gateway. 
From this parallel gateway, the process splits into two parallel paths. One path goes to the task "Hand Files to Associate", and the other path goes to the task "Distribute Judge's Lawlist". 
After both tasks are completed, the process reaches another parallel gateway. From this gateway, the process goes to the final task "Conduct Directions". 
The process ends after this task is completed.</t>
  </si>
  <si>
    <t>The BPMN model "Law Files" describes a process flow in a legal context. Here is a simplified textual description of the process:
1. The process starts with the task "Check Files". This could involve verifying the completeness and correctness of legal files.
2. After checking the files, the process reaches a decision point, represented by an exclusive gateway. This gateway has two outgoing paths, each representing a different condition: "missing files" and "no missing files".
3. If there are missing files, the process moves to the task "Initiate Search". This task could involve starting a process to locate the missing files.
4. If there are no missing files, the process skips the "Initiate Search" task and moves directly to the next decision point, represented by another exclusive gateway.
5. After the "Initiate Search" task (if it was necessary), the process also reaches the second exclusive gateway.
6. From this second gateway, the process moves to the task "Track Physical Files". This could involve keeping track of the physical location of the legal files.
7. After tracking the physical files, the process reaches a parallel gateway. This gateway splits the process into two concurrent paths.
8. One path leads to the task "Hand Files to Associate". This could involve physically handing over the legal files to an associate.
9. The other path leads to the task "Distribute Judge's Lawlist". This could involve distributing a list of legal cases to a judge.
10. After both of these tasks are completed, the process reaches another parallel gateway. This gateway merges the two concurrent paths back into a single path.
11. The final task in the process is "Conduct Directions". This could involve conducting a directions hearing, a type of court hearing where the judge gives instructions for the future conduct of the case.
Please note that the exact interpretation of the tasks and gateways can vary depending on the specific context and requirements of the legal process being modeled.</t>
  </si>
  <si>
    <t>The process begins with the task "Check Files". After this task is completed, the process reaches an exclusive gateway. This gateway represents a decision point in the process. 
If there are missing files, the process follows the sequence flow named "missing files" to the task "Initiate Search". Once the search is initiated, the process moves to another exclusive gateway. 
If there are no missing files, the process follows the sequence flow named "no missing files" directly to this second exclusive gateway. 
From this second exclusive gateway, the process always continues to the task "Track Physical Files". After tracking the physical files, the process reaches a parallel gateway. 
This parallel gateway splits the process into two concurrent paths. One path leads to the task "Hand Files to Associate", and the other path leads to the task "Distribute Judge's Lawlist". Both tasks can be executed simultaneously. 
Once both tasks are completed, the process reaches another parallel gateway. This gateway synchronizes the two concurrent paths back into a single path. 
Finally, the process ends with the task "Conduct Directions".</t>
  </si>
  <si>
    <t>The process begins with the task "Check Files". Once this task is completed, the process moves to an exclusive gateway. This gateway represents a decision point in the process. 
From this gateway, there are two possible paths. If there are missing files, the process moves to the task "Initiate Search". If there are no missing files, the process moves directly to another exclusive gateway. 
If the "Initiate Search" task is executed, upon completion, the process also moves to the second exclusive gateway. 
From the second exclusive gateway, the process moves to the task "Track Physical Files". Once this task is completed, the process moves to a parallel gateway. 
This parallel gateway represents a point in the process where multiple tasks can be executed simultaneously. From this gateway, the process moves to two tasks: "Hand Files to Associate" and "Distribute Judge's Lawlist". 
Once both of these tasks are completed, the process moves to another parallel gateway. From this gateway, the process moves to the final task "Conduct Directions". 
This is the end of the process.</t>
  </si>
  <si>
    <t>The process "Law Files" begins with the task "Check Files". Once this task is completed, the process moves to an exclusive gateway. This gateway represents a decision point in the process.
From this gateway, there are two possible paths. If there are missing files, the process moves to the task "Initiate Search". If there are no missing files, the process moves directly to another exclusive gateway.
The task "Initiate Search" also leads to this second exclusive gateway once it is completed. This gateway represents another decision point in the process.
From this second gateway, the process moves to the task "Track Physical Files". Once this task is completed, the process moves to a parallel gateway. This gateway represents a point in the process where multiple tasks can be executed simultaneously.
From this parallel gateway, the process splits into two tasks that are executed at the same time: "Hand Files to Associate" and "Distribute Judge's Lawlist". Once both of these tasks are completed, the process moves to another parallel gateway.
From this last parallel gateway, the process moves to the final task "Conduct Directions". This marks the end of the process. 
In summary, the process "Law Files" involves checking files, potentially initiating a search for missing files, tracking physical files, handing files to an associate, distributing a judge's lawlist, and conducting directions. Some of these tasks are conditional or can be executed simultaneously, as represented by the various gateways in the process.</t>
  </si>
  <si>
    <t>The BPMN model "Devise Takeover Bid" describes a process involving two participants: MPON and MPOO. 
The process begins with MPON, who initiates the process with a start event. From this start event, a sequence flow leads to a send task named "Request of a device takeover bid". Once this task is completed, a message flow is sent to MPOO's start event. 
Simultaneously, a sequence flow from the send task leads to a receive task named "Order". Once the order is received, a sequence flow leads to an end event. A message flow from this end event is sent to MPOO's receive task named "Confirmation of order and transmission of master data".
On MPOO's side, the process starts with a start event that receives the message flow from MPON's send task. From this start event, a sequence flow leads to a send task named "Tender of the equipment takeover". Once this task is completed, a message flow is sent to MPON's receive task. 
Simultaneously, a sequence flow from the send task leads to a receive task named "Confirmation of order and transmission of master data". Once the confirmation and data are received, a sequence flow leads to an end event, marking the completion of the process. 
In summary, the process involves MPON requesting a device takeover bid, MPOO tendering the equipment takeover, and then confirming the order and transmitting the master data.</t>
  </si>
  <si>
    <t>The BPMN model "Devise Takeover Bid" describes a process involving two participants: MPON and MPOO. 
The process for MPON starts with a start event. From this point, a task named "Request of a device takeover bid" is performed. This task involves sending a request to another participant or system. Once this task is completed, the process moves to the next task named "Order". This task involves receiving a response or an order from another participant or system. After this task is completed, the process ends with an end event.
On the other hand, the process for MPOO starts with a start event that is triggered by a message from MPON. From this point, a task named "Tender of the equipment takeover" is performed. This task involves sending a tender or proposal to another participant or system. Once this task is completed, the process moves to the next task named "Confirmation of order and transmission of master data". This task involves receiving a confirmation and master data from another participant or system. After this task is completed, the process ends with an end event.
The processes for MPON and MPOO are interconnected through message flows. The "Request of a device takeover bid" task from MPON sends a message to the start event of MPOO. The "Tender of the equipment takeover" task from MPOO sends a message to the "Order" task of MPON. The end event of MPON sends a message to the "Confirmation of order and transmission of master data" task of MPOO.</t>
  </si>
  <si>
    <t>The process "Devise Takeover Bid" involves two participants: MPON and MPOO. 
The process begins with MPON. The start event triggers the first task, which is a "Send Task" named "Request of a device takeover bid". This task involves sending a request for a device takeover bid. Once this task is completed, the process moves to the next task, which is a "Receive Task" named "Order". This task involves receiving an order. After this task is completed, the process ends with an "End Event".
Simultaneously, the process also involves MPOO. The start event here is triggered by a message from MPON's "Request of a device takeover bid" task. This leads to a "Send Task" named "Tender of the equipment takeover". This task involves sending a tender for the equipment takeover. Once this task is completed, the process moves to the next task, which is a "Receive Task" named "Confirmation of order and transmission of master data". This task involves confirming the order and transmitting the master data. After this task is completed, the process ends with an "End Event".
The process flow between MPON and MPOO is managed through message flows. The "Request of a device takeover bid" task from MPON sends a message to MPOO's start event. The "Tender of the equipment takeover" task from MPOO sends a message to MPON's "Order" task. Finally, the "End Event" of MPON sends a message to MPOO's "Confirmation of order and transmission of master data" task. 
This process model describes a bid takeover process where MPON requests a bid, MPOO sends a tender, MPON places an order, and MPOO confirms the order and transmits the master data.</t>
  </si>
  <si>
    <t>The process "Devise Takeover Bid" involves two participants: MPON and MPOO. 
The process begins with MPON. The start event triggers the "Request of a device takeover bid" task. This is a send task, meaning MPON sends a request to MPOO. This interaction is represented by a message flow from MPON to MPOO. 
Upon receiving the request, MPOO's process is triggered. The start event in MPOO's process is a message start event, meaning it starts upon receiving a message, in this case, the request from MPON. This triggers the "Tender of the equipment takeover" task, another send task. MPOO sends a tender to MPON, represented by another message flow from MPOO to MPON.
Back in MPON's process, the "Order" task is a receive task, meaning it starts upon receiving a message, in this case, the tender from MPOO. After the order is received, the process ends with an end event. This end event is a message end event, meaning it sends a message when the process ends. This message is sent to MPOO.
In MPOO's process, the "Confirmation of order and transmission of master data" task is a receive task, meaning it starts upon receiving a message, in this case, the message from MPON's end event. After the confirmation is received and the master data is transmitted, MPOO's process ends with an end event.
In summary, the process "Devise Takeover Bid" involves a series of message exchanges between MPON and MPOO, starting with a request from MPON, a tender from MPOO, an order from MPON, and finally a confirmation and transmission of master data from MPOO.</t>
  </si>
  <si>
    <t>The BPMN model "Devise Takeover Bid" describes two processes that interact with each other. These processes are executed by two participants: MPON and MPOO.
The process executed by MPON starts with a start event. From this start event, the process moves to a task named "Request of a device takeover bid". This task is a send task, which means it sends a message to another process or participant. After the send task, the process moves to a task named "Order". This task is a receive task, which means it waits for a message from another process or participant. After the receive task, the process ends with an end event. This end event sends a message to another process or participant.
The process executed by MPOO starts with a start event that waits for a message from another process or participant. From this start event, the process moves to a task named "Tender of the equipment takeover". This task is a send task, which means it sends a message to another process or participant. After the send task, the process moves to a task named "Confirmation of order and transmition of master data". This task is a receive task, which means it waits for a message from another process or participant. After the receive task, the process ends with an end event.
The two processes interact with each other through three message flows. The first message flow goes from the "Request of a device takeover bid" task in the MPON process to the start event in the MPOO process. The second message flow goes from the "Tender of the equipment takeover" task in the MPOO process to the "Order" task in the MPON process. The third message flow goes from the end event in the MPON process to the "Confirmation of order and transmition of master data" task in the MPOO process.</t>
  </si>
  <si>
    <t>The "Recruiting Process" is a business process model that is executable. It involves two main participants: the "Out Company" and the "Applicant". 
The process starts with the "Out Company" creating a vacancy, which is represented by the start event "vacancy created". This event triggers the task "report vacancy" which is performed by the "Functional Department" of the "Out Company". 
Once the vacancy is reported, the next task is to "advertise post". This task is performed by the "HR Department" of the "Out Company". The advertisement of the post allows the "Applicant" to see the vacancy and apply for it, which is represented by the task "apply". 
After the "Applicant" applies, the "HR Department" checks the application in the task "check application". If the application is approved, the "HR Department" proceeds to fill the post, represented by the task "fill post". 
The process ends with the end event "post is filled", which signifies that the vacancy has been filled and the contract is signed. This is further explained in the text annotation "contract is signed" which is associated with the end event. 
The tasks and events are connected by sequence flows, which represent the order in which they occur. The flow starts from the start event and ends at the end event, passing through the tasks in the order they are performed.</t>
  </si>
  <si>
    <t>The "Recruiting Process" BPMN model describes the steps involved in hiring a new employee. The process is divided into two main parts: actions performed by the company and actions performed by the applicant.
The process starts when a vacancy is created within the company. This is represented by the start event "vacancy created". 
The first task performed by the company, specifically by the Functional Department, is to "report vacancy". This task is triggered by the start event and once completed, it leads to the next task.
The next task, "advertise post", is performed by the HR Department. This task involves publicizing the job vacancy to attract potential applicants. Once this task is completed, it triggers the applicant's task.
The applicant's task is to "apply" for the advertised post. This task is performed by the applicant and once completed, it triggers the next task in the company.
Back in the company, the HR Department then "checks the application". This involves reviewing the application submitted by the applicant. Once this task is completed, it leads to the final task.
The final task, "fill post", is also performed by the HR Department. This involves selecting a suitable candidate and offering them the job. Once this task is completed, it triggers the end event.
The process ends when the "post is filled". This end event signifies that the recruitment process is complete. The text annotation "contract is signed" associated with the end event indicates that the selected candidate has accepted the job offer and signed the contract.</t>
  </si>
  <si>
    <t>The process model describes a "Recruiting Process" that involves two main entities: the "Out Company" and the "Applicant". The "Out Company" is further divided into two departments: the "Functional Department" and the "HR Department".
The process begins when a vacancy is created in the company. This is represented by the start event "vacancy created". Once a vacancy is created, the "Functional Department" reports the vacancy, as represented by the task "report vacancy".
After the vacancy has been reported, the "HR Department" advertises the post, as represented by the task "advertise post". Once the post is advertised, the "Applicant" can apply for the post, as represented by the task "apply".
After the application has been received, the "HR Department" checks the application, as represented by the task "check application". If the application is approved, the "HR Department" proceeds to fill the post, as represented by the task "fill post".
The process ends when the post is filled, as represented by the end event "post is filled". At this point, the contract is signed, as indicated by the text annotation "contract is signed" associated with the end event.
The flow of the process is represented by sequence flows that connect the events and tasks. Each sequence flow indicates the direction of the process from one activity or event to the next.</t>
  </si>
  <si>
    <t>The "Recruiting Process" begins when a vacancy is created in the company. This is represented by the start event "vacancy created". This event triggers the task "report vacancy", which is the responsibility of the "Functional Department" within the company. 
Once the vacancy is reported, the next task is to "advertise post". This task is carried out by the "HR Department". The advertisement of the post allows potential applicants to see the vacancy and apply. This is represented by the task "apply", which is the responsibility of the "Applicant".
After an application is received, the "HR Department" checks the application in the task "check application". If the application is satisfactory, the HR Department proceeds to the task "fill post", which signifies that a suitable candidate has been found and the post is filled.
The process ends with the end event "post is filled", indicating that the recruitment process is complete. A text annotation "contract is signed" is associated with this end event, suggesting that the recruitment process concludes with the signing of a contract by the new hire.
This process is executable, meaning it can be automated and run in a business process management system. The process is divided into different lanes, representing different roles or departments in the company. The "Out Company" lane includes all tasks performed within the company, and it is further divided into "Functional Department" and "HR Department" lanes. The "Applicant" lane represents tasks performed by the job applicant.</t>
  </si>
  <si>
    <t>The "Recruiting Process" is a business process that involves two main participants: the "Out Company" and the "Applicant". The "Out Company" is further divided into two departments: the "Functional Department" and the "HR Department".
The process begins when a vacancy is created in the company. This is represented by the start event "vacancy created". Once a vacancy is created, the "Functional Department" reports the vacancy, which is represented by the task "report vacancy". 
After the vacancy has been reported, the "HR Department" advertises the post, represented by the task "advertise post". Once the post is advertised, the "Applicant" can apply for the post, represented by the task "apply".
After the application is received, the "HR Department" checks the application, represented by the task "check application". If the application is approved, the "HR Department" proceeds to fill the post, represented by the task "fill post".
The process ends when the post is filled, represented by the end event "post is filled". There is also a text annotation "contract is signed" associated with the end event, indicating that the contract is signed when the post is filled.
The tasks and events are connected by sequence flows, which represent the order of activities in the process. The sequence flows are directed, meaning that the process moves in the direction of the arrows.</t>
  </si>
  <si>
    <t>The "Claims Notification" process begins with a start event. 
The first task in the process is "Check customer details". Once the customer details have been checked, the process moves to an exclusive gateway. 
From this gateway, the process can take one of two paths. If the customer details are not satisfactory, the process moves to the "Reject claim" task. Once the claim has been rejected, the process ends. 
If the customer details are satisfactory, the process moves to the "Evaluate severity" task. Once the severity has been evaluated, the process moves to another exclusive gateway. 
From this second gateway, the process can take one of two paths. If the severity is not high, the process moves to the "Send relevant forms" task. Once the relevant forms have been sent, the process moves to the "Check for completeness" task. 
After the completeness has been checked, the process moves to a third exclusive gateway. From this gateway, the process can take one of two paths. If the forms are not complete, the process returns to the "Send relevant forms" task. If the forms are complete, the process moves to the "Register claim" task. Once the claim has been registered, the process ends. 
If the severity is high, the process returns to the "Evaluate severity" task. 
This process is designed to be executed, as indicated by the "isExecutable" attribute set to "true".</t>
  </si>
  <si>
    <t>The "Claims Notification" process begins with the start event. 
The first task in the process is "Check customer details". This task is responsible for verifying the details of the customer who has made a claim. 
Once the customer details have been checked, the process reaches an exclusive gateway. This gateway represents a decision point in the process. Depending on the outcome of the customer details check, the process will follow one of two paths.
If the customer details are not valid, the process will move to the "Reject claim" task. This task is responsible for rejecting the claim due to invalid customer details. After the claim has been rejected, the process ends.
If the customer details are valid, the process will move to the "Evaluate severity" task. This task is responsible for assessing the severity of the claim. 
After the severity has been evaluated, the process reaches another exclusive gateway. Depending on the outcome of the severity evaluation, the process will follow one of two paths.
If the severity is high, the process will move to the "Send relevant forms" task. This task is responsible for sending the necessary forms to the customer for further processing. 
Once the forms have been sent, the process moves to the "Check for completeness" task. This task is responsible for checking whether all the necessary information has been provided in the forms.
After the completeness check, the process reaches another exclusive gateway. Depending on the outcome of the completeness check, the process will follow one of two paths.
If the forms are not complete, the process will loop back to the "Send relevant forms" task. 
If the forms are complete, the process will move to the "Register claim" task. This task is responsible for registering the claim in the system. After the claim has been registered, the process ends.</t>
  </si>
  <si>
    <t>The process begins with the start event. 
The first task is to "Check customer details". Once the customer details are checked, the process moves to an exclusive gateway. This gateway represents a decision point in the process. 
If the customer details are not valid, the process moves to the "Reject claim" task. After the claim is rejected, the process ends.
If the customer details are valid, the process moves to the "Evaluate severity" task. After the severity is evaluated, the process moves to another exclusive gateway. 
If the severity is high, the process moves to the "Send relevant forms" task. After the forms are sent, the process moves to the "Check for completeness" task. Once the completeness is checked, the process moves to another exclusive gateway.
If the forms are not complete, the process loops back to the "Send relevant forms" task. 
If the forms are complete, the process moves to the "Register claim" task. After the claim is registered, the process ends.
This process model ensures that only valid claims from customers with complete forms are registered. If any of these conditions are not met, the claim is either rejected or the customer is asked to fill in the relevant forms again.</t>
  </si>
  <si>
    <t>The process begins with the start event. From the start event, the process flows to the task "Check customer details". 
After checking the customer details, the process reaches an exclusive gateway. This gateway represents a decision point in the process. 
From this gateway, the process can take one of two paths. One path leads to the task "Reject claim". If the claim is rejected, the process ends. 
The other path from the gateway leads to the task "Evaluate severity". After evaluating the severity, the process reaches another exclusive gateway. 
From this second gateway, the process can take one of two paths. One path leads back to the same gateway, creating a loop in the process. This loop continues until a certain condition is met. 
The other path from the second gateway leads to the task "Send relevant forms". After sending the relevant forms, the process moves to the task "Check for completeness". 
After checking for completeness, the process reaches a third exclusive gateway. From this gateway, the process can take one of two paths. One path leads back to the second gateway, creating another loop in the process. This loop continues until a certain condition is met. 
The other path from the third gateway leads to the task "Register claim". After registering the claim, the process ends. 
This process model is executable, meaning it can be run on a BPMN engine. The process is defined in the BPMN 2.0.2 specification and was created using the Camunda Modeler version 5.11.0. The execution platform is Camunda Cloud version 8.2.0.</t>
  </si>
  <si>
    <t>The "Claims Notification" process begins with a start event. 
From the start event, the process moves to the task "Check customer details". This task involves verifying the details of the customer who has made a claim. 
Once the customer details have been checked, the process reaches an exclusive gateway. This gateway represents a decision point in the process. 
If the customer details are not valid, the process moves to the task "Reject claim". This task involves rejecting the claim due to invalid customer details. After the claim is rejected, the process ends with an end event.
If the customer details are valid, the process moves to the task "Evaluate severity". This task involves assessing the severity of the claim. 
After evaluating the severity, the process reaches another exclusive gateway. 
If the severity is high, the process moves to the task "Send relevant forms". This task involves sending the necessary forms to the customer for further processing. 
Once the forms have been sent, the process moves to the task "Check for completeness". This task involves checking whether all the necessary information has been provided in the forms. 
After checking for completeness, the process reaches another exclusive gateway. 
If the forms are not complete, the process loops back to the task "Send relevant forms". 
If the forms are complete, the process moves to the task "Register claim". This task involves registering the claim for further processing. 
After the claim has been registered, the process ends with an end event. 
This is a high-level description of the "Claims Notification" process. Each task represents a specific action that needs to be performed, and the gateways represent decision points in the process. The flow between the tasks and gateways represents the order in which these actions and decisions are made.</t>
  </si>
  <si>
    <t>The process "Vacation Request 1.0" starts with the "Start" event. The process is executable and involves three participants: Employee, Boss, and Human Resource Assistant.
The Employee initiates the process by registering a vacation request ("Register Vacation Request" task). Once the request is registered, it is forwarded to the Boss for verification of available vacation days ("Verify Available Vacation Days" service task).
After verifying the available vacation days, the Boss checks the vacation request ("Check Vacation Request" task). The decision to approve or reject the request is made at this point, represented by the exclusive gateway.
If the request is rejected, the process returns to the Employee for reviewing the rejection reason ("Review Rejection Reason" task). After reviewing the rejection reason, the process ends ("End" event).
If the request is approved, the process moves to the Human Resource Assistant to perform administrative tasks ("Make Administrative Task" task). After completing the administrative tasks, the process ends ("End" event).
The process flow is represented by sequence flows connecting the tasks and events. The decision at the exclusive gateway is represented by two sequence flows named "Yes" and "No", indicating the approval and rejection of the vacation request, respectively.</t>
  </si>
  <si>
    <t>The "Vacation Request" process begins when an employee initiates the process (Start Event). This process involves three roles: Employee, Boss, and Human Resource Assistant.
1. The Employee registers a vacation request (Task: Register Vacation Request). 
2. Once the request is registered, it is sent to the Boss who verifies the available vacation days (Service Task: Verify Available Vacation Days). This task might involve some automated system process.
3. After verifying the available days, the Boss checks the vacation request (Task: Check Vacation Request).
4. The Boss then makes a decision (Exclusive Gateway), which can lead to two different paths:
   a. If the request is rejected, it goes back to the Employee who reviews the rejection reason (Task: Review Rejection Reason). After reviewing, the process ends (End Event).
   b. If the request is approved, it goes to the Human Resource Assistant who performs some administrative tasks (Task: Make Administrative Task). After completing the administrative tasks, the process ends (End Event).
The process flow is represented by arrows (Sequence Flow) that connect the tasks and events. The names "Yes" and "No" on the arrows from the Exclusive Gateway represent the decision made by the Boss.</t>
  </si>
  <si>
    <t>The process "Vacation Request 1.0" begins with the "Start" event. This process involves three roles: Employee, Boss, and Human Resource Assistant.
The Employee initiates the process by registering a vacation request in the task "Register Vacation Request". Once the request is registered, the process moves to the Boss's lane.
The Boss then verifies the available vacation days in the "Verify Available Vacation Days" service task. After verifying the vacation days, the Boss checks the vacation request in the "Check Vacation Request" task. 
After checking the request, the process reaches a decision point, represented by the "Exclusive Gateway". If the request is rejected, the process follows the "No" path to the "Review Rejection Reason" task back in the Employee's lane. The Employee reviews the rejection reason, and the process ends at the "End" event.
If the request is approved, the process follows the "Yes" path to the "Make Administrative Task" task in the Human Resource Assistant's lane. The Human Resource Assistant then performs the administrative task, and the process ends at the "End" event.
This process is executable, meaning it can be run in a BPMN engine. The process ends when either the Employee reviews the rejection reason or the Human Resource Assistant completes the administrative task.</t>
  </si>
  <si>
    <t>The process "Vacation Request 1.0" begins with the "Start" event. This process involves three roles: Employee, Boss, and Human Resource Assistant.
1. The Employee initiates the process by registering a vacation request ("Register Vacation Request" task). 
2. Once the vacation request is registered, the process moves to the Boss's lane. The Boss verifies the available vacation days ("Verify Available Vacation Days" service task). This task might involve checking a database or a system that keeps track of the employee's available vacation days.
3. After verifying the available vacation days, the Boss checks the vacation request ("Check Vacation Request" task). This task might involve assessing the timing of the vacation, the workload of the team, and other factors.
4. After checking the vacation request, the process reaches a decision point ("Gateway"). The Boss decides whether to approve or reject the vacation request. 
5. If the vacation request is rejected ("No" path), the process moves back to the Employee's lane. The Employee reviews the rejection reason ("Review Rejection Reason" task) and the process ends.
6. If the vacation request is approved ("Yes" path), the process moves to the Human Resource Assistant's lane. The Human Resource Assistant performs some administrative tasks ("Make Administrative Task" task), such as updating the employee's vacation days in the system.
7. Whether the vacation request is approved or rejected, the process ends with the "End" event.
Please note that this is a simplified description of the process. The actual process might involve more tasks, decision points, and roles.</t>
  </si>
  <si>
    <t>The "Vacation Request" process begins when an employee initiates the process (Start Event). This process involves three roles: Employee, Boss, and Human Resource Assistant.
1. The Employee registers the vacation request (Task: Register Vacation Request). 
2. Once the request is registered, it is sent to the Boss who verifies the available vacation days (Service Task: Verify Available Vacation Days). 
3. After verifying the available vacation days, the Boss checks the vacation request (Task: Check Vacation Request). 
4. The Boss then makes a decision at a decision point (Exclusive Gateway). 
5. If the request is rejected (Sequence Flow: No), it goes back to the Employee who reviews the rejection reason (Task: Review Rejection Reason). After reviewing, the process ends (End Event).
6. If the request is approved (Sequence Flow: Yes), it goes to the Human Resource Assistant who performs the administrative task (Task: Make Administrative Task). After the administrative task is completed, the process ends (End Event).
The process flow is represented by arrows (Sequence Flow) that connect the tasks and events, showing the order of the process. The decision point (Exclusive Gateway) is represented by a diamond shape and has two outgoing flows, one for approval (Yes) and one for rejection (No). The process ends when it reaches the End Event.</t>
  </si>
  <si>
    <t>The BPMN model "Production" describes a production process at Powerlicht GmbH. The process is executable and involves three lanes: Master Individual Production, Employee Individual Production, and Quality Inspector Individual.
The process starts with the "Order received" event in the Master Individual Production lane. This triggers the task "Determine Parts, Amounts and Delivery Date". Once this task is completed, the data is transferred to the PPS system in the next task "Transfer Data to PPS".
After the data transfer, the process reaches an exclusive gateway. If parts are missing, the process moves to the task "Produce Parts". If all parts are available, the process skips the production of parts and moves directly to the next gateway.
After the parts production or if all parts were available, the process reaches the second exclusive gateway and triggers the intermediate throw event "Ready to Start Production".
This event triggers the task "Produce Order" in the Employee Individual Production lane. Once the order is produced, the process moves to the Quality Inspector Individual lane where the task "Review Quality" is performed.
After the quality review, the process ends with the "End Event".</t>
  </si>
  <si>
    <t>The BPMN model "Production" describes a production process at Powerlicht GmbH. The process is divided into three lanes, each representing a different role or department: Master Individual Production, Employee Individual Production, and Quality Inspector Individual.
The process starts with the "Order received" event in the Master Individual Production lane. Once an order is received, the task "Determine Parts, Amounts and Delivery Date" is performed. This task involves determining the necessary parts, their quantities, and the delivery date for the order.
The next task is "Transfer Data to PPS". This involves transferring the data determined in the previous task to the Production Planning System (PPS).
After the data transfer, the process reaches an exclusive gateway, which represents a decision point. If all parts are available, the process moves directly to the next gateway. If parts are missing, the task "Produce Parts" is performed before moving to the next gateway.
Once all parts are available, an intermediate event "Ready to Start Production" is triggered. This event signals that the production can start and the process moves to the Employee Individual Production lane.
In the Employee Individual Production lane, the task "Produce Order" is performed. This involves producing the order based on the data transferred to the PPS.
Once the order is produced, the process moves to the Quality Inspector Individual lane. Here, the task "Review Quality" is performed. This involves reviewing the quality of the produced order.
Finally, the process ends with the "End Event", which signifies the completion of the production process.</t>
  </si>
  <si>
    <t>The process begins when an order is received (Start Event: "Order received"). This triggers the task "Determine Parts, Amounts and Delivery Date", where the necessary parts, their quantities, and the delivery date for the order are determined. 
Once this task is completed, the data is transferred to the PPS (Task: "Transfer Data to PPS"). After the data transfer, the process reaches a decision point (Exclusive Gateway), where it checks if all the necessary parts are available or not.
If all parts are available (Sequence Flow: "All Parts Available"), the process moves directly to the next decision point (Exclusive Gateway). If parts are missing (Sequence Flow: "Parts are Missing"), the process moves to the task "Produce Parts" where the missing parts are produced.
After the parts are produced, or if all parts were available initially, the process reaches the second decision point (Exclusive Gateway). From here, the process moves to the Intermediate Throw Event "Ready to Start Production", indicating that the production can now start.
Once the production is ready to start, the task "Produce Order" is executed by an employee. After the order is produced, the quality of the order is reviewed (Task: "Review Quality"). 
Finally, the process ends (End Event) after the quality review is completed. This entire process is carried out by the participant "Powerlicht GmbH". The tasks are divided among three lanes: "Master Individual Production", "Employee Individual Production", and "Quality Inspector Individual Production", representing different roles or departments in the organization.</t>
  </si>
  <si>
    <t>The process begins when an order is received, represented by the start event "Order received". This triggers the task "Determine Parts, Amounts and Delivery Date", where the necessary parts, their quantities, and the delivery date for the order are determined. 
Once this task is completed, the process moves to the next task, "Transfer Data to PPS", where the data determined in the previous task is transferred to the Production Planning System (PPS). 
After this, the process reaches an exclusive gateway, which represents a decision point. If all parts are available, the process follows the sequence flow "All Parts Available" and moves directly to the next exclusive gateway. If parts are missing, the process follows the sequence flow "Parts are Missing" and moves to the task "Produce Parts", where the missing parts are produced. 
Once the parts are produced, or if all parts were initially available, the process moves to the next exclusive gateway. From this gateway, the process moves to the intermediate throw event "Ready to Start Production", indicating that the production of the order can begin. 
This event triggers the task "Produce Order", which is carried out by an employee. Once the order is produced, the process moves to the task "Review Quality", where a quality inspector reviews the quality of the produced order. 
Finally, the process ends with the end event, indicating that the process of producing and reviewing the order is complete. 
This process involves three roles: the "Master Individual Production", who determines the parts, transfers data, and produces parts if necessary; the "Employee Individual Production", who produces the order; and the "Quality Inspector Individual", who reviews the quality of the produced order.</t>
  </si>
  <si>
    <t>The "Production" process begins when an order is received, represented by the start event "Order received". This triggers the task "Determine Parts, Amounts and Delivery Date", where the necessary parts, their quantities, and the delivery date for the order are determined.
Once this task is completed, the process moves to the next task, "Transfer Data to PPS", where the data determined in the previous task is transferred to the Production Planning System (PPS).
After the data transfer, the process reaches an exclusive gateway, which represents a decision point. If all parts are available, the process follows the sequence flow "All Parts Available" and moves directly to another exclusive gateway. If parts are missing, the process follows the sequence flow "Parts are Missing" and moves to the task "Produce Parts", where the missing parts are produced.
After the parts are produced, or if all parts were initially available, the process reaches the second exclusive gateway and then moves to the intermediate throw event "Ready to Start Production", indicating that the production can start.
From this point, the process moves to the task "Produce Order", which is performed by an employee. Once the order is produced, the process moves to the task "Review Quality", where a quality inspector reviews the quality of the produced order.
Finally, the process ends with the end event, indicating that the production process is complete.</t>
  </si>
  <si>
    <t>The "Lead Processing" process begins every Monday morning. The process is divided into two lanes, one for the Manager and one for the Sales Assistant.
The Manager starts the process by checking open leads. After checking the open leads, the Manager selects the top five leads. The selected leads are then passed to the Sales Assistant.
The Sales Assistant calls the contact person for each lead. After calling, the process reaches an inclusive gateway. 
If the contact person is interested, the lead is processed by the Manager. After processing, the lead is considered processed and the process ends.
If there are more leads to contact, the Sales Assistant goes back to calling the contact person for the next lead.
If there are no more leads to contact, the process ends with all leads being contacted.</t>
  </si>
  <si>
    <t>The "Lead Processing" process begins every Monday morning. This is a recurring event that triggers the process.
The first role involved in this process is the "Manager". The manager's first task is to "Check open leads". After checking the open leads, the manager then selects the "Top five leads". These top five leads are then passed on to the next role, the "Sales Assistant".
The "Sales Assistant" then performs the task of "Calling the contact person" of the leads. This task uses the "Top 5 Leads" data object as input. After the call, the process can go in three different directions based on the outcome of the call.
1. If the contact person is interested, the lead is processed by the manager. This is the "Process lead" task. After the lead is processed, the process ends with the "Lead processed" end event.
2. If there are more leads to call, the "Sales Assistant" repeats the "Call contact person" task.
3. If there are no more leads to call, the process ends with the "All Leads contacted" end event.
This process is designed to be executed, meaning it can be run on a BPMN engine. The process is also collaborative, involving two different roles, the "Manager" and the "Sales Assistant".</t>
  </si>
  <si>
    <t>The process "Lead Processing" involves two roles: a Manager and a Sales Assistant.
1. The process starts every Monday morning, as indicated by the start event "Each Monday morning".
2. The Manager first checks the open leads in the task "Check open leads".
3. After checking the open leads, the Manager selects the top five leads in the task "Select top five leads".
4. These top five leads are then passed to the Sales Assistant.
5. The Sales Assistant calls the contact person of each lead in the task "Call contact person". This task uses the data object "Top 5 Leads".
6. After calling the contact person, the process reaches an inclusive gateway. This gateway represents a decision point where one or more paths can be taken based on certain conditions.
7. If the contact person is interested, the process moves to the task "Process lead" performed by the Manager. After processing the lead, the process ends with the end event "Lead processed".
8. If there are more leads to contact, the process loops back to the task "Call contact person" performed by the Sales Assistant.
9. If there are no more leads to contact, the process ends with the end event "All Leads contacted".
This process continues every Monday morning, ensuring that the top five leads are always contacted and processed.</t>
  </si>
  <si>
    <t>The process "Lead Processing" involves two roles: a Manager and a Sales Assistant. 
The process starts every Monday morning, as indicated by the start event "Each Monday morning". This event triggers the first task "Check open leads", which is performed by the Manager. 
After checking the open leads, the Manager then performs the next task "Select top five leads". The selected leads are represented as a collection of data objects named "Top 5 Leads". 
Once the top five leads are selected, the process moves to the Sales Assistant who performs the task "Call contact person". This task uses the "Top 5 Leads" as input. 
After the Sales Assistant calls the contact person, the process reaches an inclusive gateway. This gateway represents a decision point where the process can take multiple paths based on certain conditions. 
If the contact person is interested, the process moves to the "Process lead" task, which is performed by the Manager. Once the lead is processed, the process ends with the end event "Lead processed". 
If there are more leads to contact, the process loops back to the "Call contact person" task. 
If there are no more leads to contact, the process ends with the end event "All Leads contacted". 
This process is designed to be executed, as indicated by the attribute "isExecutable" set to true.</t>
  </si>
  <si>
    <t>The "Lead Processing" process begins every Monday morning. This is an automated event that triggers the process.
The first task in the process is performed by the Manager, who checks for open leads. Once the Manager has checked for open leads, they then select the top five leads. These top five leads are then passed on to the Sales Assistant.
The Sales Assistant's task is to call the contact person associated with each lead. This task uses the top five leads data as input. After the Sales Assistant has made the call, the process reaches a decision point.
At this decision point, there are three possible paths:
1. If the contact person is interested, the lead is processed by the Manager. Once the lead has been processed, the process ends with the "Lead processed" event.
2. If there are more leads to contact, the Sales Assistant repeats the task of calling the contact person.
3. If there are no more leads to contact, the process ends with the "All Leads contacted" event.
This process is designed to be executed, meaning it can be run on a BPMN engine. The process is also part of a collaboration, indicating that it interacts with other processes, although these are not shown in the provided XML.</t>
  </si>
  <si>
    <t>The process "Reporting job vacancy" begins with the "personnel requirements" start event. This triggers the "report vacancy" task, which is performed by the "Head of the functional department". Once the vacancy is reported, the process reaches an event-based gateway.
From this gateway, two paths can be followed. One path leads to the "more information required" intermediate catch event, which triggers the "communicate tasks and requirements" task. The other path leads to the "received job description" intermediate catch event.
If more information is required, the "Head of the functional department" communicates the tasks and requirements to the "HR clerk". This information is then used to update the job description, and the process returns to the "received job description" event.
If the job description is received without needing more information, the process moves to the "review job description" task. This task is also performed by the "Head of the functional department".
After the job description is reviewed, the process reaches an exclusive gateway named "OK?". If the job description is not okay, the "ask for corrections" task is performed, and the process returns to the "received job description" event. If the job description is okay, the "approve job description" task is performed.
Finally, the process ends with the "job description is approved" end event.</t>
  </si>
  <si>
    <t>The BPMN model "Reporting job vacancy" describes a process involving two participants: the "Head of the functional department" and the "HR clerk". 
The process begins with the "Head of the functional department" identifying "personnel requirements". This triggers the start of the process. 
The next step is for the "Head of the functional department" to "report vacancy". This task is represented by the "report vacancy" activity. Once this task is completed, the process reaches a decision point, represented by an event-based gateway.
At this point, two events can occur. Either the "HR clerk" requires more information, represented by the "more information required" intermediate catch event, or the "HR clerk" receives the job description, represented by the "received job description" intermediate catch event.
If more information is required, the "Head of the functional department" will "communicate tasks and requirements" to the "HR clerk". This information is then used to update the job description.
Once the "HR clerk" has received the job description, they will "review job description". This task is followed by another decision point, represented by an exclusive gateway named "OK?".
If the job description is not okay, the "Head of the functional department" will "ask for corrections". The corrected job description is then sent back to the "HR clerk" for review.
If the job description is okay, the "Head of the functional department" will "approve job description". This leads to the end of the process, represented by the "job description is approved" end event. 
This process ensures that the job vacancy is accurately reported and that the job description is thoroughly reviewed and approved before it is finalized.</t>
  </si>
  <si>
    <t>The process "Reporting job vacancy" involves two main participants: the "Head of the functional department" and the "HR clerk". 
The process begins when there are "personnel requirements" in the department. The "Head of the functional department" then performs the task to "report vacancy". 
After reporting the vacancy, there are two possible paths. The first path is when "more information is required". In this case, the "Head of the functional department" needs to "communicate tasks and requirements" to the "HR clerk". Once the "HR clerk" receives the information, the process goes back to the "received job description" event.
The second path is when the "HR clerk" receives the job description directly after the vacancy is reported. The "HR clerk" then reviews the job description. 
After reviewing the job description, the "HR clerk" reaches a decision point, represented by the "OK?" gateway. If the job description is not okay, the "HR clerk" asks for corrections from the "Head of the functional department". The process then goes back to the "received job description" event. 
If the job description is okay, the "HR clerk" approves the job description. The process ends when the "job description is approved". 
This process ensures that the job vacancy is properly reported and the job description is thoroughly reviewed and approved before it is posted.</t>
  </si>
  <si>
    <t>The process "Reporting job vacancy" involves two participants: the "Head of the functional department" and the "HR clerk". 
The process begins with the "Head of the functional department" identifying "personnel requirements". Once these requirements are identified, the head of the department proceeds to "report vacancy". 
After reporting the vacancy, the process reaches a decision point, represented by an event-based gateway. Here, two possible paths can be taken: either "more information is required" or the "job description is received". 
If "more information is required", the head of the department will need to "communicate tasks and requirements" back to the HR clerk. This information is then used to update the job description, and the process returns to the decision point.
If the "job description is received", the head of the department will "review the job description". After reviewing, another decision point is reached, represented by an exclusive gateway named "OK?". 
If the job description is not okay, the head of the department will "ask for corrections" from the HR clerk. The corrected job description is then received and reviewed again, and the process returns to the "OK?" decision point.
If the job description is okay, the head of the department will "approve the job description". The process then ends with the "job description is approved" event.
Throughout this process, there are several message flows between the head of the department and the HR clerk, representing the communication required to report and refine the job vacancy.</t>
  </si>
  <si>
    <t>The process "Reporting job vacancy" involves two main participants: the "Head of the functional department" and the "HR clerk". 
The process begins when the "Head of the functional department" identifies "personnel requirements". This triggers the task "report vacancy", where the department head reports the job vacancy to the HR clerk. 
Once the vacancy is reported, the process reaches a decision point, represented by an event-based gateway. Two possible events can occur at this point: either "more information required" or "received job description". 
If "more information required" event is triggered, the department head will need to "communicate tasks and requirements" to the HR clerk. This information is then used to update the "received job description" event.
If the "received job description" event is triggered, the HR clerk will "review job description". After reviewing, the process reaches another decision point, represented by an exclusive gateway named "OK?". 
If the job description is not okay (No), the HR clerk will "ask for corrections" from the department head. The department head will then provide the corrected information, which updates the "received job description" event and the review process repeats.
If the job description is okay (Yes), the HR clerk will "approve job description". Once the job description is approved, the process ends with the "job description is approved" event.
Throughout this process, there are several message flows between the department head and the HR clerk, representing the communication and exchange of information between them.</t>
  </si>
  <si>
    <t>The process "Processing reported job vacancy" begins when a vacancy is reported (Start Event "vacancy is reported"). This triggers the task "review report". After the report is reviewed, the process reaches an exclusive gateway "Everything all right?".
If everything is not alright, the process moves to the task "ask for details and requirements". Once the details and requirements are asked, the process moves to the task "create job description". 
If everything is alright at the exclusive gateway, the process directly moves to the task "create job description". 
After the job description is created, the process reaches an event-based gateway. From this gateway, the process can go in two directions based on two intermediate catch events: "corrections are required" and "job description is approved". 
If corrections are required, the process moves to the task "correct job description". After the job description is corrected, the process goes back to the event-based gateway.
If the job description is approved, the process moves to the task "advertise post". After the post is advertised, the process ends (End Event "post is advertised").</t>
  </si>
  <si>
    <t>The process "Processing reported job vacancy" involves two main participants: the "HR Check" and the "Head of functional department". 
The process begins when a job vacancy is reported (Start Event). This triggers the "HR Check" to review the report (Task: review report). After reviewing, a decision is made whether everything is alright with the report (Exclusive Gateway: Everything all right?). 
If there are issues with the report, the "HR Check" asks the "Head of functional department" for more details and requirements (Task: ask for details and requirements). Once the details and requirements are received, the "HR Check" proceeds to create a job description (Task: create job description). 
If there were no issues with the report, the "HR Check" directly proceeds to create a job description. 
After the job description is created, two possible events can occur. Either corrections are required (Intermediate Catch Event: corrections are required) or the job description is approved (Intermediate Catch Event: job description is approved). This decision is made at an Event-Based Gateway.
If corrections are required, the "HR Check" corrects the job description (Task: correct job description) and the process loops back to the decision point of whether corrections are required or the job description is approved.
If the job description is approved, the "HR Check" proceeds to advertise the post (Task: advertise post). The process ends when the post is advertised (End Event: post is advertised). 
Throughout this process, there are several message flows between the "HR Check" and the "Head of functional department", indicating communication or exchange of information between these two participants.</t>
  </si>
  <si>
    <t>The process "Processing reported job vacancy" begins when a vacancy is reported. This triggers the start event "vacancy is reported". 
The first task in the process is "review report", where the reported vacancy is reviewed. After the review, the process reaches an exclusive gateway "Everything all right?", which represents a decision point. 
If everything is not alright with the report, the process moves to the task "ask for details and requirements". Here, the Head of the functional department is asked for more details and requirements about the vacancy. Once the details and requirements are received, the process moves to the task "create job description". 
If everything was alright with the report at the exclusive gateway, the process directly moves to the task "create job description". 
After the job description is created, the process reaches an event-based gateway. This gateway waits for one of two possible events to occur. 
The first possible event is "corrections are required". If this event occurs, the process moves to the task "correct job description", where the job description is corrected based on the received corrections. After the corrections are made, the process goes back to the event-based gateway.
The second possible event is "job description is approved". If this event occurs, the process moves to the task "advertise post", where the job post is advertised based on the approved job description. 
Finally, the process ends with the end event "post is advertised", indicating that the job post has been successfully advertised.</t>
  </si>
  <si>
    <t>The process "Processing reported job vacancy" begins when a vacancy is reported. This triggers the start event "vacancy is reported". The process then moves to the task "review report" where the reported vacancy is reviewed. 
After the review, the process reaches an exclusive gateway "Everything all right?". This gateway represents a decision point where the process can take one of two paths based on the outcome of the review. 
If everything is not alright, the process moves to the task "ask for details and requirements". Here, additional details and requirements for the vacancy are requested. Once this task is completed, the process moves to the task "create job description" where a job description is created based on the details and requirements gathered.
If everything is alright at the gateway, the process directly moves to the task "create job description". 
After the job description is created, the process reaches an event-based gateway. This gateway represents a point where the process waits for one of two possible events to occur. 
If corrections are required, the process moves to the intermediate catch event "corrections are required". This triggers the task "correct job description" where the job description is corrected. Once the corrections are made, the process returns to the event-based gateway.
If the job description is approved, the process moves to the intermediate catch event "job description is approved". This triggers the task "advertise post" where the job vacancy is advertised. 
Finally, the process ends with the end event "post is advertised", indicating that the job vacancy has been successfully advertised. 
Throughout this process, there are interactions (represented by message flows) between the HR Check (the process participant) and the Head of the functional department. These interactions involve asking for details and requirements, creating and correcting the job description, and advertising the post.</t>
  </si>
  <si>
    <t>The process "Processing reported job vacancy" begins when a vacancy is reported. This triggers the start event "vacancy is reported". 
The first task in the process is "review report", where the reported vacancy is reviewed. After the review, the process reaches an exclusive gateway "Everything all right?". This gateway represents a decision point where the process can take one of two paths based on whether everything is alright with the reported vacancy.
If everything is not alright, the process moves to the task "ask for details and requirements". Here, additional details and requirements for the vacancy are requested. Once this task is completed, the process moves to the task "create job description", where a job description for the vacancy is created.
If everything is alright at the "Everything all right?" gateway, the process directly moves to the "create job description" task.
After the job description is created, the process reaches an event-based gateway. This gateway represents a point in the process where the flow can take one of two paths based on the occurrence of a specific event.
If corrections are required to the job description, the intermediate catch event "corrections are required" is triggered. This leads to the task "correct job description", where the job description is corrected. Once the corrections are made, the process returns to the event-based gateway.
If the job description is approved, the intermediate catch event "job description is approved" is triggered. This leads to the task "advertise post", where the job vacancy is advertised.
Finally, the process ends with the end event "post is advertised", indicating that the job vacancy has been successfully advertised.
Throughout this process, there are interactions (represented by message flows) between the HR Check (the process participant) and the Head of the functional department. These interactions occur when asking for details and requirements, creating the job description, correcting the job description, and advertising the post.</t>
  </si>
  <si>
    <t>The BPMN model "Scheduling Meetings" describes a process involving two participants: the "Town Planning Authority" and the "Committee Members". 
The process begins in November with the "Coordination Unit" of the "Town Planning Authority" drafting dates for the meetings and entering them onto the next year's calendar. This draft schedule is then checked and updated by the "Support Officer". Once the updates are made, the schedule is finalized by the "Coordination Unit" and sent to the "Committee Members".
Upon receiving the schedule, each member checks for conflicts in their individual schedules. If there are any conflicts, they advise the "Support Officer" of the "Town Planning Authority". The "Support Officer" then updates the group calendars accordingly and sends the final schedule to the members. 
The process ends when the "Committee Members" receive the final schedule. 
This process is designed to ensure that all committee members are available for the scheduled meetings and any conflicts are resolved in a timely manner.</t>
  </si>
  <si>
    <t>The BPMN model "Scheduling Meetings" describes a process involving two main participants: the "Town Planning Authority" and the "Committee Members". The process is divided into two main parts, each handled by a different participant.
The first part of the process is handled by the "Town Planning Authority". It starts in November, with the "Coordination Unit" drafting dates for meetings and entering them onto the next year's calendar. Once the draft is complete, the "Support Officer" checks the dates and suggests updates if necessary. After the updates, the "Coordination Unit" finalizes the calendar schedule and sends it to the members.
The members, represented by the "Committee Members" participant, receive the meeting schedule and check for conflicts. If there are any conflicts, they advise the "Town Planning Authority" of these conflicts. The "Support Officer" then updates the group calendars based on the feedback received and sends the final schedule to the members. The process ends when the members receive the final schedule.
The process is designed to be iterative, meaning that it can be repeated multiple times until a satisfactory schedule is achieved. The process also includes several message flows, which represent the communication between the "Town Planning Authority" and the "Committee Members". These message flows ensure that all participants are kept informed about the progress of the scheduling process.</t>
  </si>
  <si>
    <t>The process "Scheduling Meetings" involves two main participants: the "Town Planning Authority" and the "Committee Members". 
The process starts in November, triggered by a timer event. The "Coordination Unit" of the "Town Planning Authority" drafts the dates for the meetings and enters them onto the next year's calendar. This draft schedule is then checked and suggested updates are made by the "Support Officer". After the updates, the "Coordination Unit" finalizes the calendar schedule.
Once the schedule is finalized, it is sent to the "Committee Members". This is represented by the intermediate throw event "Send Schedule to Members". The "Committee Members" receive the meeting schedule and check for conflicts. If there are any conflicts, they advise the "Support Officer" of the "Town Planning Authority". This is represented by the intermediate throw event "Advise of Schedule Conflicts".
Upon receiving the schedule conflicts, the "Support Officer" updates the group calendars and sends the final schedule to the "Committee Members". This is represented by the intermediate throw event "Send Final Schedule To Members". The "Committee Members" receive the final schedule and the process ends.
This process is represented in a BPMN model where tasks are represented by rectangles, events by circles, and the flow of the process by arrows connecting these elements. The lanes represent the different roles involved in the process. The process is executable, meaning it can be run on a BPMN engine.</t>
  </si>
  <si>
    <t>The process "Scheduling Meetings" involves two main participants: the "Town Planning Authority" and the "Committee Members". 
The process begins in November, as indicated by the start event named "November". The "Coordination Unit" of the "Town Planning Authority" then drafts the dates for the meetings in the task "Draft Dates". Once the dates are drafted, they are entered onto next year's calendar in the task "Enter Onto Next Years Calendar". 
After the dates are entered onto the calendar, the "Support Officer" checks and suggests updates in the task "Checks &amp; Suggests Updates". Once the updates are suggested, the "Coordination Unit" finalizes the calendar schedule in the task "Finalize Calendar Schedule". 
Once the schedule is finalized, it is sent to the members in the intermediate throw event "Send Schedule to Members". The "Committee Members" receive the meeting schedule in the start event "Receive Meeting Schedule" of the subprocess "Members Check Schedules". 
The members then check for conflicts in the task "Check for Conflicts". If there are any conflicts, they advise of schedule conflicts in the intermediate throw event "Advise of Schedule Conflicts". The "Support Officer" receives the schedule conflicts in the intermediate catch event "Receive Schedule Conflicts" and updates the group calendars in the task "Updates Group Calendars". 
Once the calendars are updated, the final schedule is sent to the members in the intermediate throw event "Send Final Schedule To Members". The members receive the final schedule in the intermediate catch event "Receive Final Schedule" and the subprocess "Members Check Schedules" ends. 
Finally, the process "Scheduling Meetings" ends when the "Support Officer" reaches the end event.</t>
  </si>
  <si>
    <t>The BPMN model "Scheduling Meetings" describes a process involving two main participants: the "Town Planning Authority" and the "Committee Members". 
The process begins in November, as indicated by the start event named "November". This triggers the first task, "Draft Dates", which is performed by the "Coordination Unit" of the "Town Planning Authority". Once the dates are drafted, they are entered onto next year's calendar, as indicated by the task "Enter Onto Next Years Calendar". 
After the dates are entered, the "Support Officer" of the "Town Planning Authority" checks and suggests updates, as indicated by the task "Checks &amp; Suggests Updates". Once the updates are checked and suggested, the "Coordination Unit" finalizes the calendar schedule, as indicated by the task "Finalize Calendar Schedule". 
Once the schedule is finalized, it is sent to the members, as indicated by the intermediate throw event "Send Schedule to Members". This triggers a message flow to the "Committee Members", who receive the meeting schedule, as indicated by the start event "Receive Meeting Schedule" in the subprocess "Members Check Schedules". 
The members then check for conflicts, as indicated by the task "Check for Conflicts". If there are any conflicts, they advise of schedule conflicts, as indicated by the intermediate throw event "Advise of Schedule Conflicts". This triggers a message flow back to the "Support Officer" of the "Town Planning Authority", who receives the schedule conflicts, as indicated by the intermediate catch event "Receive Schedule Conflicts". 
The "Support Officer" then updates the group calendars, as indicated by the task "Updates Group Calendars", and sends the final schedule to the members, as indicated by the intermediate throw event "Send Final Schedule To Members". This triggers a message flow back to the "Committee Members", who receive the final schedule, as indicated by the intermediate catch event "Receive Final Schedule". 
The process ends when the "Committee Members" have received the final schedule, as indicated by the end event in the subprocess "Members Check Schedules", and when the "Support Officer" of the "Town Planning Authority" has sent the final schedule, as indicated by the end event in the main process.</t>
  </si>
  <si>
    <t>The "Claims Creation" process begins with the start event. 
The first task is "Search Police report database". This task involves searching a database for a specific police report. The output of this task is a "Police Report" data object.
The next task is "Compose file". This task takes the "Police Report" data object as input and also requires "Claim Documentation". The output of this task is a "Claim file" data object.
The third task is "Calculate claim estimate". This task takes the "Claim file" data object as input and calculates an estimate for the claim.
The fourth task is "Create action plan". This task takes an "Action plan checklist" data object as input and creates an "Action Plan" data object.
The fifth task is "Negotiate estimate settlement". This task takes the "Action Plan" data object as input and negotiates a settlement for the claim.
The final task is "Notify claimant". This task involves notifying the claimant of the settlement. After this task is completed, the process ends with the end event.
There are also two text annotations in the process. The first one is "Police Report database" which is associated with the "Search Police report database" task. The second one is "Document Management system" which is associated with the "Compose file" task.</t>
  </si>
  <si>
    <t>grouping missing</t>
  </si>
  <si>
    <t>The "Claims Creation" process begins with the start event. 
The first task is "Search Police report database". This task involves searching a database for a specific police report. The output of this task is the "Police Report", which is a data object that is passed to the next task.
The next task is "Compose file". This task takes the "Police Report" as an input and also requires "Claim Documentation". The task involves creating a file that includes the information from the police report and the claim documentation. The output of this task is the "Claim file", which is another data object.
The "Claim file" is then passed to the next task, "Calculate claim estimate". This task involves calculating an estimate for the claim based on the information in the claim file.
The output of the "Calculate claim estimate" task is an "Action plan checklist", which is used in the next task, "Create action plan". This task involves creating an action plan based on the checklist. The output of this task is the "Action Plan".
The "Action Plan" is then used in the next task, "Negotiate estimate settlement". This task involves negotiating the settlement of the estimate with the claimant.
The final task is "Notify claimant". This task involves notifying the claimant of the outcome of the negotiation. After this task is completed, the process ends with the end event.
Throughout the process, there are annotations that indicate the use of a "Police Report database" and a "Document Management system". These annotations provide additional context for the tasks in the process.</t>
  </si>
  <si>
    <t>The process "Claims Creation" begins with the start event. 
The first task is "Search Police report database". This task involves searching a database for a specific police report. The output of this task is a "Police Report" data object.
The next task is "Compose file". This task takes the "Police Report" data object as input and also requires "Claim Documentation". The task involves creating a file that includes the information from the police report and the claim documentation. The output of this task is a "Claim file" data object.
The "Claim file" is then used in the next task, "Calculate claim estimate". This task involves calculating an estimate for the claim based on the information in the claim file.
The output of the "Calculate claim estimate" task is used in the next task, "Create action plan". This task also requires an "Action plan checklist". The task involves creating an action plan based on the claim estimate and the checklist. The output of this task is an "Action Plan" data object.
The "Action Plan" is then used in the next task, "Negotiate estimate settlement". This task involves negotiating a settlement for the claim based on the action plan.
The final task is "Notify claimant". This task involves notifying the claimant of the outcome of the negotiation. After this task, the process ends with the end event.
There are also two annotations in the process. The first annotation, "Police Report database", is associated with the "Search Police report database" task. The second annotation, "Document Management system", is associated with the "Compose file" task. These annotations provide additional information about the tasks they are associated with.</t>
  </si>
  <si>
    <t>The process "Claims Creation" begins with a start event. 
The first task in the process is "Search Police report database". This task involves searching a database for a police report. The output of this task is a "Police Report", which is a data object that is passed on to the next task.
The next task is "Compose file". This task takes in the "Police Report" from the previous task and also requires "Claim Documentation". The task involves composing a file using the provided data. The output of this task is a "Claim file", which is another data object that is passed on to the next task.
The third task is "Calculate claim estimate". This task takes in the "Claim file" from the previous task. The task involves calculating an estimate for the claim. The output of this task is not explicitly defined in the model.
The fourth task is "Create action plan". This task requires an "Action plan checklist". The task involves creating an action plan. The output of this task is an "Action Plan", which is a data object that is passed on to the next task.
The fifth task is "Negotiate estimate settlement". This task takes in the "Action Plan" from the previous task. The task involves negotiating a settlement for the estimate. The output of this task is not explicitly defined in the model.
The final task is "Notify claimant". This task involves notifying the claimant. There is no explicit input or output defined for this task in the model.
The process ends with an end event.
There are also two annotations in the model. The first annotation is "Police Report database", which is associated with the "Police Report" data object. The second annotation is "Document Management system", which is associated with the "Action plan checklist" data object. These annotations provide additional context about the sources of these data objects.</t>
  </si>
  <si>
    <t>The "Claims Creation" process begins with the start event. 
The first task is "Search Police report database". This task involves searching for a specific police report in the database. The output of this task is a "Police Report", which is a data object that is passed to the next task.
The next task is "Compose file". This task takes in two inputs: the "Police Report" from the previous task and "Claim Documentation". The task involves creating a file that combines information from the police report and the claim documentation. The output of this task is a "Claim file", which is another data object.
The "Claim file" is then passed to the next task, "Calculate claim estimate". This task involves calculating an estimate for the claim based on the information in the claim file. 
The output of the "Calculate claim estimate" task is used in the next task, "Create action plan". This task also takes in an "Action plan checklist" as input. The task involves creating an action plan based on the claim estimate and the checklist. The output of this task is an "Action Plan".
The "Action Plan" is then used in the next task, "Negotiate estimate settlement". This task involves negotiating a settlement based on the estimate and the action plan.
The final task is "Notify claimant". This task involves notifying the claimant of the outcome of the negotiation. After this task, the process ends with the end event.
There are also two annotations in the process. The first annotation, "Police Report database", is associated with the "Search Police report database" task. The second annotation, "Document Management system", is associated with the "Compose file" task. These annotations provide additional context about the tasks they are associated with.</t>
  </si>
  <si>
    <t>The process "Car Insurance Claims" involves three participants: the Customer, the Car Insurer, and the Garage. 
The process starts when the Customer submits a claim documentation to the Car Insurer. The Car Insurer's Notification department checks the documentation and registers the claim. The Handling department then checks the insurance and performs an assessment. 
Based on the assessment, the claim is either rejected or approved. If the claim is rejected, the customer is notified and the process ends. If the claim is approved, the insurer arranges for repair with the Garage and schedules a payment. The Garage receives damage information and payment details from the insurer. 
Finally, the insurer notifies the customer about the claim status and the process ends. 
The process is executable and is designed to be run on the Camunda Cloud platform. The model was created using the Camunda Modeler version 5.11.0.</t>
  </si>
  <si>
    <t>The "Car Insurance Claims" process involves three main participants: the Customer, the Car Insurer, and the Garage. 
1. The process begins when the Customer submits a claim documentation to the Car Insurer. 
2. The Car Insurer's Notification department receives the claim and checks the documentation. 
3. Once the documentation is verified, the claim is registered.
4. The claim is then forwarded to the Handling department where the insurance is checked. 
5. If the insurance is valid, an assessment is performed to evaluate the claim. 
6. Based on the assessment, a decision is made. If the claim is rejected, the customer is notified and the process ends. 
7. If the claim is approved, the insurer arranges for the repair with the Garage by sending them the damage information. 
8. The insurer then schedules the payment for the Garage and sends them the payment details. 
9. Finally, the insurer notifies the Customer about the claim approval and the arranged repair. 
10. The process ends once the customer has been notified.
This process is represented in the BPMN model through a series of tasks, decision points (represented by exclusive gateways), and message flows between the participants. The tasks are carried out by different departments within the Car Insurer's organization, as represented by the lanes in the model. The message flows represent the communication between the participants.</t>
  </si>
  <si>
    <t>The process "Car Insurance Claims" involves three main participants: the Customer, the Car Insurer, and the Garage. 
The process begins when the Customer initiates a claim. The claim documentation is then sent to the Car Insurer. Within the Car Insurer, there are two departments involved: the Notification department and the Handling department.
The Notification department receives the claim documentation and checks it. Once the documentation is verified, the claim is registered.
The Handling department then takes over. They first check the insurance details of the customer. If the insurance is valid, they perform an assessment of the claim. Based on the assessment, a decision is made. If the claim is rejected, the customer is notified and the process ends. 
If the claim is approved, the Handling department arranges for the repair of the car. The damage information is sent to the Garage. Once the repair is arranged, the payment is scheduled. The payment details are also sent to the Garage.
Finally, the customer is notified about the approval of the claim and the scheduled payment. The notification letter is sent to the Customer, marking the end of the process. 
Please note that this is a simplified description of the process. The actual process may involve more steps and decisions based on the specific policies and procedures of the Car Insurer.</t>
  </si>
  <si>
    <t>The process "Car Insurance Claims" involves three participants: the Customer, the Car Insurer, and the Garage. 
The process begins when the Customer initiates a claim. The claim documentation is sent from the Customer to the Car Insurer. 
Within the Car Insurer, there are two departments involved: the Notification department and the Handling department. 
The Notification department receives the claim documentation and checks it. Once the documentation is checked, the claim is registered. 
The Handling department then takes over. They first check the insurance. Once the insurance is verified, they perform an assessment. Based on the assessment, a decision is made at an exclusive gateway. 
If the claim is rejected, the "Reject claim" task is performed and the customer is notified. If the claim is accepted, the insurer arranges for repair with the Garage by sending them the damage information. 
Once the repair is arranged, the insurer schedules the payment. The payment details are sent to the Garage. 
After either rejecting the claim or scheduling the payment, the insurer notifies the customer by sending a notification letter. 
The process ends once the customer has been notified.</t>
  </si>
  <si>
    <t>The "Car Insurance Claims" process involves three main participants: the Customer, the Car Insurer, and the Garage. 
The process begins when the Customer initiates a claim. They send claim documentation to the Car Insurer. 
Within the Car Insurer, there are two departments involved: the Notification department and the Handling department. 
The Notification department receives the claim documentation and checks it. Once the documentation is verified, the claim is registered. 
The Handling department then takes over. They first check the insurance details of the claim. If the insurance is valid, they perform an assessment of the claim. 
Based on the assessment, the claim can take two paths. If the claim is rejected, the Handling department informs the customer about the rejection. If the claim is accepted, the Handling department arranges for the repair of the car with the Garage by sending them the damage information. 
Once the repair is arranged, the Handling department schedules the payment details with the Garage. 
Whether the claim is accepted or rejected, the final step is to notify the customer. If the claim is accepted, the notification includes the details of the repair and payment. If the claim is rejected, the notification includes the reasons for rejection. 
After the customer is notified, the process ends. 
Please note that this is a simplified description of the process. The actual process may involve more steps and participants, depending on the specific policies and procedures of the Car Insurer and the Garage.</t>
  </si>
  <si>
    <t>The process "Changing master data" involves three participants: EC, INQ, and IP. 
The process starts with the participant EC in the process "Process_0e9dpei". The start event "Event_0x10zei" triggers the task "Information" (Activity_0w03nck). After the task is completed, it leads to the end event "Event_08zmar0". This end event sends a message to the start event "Event_0z4b7xb" of the participant INQ in the process "Process_0wzppbi".
In the process "Process_0wzppbi", after receiving the message, the task "Notification of change" (Activity_0en6e23) is performed. After this task, an intermediate throw event "Event_0sukhv5" sends a message to the start event "Event_1msggdu" of the participant IP in the process "Process_0qqh0dk" and also to the intermediate catch event "Event_0pnbgex" in the same process "Process_0wzppbi". After catching the message, the process leads to the end event "Event_1t919zt".
In the process "Process_0qqh0dk", after receiving the message, the task "Check" (Activity_07sbsyw) is performed. After this task, the process reaches an exclusive gateway "Gateway_1wyw2xg" which leads to either the task "Confirmation" (Activity_0i5gd9b) or the task "Rejection" (Activity_0e3gchv) based on certain conditions. Both tasks send a message to the intermediate catch event "Event_0pnbgex" in the process "Process_0wzppbi". After each task, the process leads to the respective end events "Event_0ukw08n" and "Event_0mqa0f2".</t>
  </si>
  <si>
    <t>The BPMN model "Changing master data" involves three participants: EC, INQ, and IP. 
1. The process starts with the participant EC. The process begins with a start event, which leads to a task named "Information". After the task is completed, it ends with an end event. This end event sends a message to the participant INQ.
2. The participant INQ receives the message from EC and starts its process. The process begins with a task named "Notification of change". After the task is completed, it leads to an intermediate throw event, which sends a message to the participant IP and waits for a response. Once the response is received, it leads to an end event, which marks the end of the process for INQ.
3. The participant IP receives the message from INQ and starts its process. The process begins with a task named "Check". After the task is completed, it leads to an exclusive gateway, which is a decision point. Depending on the decision, it leads to either a send task named "Confirmation" or a send task named "Rejection". Both tasks send a message back to INQ. After the send task is completed, it leads to an end event, which marks the end of the process for IP.
In summary, the process involves EC providing information, INQ notifying of a change and waiting for a response, and IP checking the change and sending a confirmation or rejection back to INQ.</t>
  </si>
  <si>
    <t>The process "Changing master data" involves three participants: EC, INQ, and IP.
The process starts with the participant EC. The process begins with a start event, which leads to a task named "Information". After the task is completed, it ends with an end event. This end event sends a message to the participant INQ.
The participant INQ's process starts with a start event that receives the message from EC. This leads to a task named "Notification of change". After this task, an intermediate throw event occurs, which sends a message to the participant IP and waits for a response. Once the response is received, the process ends with an end event.
The participant IP's process starts with a start event that receives the message from INQ. This leads to a task named "Check". After this task, the process reaches an exclusive gateway, which is a decision point. Depending on the decision, the process can go in two directions.
If the decision is positive, the process goes to a send task named "Confirmation". After this task, the process ends with an end event, and a message is sent back to INQ.
If the decision is negative, the process goes to a send task named "Rejection". After this task, the process ends with an end event, and a message is sent back to INQ.
This is a high-level description of the process. The actual process may involve more detailed steps within each task.</t>
  </si>
  <si>
    <t>The process "Changing master data" involves three participants: EC, INQ, and IP.
The process starts with the participant EC. The process begins with a start event, which leads to a task named "Information". After the task is completed, it leads to an end event. This end event sends a message to the participant INQ.
The participant INQ starts its process with a start event that receives the message from EC. This leads to a task named "Notification of change". After the task is completed, it leads to an intermediate throw event that sends a message to the participant IP and waits for a response. Once the response is received, it leads to an end event, marking the end of the process for INQ.
The participant IP starts its process with a start event that receives the message from INQ. This leads to a task named "Check". After the task is completed, it leads to an exclusive gateway, which is a decision point. Depending on the decision, it leads to one of two tasks: "Confirmation" or "Rejection". 
If the decision leads to the "Confirmation" task, after the task is completed, it leads to an end event and sends a message back to INQ. 
If the decision leads to the "Rejection" task, after the task is completed, it leads to a different end event and also sends a message back to INQ. 
This marks the end of the process for IP and the overall process "Changing master data".</t>
  </si>
  <si>
    <t>The BPMN model "Changing master data" describes a process involving three participants: EC, INQ, and IP. 
The process starts with the participant EC. The EC initiates the process with a start event. After the start event, there is a task named "Information". Once the "Information" task is completed, it leads to an end event. This end event sends a message to the participant INQ.
The participant INQ receives the message from EC at its start event. After the start event, there is a task named "Notification of change". Once the "Notification of change" task is completed, it leads to an intermediate throw event that sends a message to the participant IP and waits for a response. Once the response is received at an intermediate catch event, it leads to an end event, completing the process for INQ.
The participant IP receives the message from INQ at its start event. After the start event, there is a task named "Check". Once the "Check" task is completed, it leads to an exclusive gateway. This gateway has two outgoing paths. One path leads to a send task named "Confirmation", and the other path leads to a send task named "Rejection". 
If the "Confirmation" task is executed, it sends a message back to INQ and leads to an end event. If the "Rejection" task is executed, it also sends a message back to INQ and leads to a different end event. This completes the process for IP.
In summary, the process involves EC providing information, INQ notifying of a change and waiting for a response, and IP checking the information and either confirming or rejecting the change.</t>
  </si>
  <si>
    <t>The process "Request warrant release" involves three participants: "Party", "Small Claims Registry Operations", and "Queensland Police". 
The process starts with the "Party" sending a "Request warrant release" message to the "Small Claims Registry Operations". 
In the "Small Claims Registry Operations", the process is divided into two lanes: "Client Service Back Office" and "Other MC Internal Staff". 
In the "Client Service Back Office" lane, the process starts with the task "Retrieve SCT File". After the file is retrieved, it is passed to the next task "Distribute SCT Warrant Possession". The output of this task is a "File" which is then sent to the "Queensland Police" as a "coversheet". 
After the "coversheet" is received by the "Queensland Police", they send back a "report" to the "Small Claims Registry Operations". 
Upon receiving the "report", the "Small Claims Registry Operations" retrieves the SCT file again and attaches a new SCT document to it. The expanded file is then stored. 
The process ends when the "Physical File received Out of Scope" event in the "Other MC Internal Staff" lane is triggered. 
Throughout the process, there are several data objects being used and manipulated, including "File", "Expanded File", and others. These data objects are used to store and transfer information between tasks and participants.</t>
  </si>
  <si>
    <t>The BPMN model "Request warrant release" describes a process involving three participants: a Party, the Small Claims Registry Operations, and the Queensland Police. 
The process begins when the Party sends a "Request warrant release" message to the Small Claims Registry Operations. 
Within the Small Claims Registry Operations, the process is divided into two lanes: the Client Service Back Office and Other MC Internal Staff. 
The process in the Client Service Back Office lane starts with the task "Retrieve SCT File". After the file is retrieved, it is passed to the next task, "Distribute SCT Warrant Possession". This task involves sending a "coversheet" message to the Queensland Police. 
Once the coversheet is received by the Queensland Police, they generate a "report" and send it back to the Small Claims Registry Operations. 
The report is then used in the "Retrieve SCT File" task. After the file is retrieved, it is passed to the next task, "Attach new SCT Document". The updated file is then stored in the "Store SCT Physical File" task. 
The process in the Other MC Internal Staff lane ends when the physical file is received, which is represented by the end event "Physical File received Out of Scope". 
Throughout the process, various data objects are used to represent the file and the expanded file. These data objects are passed between tasks using data input and output associations. 
This process is designed to be executable, meaning it can be run on a BPMN engine.</t>
  </si>
  <si>
    <t>The process "Request warrant release" involves three main participants: a Party, the Small Claims Registry Operations, and the Queensland Police. 
The process begins when the Party sends a "Request warrant release" message to the Small Claims Registry Operations. 
Within the Small Claims Registry Operations, the process is divided into two lanes: the Client Service Back Office and Other MC Internal Staff. 
The process in the Client Service Back Office lane starts with the task "Retrieve SCT File". After the file is retrieved, it is passed to the next task, "Distribute SCT Warrant Possession". This task involves distributing the warrant possession and creating a coversheet, which is then sent to the Queensland Police. 
After the Queensland Police receive the coversheet, they create a report and send it back to the Small Claims Registry Operations. 
The report is then used in the "Retrieve SCT File" task to retrieve the file again. After the file is retrieved, a new SCT Document is attached in the "Attach new SCT Document" task. 
The expanded file is then stored in the "Store SCT Physical File" task. 
The process in the Other MC Internal Staff lane is quite simple. It ends when the physical file is received, which is represented by the end event "Physical File received Out of Scope". 
Throughout the process, there are several data objects being used, including the File, the Expanded File, and the coversheet. These data objects are used in various tasks to store and transfer information. 
In summary, the process "Request warrant release" involves requesting a warrant release, retrieving and distributing the SCT file, communicating with the Queensland Police, and storing the physical file.</t>
  </si>
  <si>
    <t>The process "Request warrant release" involves three participants: "Party", "Small Claims Registry Operations", and "Queensland Police". 
The process starts with the "Party" sending a "Request warrant release" message to the "Small Claims Registry Operations". This triggers the "Retrieve SCT File" task in the "Client Service Back Office" lane. Once the file is retrieved, it is passed to the next task, "Distribute SCT Warrant Possession". 
In the "Distribute SCT Warrant Possession" task, the file is processed and a "coversheet" message is sent to the "Queensland Police". After the "coversheet" message is sent, the file is stored in the "Store SCT Physical File" task. 
Once the file is stored, it is retrieved again in the "Retrieve SCT File" task. After the file is retrieved, a "report" message is received from the "Queensland Police". 
The file is then processed in the "Attach new SCT Document" task, where a new document is attached to the file. After the new document is attached, the expanded file is stored in the "Store SCT Physical File" task. 
Finally, the process ends when the "Physical File received Out of Scope" end event is reached in the "Other MC Internal Staff" lane. This signifies that the physical file has been received and the process of requesting a warrant release is complete.</t>
  </si>
  <si>
    <t>The process "Office Supply Request 1.0" begins with the start event "Start". From there, the process moves to the task "Register Office Supply Request" which is performed by the "Employee". 
Once the office supply request is registered, it is sent to the "Boss" for approval in the task "Approve Office Supply Request". After the boss has made a decision, the process moves to the exclusive gateway "Request Approved?".
If the request is not approved, the process can take two paths. If changes are required, the process moves to the task "Notify Change Required" performed by the "Employee", and then loops back to the "Register Office Supply Request" task. If the request is rejected, the process moves to the task "Notify Rejection" performed by the "Boss", and then ends with the end event "End".
If the request is approved, the process moves to the task "Notify Approval" performed by the "Purchase Department". From there, the process moves to the sub-process "Quotations". After the quotations are processed, the process moves to the service task "Generate Purchase Order" also performed by the "Purchase Department".
Once the purchase order is generated, the process moves to the task "Receive Products" performed by the "Employee". After the products are received, the process moves to the intermediate throw event "Products Received". 
This event is caught by the intermediate catch event "Products Received" in the "Purchase Department". From there, the process moves to the task "Process Invoice". After the invoice is processed, the process ends with the end event "End".</t>
  </si>
  <si>
    <t>The BPMN model "Office Supply Request 1.0" describes a process where an employee requests office supplies, which then goes through an approval process and finally the purchase and receipt of the requested supplies. Here is a step-by-step description of the process:
1. The process starts with the "Start" event.
2. The employee registers the office supply request in the "Register Office Supply Request" task.
3. The request is then sent to the boss for approval in the "Approve Office Supply Request" task.
4. The boss then decides whether the request is approved or not in the "Request Approved?" decision gateway. 
5. If the request is not approved, the process can take two paths. If changes are required, the employee is notified in the "Notify Change Required" task and the request goes back to the registration step. If the request is rejected, the boss notifies the rejection in the "Notify Rejection" task and the process ends.
6. If the request is approved, the boss notifies the approval in the "Notify Approval" task.
7. The approved request is then sent to the Purchase Department where they handle quotations in the "Quotations" subprocess.
8. After quotations, a purchase order is generated in the "Generate Purchase Order" service task.
9. The employee then receives the products in the "Receive Products" task and a "Products Received" event is thrown.
10. The Purchase Department catches the "Products Received" event and processes the invoice in the "Process Invoice" task.
11. The process ends when the invoice is processed and the "End" event is reached.
Please note that the actual names of the tasks, events, and gateway in your process may vary depending on the specific implementation.</t>
  </si>
  <si>
    <t>The process "Office Supply Request 1.0" begins with an employee initiating the process (Start Event). The employee then registers an office supply request (Task: Register Office Supply Request). 
Once the request is registered, it is sent to the boss for approval (Task: Approve Office Supply Request). The boss then makes a decision (Gateway: Request Approved?) which can lead to three different outcomes:
1. If the request requires changes, the employee is notified to make the necessary changes (Task: Notify Change Required). The employee then goes back to register the office supply request again.
2. If the request is rejected, the boss notifies the rejection (Task: Notify Rejection) and the process ends.
3. If the request is approved, the boss notifies the approval (Task: Notify Approval) and the request is sent to the Purchase Department.
In the Purchase Department, the approved request goes through a subprocess for quotations (SubProcess: Quotations). After the quotations subprocess, a purchase order is generated (Service Task: Generate Purchase Order). 
Once the purchase order is generated, the employee receives the products (Task: Receive Products). After receiving the products, the employee notifies that the products have been received (Intermediate Throw Event: Products Received).
The Purchase Department catches the notification that the products have been received (Intermediate Catch Event: Products Received) and processes the invoice (Task: Process Invoice). Once the invoice is processed, the process ends.</t>
  </si>
  <si>
    <t>The process "Office Supply Request 1.0" begins with the start event. 
The first task is "Register Office Supply Request", which is performed by an Employee. This task can be initiated by the start event or by the task "Notify Change Required". Once the request is registered, it is sent to the Boss for approval.
The Boss then performs the task "Approve Office Supply Request". After the approval task, the process reaches a decision point, represented by the exclusive gateway "Request Approved?".
If the request is not approved, the process can take two paths. One path leads to the task "Notify Change Required", which is performed by the Employee. This task leads back to the "Register Office Supply Request" task, creating a loop until the request is approved. The other path leads to the task "Notify Rejection", also performed by the Boss. After the rejection is notified, the process ends.
If the request is approved, the process moves to the "Notify Approval" task, performed by the Purchase Department. After approval is notified, the process moves into a sub-process named "Quotations".
After the "Quotations" sub-process, the Purchase Department performs the service task "Generate Purchase Order". Once the purchase order is generated, the process moves back to the Employee, who performs the task "Receive Products".
Once the products are received, an intermediate event "Products Received" is thrown. This event is caught by the Purchase Department, which then performs the task "Process Invoice". After the invoice is processed, the process ends.</t>
  </si>
  <si>
    <t>The BPMN model "Office Supply Request 1.0" describes a process that involves three roles: an Employee, a Boss, and the Purchase Department. 
1. The process begins with the "Start" event. 
2. The Employee then performs the task "Register Office Supply Request". 
3. Once the request is registered, it is sent to the Boss for the task "Approve Office Supply Request". 
4. After the Boss has reviewed the request, a decision is made at the "Request Approved?" gateway. 
5. If the request is not approved, there are two possible paths. If changes are required, the process returns to the Employee with the task "Notify Change Required", and the Employee must re-register the request. If the request is rejected, the Boss performs the task "Notify Rejection", and the process ends. 
6. If the request is approved, the Boss performs the task "Notify Approval", and the process moves to the Purchase Department. 
7. The Purchase Department then performs a sub-process "Quotations". 
8. After the quotations are done, a "Generate Purchase Order" service task is performed. 
9. Once the purchase order is generated, the Employee performs the task "Receive Products". 
10. After the products are received, an event "Products Received" is triggered. 
11. This event is caught by the Purchase Department, which then performs the task "Process Invoice". 
12. Once the invoice is processed, the process ends. 
This process ensures that office supply requests are properly registered, reviewed, and either approved or rejected. If approved, the process ensures that the necessary purchases are made and the products are received and invoiced.</t>
  </si>
  <si>
    <t>The process "Company manufacturing bicycles" begins with the "Sales Department" receiving an order. The order is then evaluated for acceptance. If the order is not accepted, the process ends. If the order is accepted, the "Sales Department" informs the "Storehouse" and the "Engineering Department".
The "Storehouse" then checks the quantity of the parts required for the order. If the parts are not available in-house, they are back-ordered. If the parts are available, they are reserved. This process is repeated until all parts have been checked.
Simultaneously, the "Engineering Department" prepares for assembling the bicycle. Once all parts have been checked and the preparation for assembling is complete, the bicycle is assembled.
Finally, the assembled bicycle is shipped to the customer, marking the end of the process.</t>
  </si>
  <si>
    <t>The process "Company manufacturing bicycles" begins with the Sales Department receiving an order. This is the start of the process. Once the order is received, a decision is made whether to accept the order or not. If the order is not accepted, the process ends. 
If the order is accepted, the Sales Department informs the Storehouse and the Engineering Department. This triggers two parallel processes. 
In the Storehouse, they start by checking the quantity of the required parts for the bicycle. If the parts are not available in-house, they are back-ordered. If the parts are available, they are reserved. This process is repeated until all parts have been checked. 
Simultaneously, the Engineering Department starts preparing for assembling the bicycle. Once all parts have been checked and the Engineering Department is ready, the bicycle is assembled. 
Finally, the assembled bicycle is shipped to the customer, marking the end of the process. 
This process involves three departments (Sales, Storehouse, and Engineering) working together to manufacture and deliver a bicycle to a customer. The process ensures that all necessary parts are available and that the bicycle is assembled correctly before it is shipped to the customer.</t>
  </si>
  <si>
    <t>The process begins with the "Sales Department" receiving an order (Task: Receive Order). Once the order is received, a decision is made whether to accept the order or not (Gateway: Accept Order?). If the order is not accepted, the process ends (End Event). 
If the order is accepted, the "Sales Department" informs the "Storehouse" and the "Engineering Department" (Task: Inform Storehouse and Engineering Department). After this, the process splits into two parallel paths.
In the "Storehouse", the quantity of the required parts is checked (Task: Check Part Quantity). If the parts are not available in-house (Gateway: Available in-house?), they are back-ordered (Task: Back-order Part). If the parts are available, they are reserved (Task: Reserve Part). After either reserving or back-ordering the parts, a check is made if there are any parts left unchecked (Gateway: Any Part Left Unchecked?). If yes, the unchecked part is selected (Task: Select Unchecked Part) and the process loops back to checking the part quantity. If no, the process moves to the "Engineering Department".
Simultaneously, in the "Engineering Department", preparations for assembling the bicycle are made (Task: Prepare for Assembling). Once the parts are ready and all parts have been checked in the "Storehouse", the bicycle is assembled (Task: Assemble Bicycle).
Finally, the assembled bicycle is shipped to the customer (Task: Ship Bicycle to Customer) and the process ends (End Event).</t>
  </si>
  <si>
    <t>The process begins in the "Sales Department" with the start event. The first task is to "Receive Order". Once the order is received, it goes to the decision point "Accept Order?". If the order is not accepted, the process ends. If the order is accepted, the next task is to "Inform Storehouse and Engineering Department".
The process then splits into two parallel paths at the "Storehouse" and "Engineering Department". In the "Storehouse", the first task is to "Check Part Quantity". After checking the part quantity, it goes to the decision point "Available in-house?". If the part is not available in-house, the task is to "Back-order Part". If the part is available in-house, the task is to "Reserve Part". After either back-ordering or reserving the part, the process goes to the decision point "Any Part Left Unchecked?". If there are parts left unchecked, the task is to "Select Unchecked Part" and the process loops back to "Check Part Quantity". If there are no parts left unchecked, the process moves forward.
In the "Engineering Department", the task is to "Prepare for Assembling". After preparing for assembling, the process moves forward.
The two parallel paths then converge and the task is to "Assemble Bicycle". After assembling the bicycle, the task is to "Ship Bicycle to Customer". After shipping the bicycle to the customer, the process ends.</t>
  </si>
  <si>
    <t>The process "Company manufacturing bicycles" begins with the "Sales Department" receiving an order. This is the start of the process. Once the order is received, a decision is made whether to accept the order or not. If the order is not accepted, the process ends. 
If the order is accepted, the "Sales Department" informs the "Storehouse" and the "Engineering Department". This information is then processed in parallel by the "Storehouse" and the "Engineering Department". 
In the "Storehouse", the quantity of parts needed for the bicycle is checked. If the parts are not available in-house, they are back-ordered. If the parts are available, they are reserved. After either back-ordering or reserving the parts, a check is made if there are any parts left unchecked. If there are, the unchecked part is selected and the process of checking part quantity repeats. If all parts have been checked, the process moves to the "Engineering Department".
In the "Engineering Department", preparations for assembling the bicycle are made. Once the preparations are complete and all parts have been checked in the "Storehouse", the bicycle is assembled. 
After the bicycle is assembled, it is shipped to the customer, marking the end of the process. 
This process is executable, meaning it can be automated and run by a business process management system. The process is divided into three lanes representing the "Sales Department", "Storehouse", and "Engineering Department", each responsible for different tasks in the process. The flow of the process is controlled by sequence flows and gateways, which represent decisions and parallel processing.</t>
  </si>
  <si>
    <t>The process "Planning and Performing Meetings" involves two main participants: the Support Officer and the Committee Members. 
The process begins when a meeting is due, triggering the Support Officer to create a meeting folder. Once the folder is created, the Support Officer uploads all relevant documents to the folder. A week before the meeting, a reminder is sent to the Committee Members to read the documentation. 
The Support Officer then attends the meeting and prepares the meeting minutes afterwards. The meeting minutes are then subjected to a QA check by the Coordination Unit. If the QA check is not completed within 5 days, the Support Officer is reminded to follow up with the Coordination Unit. 
Once the QA check is completed, the meeting minutes are sent to the Committee Members, marking the end of the Support Officer's process.
On the Committee Members' side, they receive the meeting reminder and attend the meeting. After the meeting, they wait for the meeting minutes. Once they receive the minutes, their process ends.</t>
  </si>
  <si>
    <t>The BPMN model "Planning and Performing Meetings" describes a process that involves two main participants: the "Support Officer" and the "Committee Members". 
The process starts when a meeting is due, which is represented by the start event "Meeting Due". The Support Officer then creates a meeting folder (task "Create Meeting Folder") and uploads all relevant documents (task "Upload All Relevant Documents"). 
One week before the meeting, an intermediate timer event "1 Week Before Meeting" is triggered. This leads to the Support Officer reminding the Committee Members to read the documentation (intermediate throw event "Remind Members to Read Documentation"). 
The Support Officer then attends the meeting (task "Attends Meeting") and prepares the meeting minutes (task "Prepare Meeting Minutes"). The meeting minutes are then checked by the Coordination Unit (task "QA Check"). If the QA Check takes more than 5 days, a boundary timer event "5 days" is triggered, which leads to the Support Officer reminding the Coordination Unit (task "Remind Coordination Unit").
Once the QA Check is completed, the Support Officer sends the minutes to the Committee Members (intermediate throw event "Send Minutes To Members"). This marks the end of the Support Officer's process with the end event.
On the Committee Members' side, they receive the meeting reminder (intermediate catch event "Meeting Reminder") and the meeting takes place (task "Meeting Takes Place"). After the meeting, they wait for the meeting minutes (intermediate throw event "Waiting On Meeting Minutes"). Once they receive the minutes (intermediate catch event "Send Minutes to Members"), their process ends with the end event. 
This process ensures that all necessary steps are taken to plan and perform a meeting, and that all participants are informed at the right time.</t>
  </si>
  <si>
    <t>The process "Planning and Performing Meetings" involves two main participants: the "Support Officer" and the "Committee Members". The process is initiated by the "Support Officer" when a meeting is due. 
The process starts with the "Support Officer" creating a meeting folder. Once the meeting folder is created, the "Support Officer" uploads all relevant documents to the folder. A week before the meeting, a reminder is sent to the "Committee Members" to read the documentation. 
The "Support Officer" then attends the meeting. After the meeting, the "Support Officer" prepares the meeting minutes. The meeting minutes are then checked by the "Coordination Unit". If the "Coordination Unit" does not respond within 5 days, the "Support Officer" reminds the "Coordination Unit" to check the minutes. 
Once the minutes are approved by the "Coordination Unit", the "Support Officer" sends the minutes to the "Committee Members". This marks the end of the process for the "Support Officer".
On the other hand, the "Committee Members" start their part of the process by receiving the meeting reminder. They then attend the meeting. After the meeting, they wait for the meeting minutes. Once they receive the meeting minutes, their part of the process ends. 
This process ensures that all relevant documents are prepared and shared before the meeting, and that the meeting minutes are prepared and shared after the meeting.</t>
  </si>
  <si>
    <t>The process "Planning and Performing Meetings" involves two main participants: the "Support Officer" and the "Committee Members". 
The process begins when a meeting is due, which triggers the "Support Officer" to start the process. The first task is to "Create Meeting Folder". Once this task is completed, the next task is to "Upload All Relevant Documents" to the meeting folder. 
A week before the meeting, a timer event triggers a reminder to the "Committee Members" to read the documentation. This is done through an intermediate throw event named "Remind Members to Read Documentation". 
After the reminder has been sent, the "Support Officer" then "Attends Meeting". Following the meeting, the "Support Officer" is tasked with "Preparing Meeting Minutes". 
The meeting minutes are then sent for a "QA Check" by the "Coordination Unit". If the QA Check takes more than 5 days, a timer event triggers a reminder to the "Coordination Unit". If the "Coordination Unit" does not respond within the given time, the "Support Officer" is tasked to "Remind Coordination Unit". 
Once the QA Check is completed, the "Support Officer" then "Sends Minutes To Members". This marks the end of the process for the "Support Officer". 
On the other hand, the "Committee Members" start their process when they receive the "Meeting Reminder". They then attend the meeting, which is represented by the task "Meeting Takes Place". After the meeting, they wait for the meeting minutes, represented by the intermediate throw event "Waiting On Meeting Minutes". 
Once they receive the meeting minutes, represented by the intermediate catch event "Send Minutes to Members", the process for the "Committee Members" ends. 
This process ensures that all relevant documents are prepared and shared with the committee members in a timely manner, and that the meeting minutes are checked for quality before being sent out.</t>
  </si>
  <si>
    <t>The BPMN model "Planning and Performing Meetings" describes a process that involves two main participants: the "Support Officer" and the "Committee Members". 
The process begins when a meeting is due, which is represented by the start event "Meeting Due". This triggers the first task, "Create Meeting Folder", performed by the Support Officer. Once the meeting folder is created, the next task is to "Upload All Relevant Documents" to the folder. 
A week before the meeting, an intermediate catch event "1 Week Before Meeting" is triggered. This leads to the task "Remind Members to Read Documentation", which is a message sent to the Committee Members. 
The Support Officer then "Attends Meeting". After the meeting, the Support Officer is responsible for preparing the meeting minutes in the task "Prepare Meeting Minutes". 
The meeting minutes are then subjected to a "QA Check" by the Coordination Unit. If the QA Check takes more than 5 days, a boundary event is triggered, and the Support Officer is reminded to expedite the process in the task "Remind Coordination Unit". 
Once the QA Check is completed, the meeting minutes are sent to the Committee Members in the task "Send Minutes To Members". This marks the end of the process for the Support Officer.
On the Committee Members' side, they receive the "Meeting Reminder" and attend the meeting in the task "Meeting Takes Place". After the meeting, they wait for the meeting minutes in the event "Waiting On Meeting Minutes". Once they receive the meeting minutes in the event "Send Minutes to Members", their part of the process ends. 
This process ensures that all relevant documents are prepared and reviewed before the meeting, and that the meeting minutes are distributed to all members after the meeting.</t>
  </si>
  <si>
    <t>The "Mortgage Offering" process begins with a start event, which triggers the task "Send Out Mortgage Offer". Once the mortgage offer is sent out, the process reaches an event-based gateway, which diverges the process into three possible paths based on different events.
The first path is triggered by a timer event "2 Weeks", which after being triggered, leads to a sub-process "Update Case File and Archive". This sub-process updates the case file and archives it, and then the process ends.
The second path is triggered by a message event "Not interested". If the customer is not interested in the mortgage offer, the process also leads to the sub-process "Update Case File and Archive", and then the process ends.
The third path is triggered by a message event "Completed Offer Docs Received". If the completed offer documents are received, the process leads to a task "Assess Mortgage Details". After assessing the mortgage details, the process reaches an exclusive gateway "All Docs Available?".
If all documents are available (Yes), the process leads to a sub-process "Finalize Mortgage Application". After finalizing the mortgage application, the process ends with an end event "Mortgage in System".
If not all documents are available (No), the process leads to a task "Request Outstanding Documents". After requesting outstanding documents, the process waits for a message event "Documents Received". Once the documents are received, the process goes back to the exclusive gateway "All Docs Available?".
If the documents are not received within a certain time period, a timer event is triggered, which leads to a sub-process "Update Case Details and Archive". After updating the case details and archiving them, the process ends with a cancel end event.</t>
  </si>
  <si>
    <t>The "Mortgage Offering" process begins when a signal event is triggered. This event is handled by a Customer Service Representative, who then proceeds to send out a mortgage offer.
Once the mortgage offer is sent, the process reaches an event-based gateway. This gateway waits for one of three possible events to occur:
1. If two weeks pass without any response from the customer, the process moves to a sub-process where the case file is updated and archived, and then the process ends.
2. If the customer responds indicating they are not interested, the process also moves to the sub-process where the case file is updated and archived, and then the process ends.
3. If the customer responds with completed offer documents, the process moves to the Administration lane where the mortgage details are assessed.
After the mortgage details are assessed, the process reaches an exclusive gateway that checks if all documents are available. 
- If all documents are available, the process moves to a sub-process where the mortgage application is finalized, and then a signal event indicating that the mortgage is in the system is triggered, ending the process.
- If not all documents are available, the process moves to a task where outstanding documents are requested. If the documents are received, the process goes back to the exclusive gateway to reassess if all documents are now available. If the documents are not received within a certain time limit, a timer event is triggered, and the process moves to a sub-process where the case details are updated and archived, and then a cancel event is triggered, ending the process.</t>
  </si>
  <si>
    <t>The process "Mortgage Offering" begins with a start event that triggers the task "Send Out Mortgage Offer" performed by a Customer Service Representative. Once the mortgage offer is sent out, the process reaches an event-based gateway that waits for one of three possible events to occur.
The first possible event is a timer event named "2 Weeks", which is triggered if two weeks pass without any other events occurring. If this event is triggered, the process moves to a sub-process named "Update Case File and Archive", after which the process ends.
The second possible event is a message event named "Completed Offer Docs Received". If this event is triggered, the process moves to a task named "Assess Mortgage Details" performed by the Administration. After assessing the mortgage details, the process reaches an exclusive gateway named "All Docs Available?".
If all documents are available, the process moves to a sub-process named "Finalize Mortgage Application". Once the mortgage application is finalized, the process ends with an end event named "Mortgage in System".
If not all documents are available, the process moves to a task named "Request Outstanding Documents". If the outstanding documents are received (a message event named "Documents Received"), the process returns to the "All Docs Available?" gateway. If the outstanding documents are not received within a certain time limit (a timer event), the process moves to a sub-process named "Update Case Details and Archive", after which the process ends.
The third possible event at the initial event-based gateway is a message event named "Not interested". If this event is triggered, the process moves to the "Update Case File and Archive" sub-process, after which the process ends.</t>
  </si>
  <si>
    <t>The process "Mortgage Offering" begins with a start event that triggers the task "Send Out Mortgage Offer" performed by the Customer Service Representative. Once the mortgage offer is sent out, the process reaches an event-based gateway that leads to three different paths.
The first path leads to an intermediate catch event named "2 Weeks", which waits for a period of two weeks. If this event is triggered, the sub-process "Update Case File and Archive" is executed, after which the process ends.
The second path leads to an intermediate catch event named "Not interested". If the customer indicates that they are not interested, the same sub-process "Update Case File and Archive" is executed, and the process ends.
The third path leads to an intermediate catch event named "Completed Offer Docs Received". If the customer returns the completed offer documents, the task "Assess Mortgage Details" is performed by the Administration. 
After assessing the mortgage details, the process reaches an exclusive gateway named "All Docs Available?". If all documents are available ("Yes"), the sub-process "Finalize Mortgage Application" is executed, and the process ends with the end event "Mortgage in System". 
If not all documents are available ("No"), the task "Request Outstanding Documents" is performed. If the requested documents are received (intermediate catch event "Documents Received"), the process returns to the exclusive gateway "All Docs Available?". 
If the documents are not received within a certain time period (boundary event attached to "Request Outstanding Documents"), the sub-process "Update Case Details and Archive" is executed, and the process ends with a cancel end event.</t>
  </si>
  <si>
    <t>The "Mortgage Offering" process begins with a start event, which triggers the task "Send Out Mortgage Offer" performed by a Customer Service Representative. Once the mortgage offer is sent out, the process reaches an event-based gateway, which diverges the process into three possible paths based on different events.
The first path is triggered by a timer event named "2 Weeks". If two weeks pass without any other events occurring, the process moves to a sub-process named "Update Case File and Archive", after which the process ends.
The second path is triggered by a message event named "Not interested". If the customer indicates they are not interested in the mortgage offer, the process also moves to the "Update Case File and Archive" sub-process, after which the process ends.
The third path is triggered by a message event named "Completed Offer Docs Received". If the customer returns the completed offer documents, the process moves to a task named "Assess Mortgage Details" performed by the Administration. 
After assessing the mortgage details, the process reaches an exclusive gateway named "All Docs Available?". If all documents are available ("Yes"), the process moves to a sub-process named "Finalize Mortgage Application". Once the mortgage application is finalized, the process ends with an end event named "Mortgage in System".
If not all documents are available ("No"), the process moves to a task named "Request Outstanding Documents". If the requested documents are received (indicated by a message event named "Documents Received"), the process returns to the "All Docs Available?" gateway. 
However, if the documents are not received within a certain time period (indicated by a timer event), the process moves to a sub-process named "Update Case Details and Archive", after which the process ends with a cancel end event.</t>
  </si>
  <si>
    <t>The "Repair Service" process begins with the "Customer" participant initiating the process by bringing in a defective computer. This is represented by the task "Bring in Defective Computer". 
Once the computer is received, the "Computer Repair Service" participant prepares a repair cost calculation, represented by the task "Prepare Repair Cost Calculation". This calculation is then sent back to the customer, represented by the task "Receive Repair Cost Calculation". 
The customer then decides whether the cost is acceptable or not, represented by the exclusive gateway "Acceptable?". If the cost is not acceptable, the customer takes the computer home, represented by the task "Take Computer Home", and the process ends. 
If the cost is acceptable, the customer decides to continue the process, represented by the task "Continue Process". The computer repair service then proceeds to repair the computer, represented by the sub-process "Repair Computer". This sub-process includes checking and repairing the hardware, represented by the task "Check and Repair Hardware", and checking and configuring the software, represented by the task "Check and Configure Software". 
Once the repair is complete, the computer repair service tests the system functionality, represented by the task "Test System Functionality". If an error occurs during this testing, represented by the boundary event "Event_1rzt3ff", the repair process is repeated. 
If no errors occur, the process ends successfully.</t>
  </si>
  <si>
    <t>The BPMN model "Repair Service" describes a process where a customer interacts with a computer repair service. Here is a simplified textual description of the process:
1. The process starts when the customer brings in a defective computer. This is represented by the task "Bring in Defective Computer".
2. The computer repair service then prepares a repair cost calculation, represented by the task "Prepare Repair Cost Calculation".
3. The repair cost calculation is then sent to the customer, represented by the task "Receive Repair Cost Calculation".
4. The customer then decides whether the cost is acceptable or not. This decision is represented by the exclusive gateway "Acceptable?".
5. If the cost is not acceptable, the customer takes the computer home, represented by the task "Take Computer Home", and the process ends.
6. If the cost is acceptable, the process continues with the task "Continue Process".
7. Back at the computer repair service, once the cost calculation is accepted, the service can start repairing the computer. This is represented by the subprocess "Repair Computer", which includes checking and repairing hardware, checking and configuring software, and testing system functionality.
8. If there is an error during the system functionality test, the repair process is repeated.
9. Once the computer is repaired and tested successfully, the process ends.
This description simplifies the BPMN model and omits some details, such as message flows and events, to make it understandable for users without knowledge of BPMN notation.</t>
  </si>
  <si>
    <t>The process "Repair Service" involves two main participants: the "Customer" and the "Computer Repair Service". 
The process starts when the "Customer" brings in a defective computer. This action is represented by the task "Bring in Defective Computer". After this, the "Computer Repair Service" prepares a repair cost calculation, represented by the task "Prepare Repair Cost Calculation". 
Once the repair cost calculation is prepared, it is sent to the "Customer". This is represented by the message flow from "Prepare Repair Cost Calculation" to "Receive Repair Cost Calculation". 
Upon receiving the repair cost calculation, the "Customer" has to decide whether the cost is acceptable or not. This decision point is represented by the exclusive gateway "Acceptable?". If the cost is not acceptable, the "Customer" takes the computer home, represented by the task "Take Computer Home", and the process ends. 
If the cost is acceptable, the "Customer" decides to continue with the repair process. This is represented by the task "Continue Process". 
On the "Computer Repair Service" side, once the cost is accepted, the repair process begins. This involves checking and repairing the hardware, checking and configuring the software, and testing the system functionality. These tasks are represented by "Check and Repair Hardware", "Check and Configure Software", and "Test System Functionality" respectively. 
If an error occurs during the system functionality test, the repair process is repeated. This is represented by the boundary event attached to "Test System Functionality" and the sequence flow back to the repair process. 
Once the system functionality test is successful, the process ends.</t>
  </si>
  <si>
    <t>The process begins with the "Customer" participant initiating the "Repair Service" process by bringing in a defective computer. This is represented by the task "Bring in Defective Computer". 
Once the defective computer is received, the "Computer Repair Service" participant prepares a repair cost calculation, represented by the task "Prepare Repair Cost Calculation". This calculation is then sent back to the "Customer" participant, represented by the task "Receive Repair Cost Calculation". 
The "Customer" then has to decide whether the cost is acceptable or not, represented by the exclusive gateway "Acceptable?". If the cost is not acceptable, the "Customer" takes the computer home, represented by the task "Take Computer Home", and the process ends. 
If the cost is acceptable, the "Customer" decides to continue with the repair process, represented by the task "Continue Process". 
Meanwhile, the "Computer Repair Service" participant waits for the decision of the "Customer". If the "Customer" decides to continue with the repair, the "Computer Repair Service" starts the repair process, represented by the sub-process "Repair Computer". This sub-process includes checking and repairing the hardware, represented by the task "Check and Repair Hardware", and checking and configuring the software, represented by the task "Check and Configure Software". 
Once the repair is done, the "Computer Repair Service" tests the system functionality, represented by the task "Test System Functionality". If an error occurs during the testing, the process goes back to the "Repair Computer" sub-process. 
If the testing is successful, the process ends.</t>
  </si>
  <si>
    <t>The "Repair Service" process involves two main participants: the "Customer" and the "Computer Repair Service". 
The process begins when the "Customer" brings in a defective computer. This is represented by the task "Bring in Defective Computer". 
Once the defective computer is received, the "Computer Repair Service" prepares a repair cost calculation, represented by the task "Prepare Repair Cost Calculation". The cost calculation is then sent back to the "Customer" in the task "Receive Repair Cost Calculation". 
The "Customer" then has to decide whether the cost is acceptable or not. This decision is represented by the exclusive gateway "Acceptable?". If the cost is not acceptable, the "Customer" takes the computer home, represented by the task "Take Computer Home", and the process ends. 
If the cost is acceptable, the "Customer" decides to continue with the repair process, represented by the task "Continue Process". 
On the "Computer Repair Service" side, after the cost calculation is prepared, the process moves to an event-based gateway. Here, the process waits for either the "Customer" to take the computer home or to continue with the repair process. 
If the "Customer" decides to continue with the repair process, the "Computer Repair Service" starts the task "Repair Computer". This is a sub-process that involves checking and repairing the hardware, represented by the task "Check and Repair Hardware", and checking and configuring the software, represented by the task "Check and Configure Software". 
Once the repair is done, the "Computer Repair Service" tests the system functionality, represented by the task "Test System Functionality". If an error occurs during the testing, the process goes back to the "Repair Computer" sub-process. 
If the testing is successful, the process ends. 
Please note that the process flow is represented by arrows connecting the tasks and gateways. The direction of the arrow indicates the direction of the process flow.</t>
  </si>
  <si>
    <t>The process "Underwriter" begins with a start event. From the start event, the process flows into a parallel gateway, which splits the flow into two parallel tasks: "Check Facts Presented" and a sub-process.
In the "Check Facts Presented" task, the underwriter checks the facts presented. After this task, the process flows into an exclusive gateway named "All Right?". If everything is alright (Yes), the process ends. If not (No), an error event is triggered and the process also ends.
The sub-process starts with a start event and then flows into a parallel gateway, which splits the flow into two parallel tasks: "Prepare Registration Statement for Approval of SEC" and "Check Compliance with Laws". 
In the "Prepare Registration Statement for Approval of SEC" task, the underwriter prepares the registration statement for the approval of the SEC. After this task, a message is thrown and the process flows into a parallel gateway.
In the "Check Compliance with Laws" task, the underwriter checks compliance with laws. After this task, the process also flows into the same parallel gateway.
From this parallel gateway, the process flows into the "Talk to Potential Investors" task. After this task, a message is caught and the process flows into an exclusive gateway named "Approved?". If the answer is No, the sub-process ends. If the answer is Yes, the process flows into the "Fix Issue Price" task.
In the "Fix Issue Price" task, the underwriter fixes the issue price. After this task, the process flows into the "Buy Stock" task. In the "Buy Stock" task, the underwriter buys the stock. After this task, the process flows into the "Offer to Public" task. In the "Offer to Public" task, the underwriter offers the stock to the public. After this task, the sub-process ends.
If an error occurs during the sub-process, an error event is triggered and the process ends.</t>
  </si>
  <si>
    <t>The BPMN model "Underwriter" describes a process that begins with a start event. This process involves a participant named "Underwriter".
After the start event, the process splits into two parallel paths at a parallel gateway. One path leads to a task named "Check Facts Presented". After this task, the process reaches an exclusive gateway named "All Right?". Depending on the outcome of this check, the process either ends successfully or ends with an error.
The other path from the initial parallel gateway leads to a sub-process. This sub-process begins with a start event and then splits into two parallel paths at another parallel gateway. 
One path of the sub-process involves the tasks "Prepare Registration Statement for Approval of SEC", "Talk to Potential Investors", "Fix Issue Price", "Buy Stock", and "Offer to Public", in that order. This path also includes intermediate events for sending and receiving messages, and a boundary event for handling message events. The path ends with an end event.
The other path of the sub-process involves the task "Check Compliance with Laws". This path merges with the first path at a parallel gateway before the task "Talk to Potential Investors".
The sub-process also includes an exclusive gateway named "Approved?". Depending on the outcome of this check, the sub-process either ends successfully or leads to the task "Fix Issue Price".
The sub-process has a boundary event for handling error events. If an error occurs during the sub-process, the process ends with an error.
After the sub-process, the process ends successfully.
Please note that this is a high-level description. The actual process may involve more detailed steps and conditions.</t>
  </si>
  <si>
    <t>Recall:
#Element Types Coverage (TC): 
#E-#ME/#E</t>
  </si>
  <si>
    <t>Recall: #Elements Coverage (EC)
#E-#ME/#E</t>
  </si>
  <si>
    <t>Recall</t>
  </si>
  <si>
    <t>Precision</t>
  </si>
  <si>
    <t>F1</t>
  </si>
  <si>
    <t># correct elements</t>
  </si>
  <si>
    <t>#described elements</t>
  </si>
  <si>
    <t># correct element types</t>
  </si>
  <si>
    <t>#described element types</t>
  </si>
  <si>
    <t>Element Types:</t>
  </si>
  <si>
    <t>Elements:</t>
  </si>
  <si>
    <t>Control flow:</t>
  </si>
  <si>
    <t>Content Sentences:</t>
  </si>
  <si>
    <t>#described content sentences</t>
  </si>
  <si>
    <t>#correct content sentences</t>
  </si>
  <si>
    <t>#NODES+Sequence flows in model</t>
  </si>
  <si>
    <t>#correct nodes + sequence flows</t>
  </si>
  <si>
    <t>#described  nodes + sequence flows</t>
  </si>
  <si>
    <t>Share of explaining sentences per node</t>
  </si>
  <si>
    <t>Text Descriptive Statistics</t>
  </si>
  <si>
    <t>The process begins with the "Underwriter" participant. The process starts with a message event. 
From there, the process splits into two parallel paths at a parallel gateway. 
On the first path, a task named "Check Facts Presented" is performed. After this task, the process reaches an exclusive gateway named "All Right?". If the answer is "Yes", the process ends successfully. If the answer is "No", the process ends with an error event.
On the second path, a sub-process is performed. This sub-process starts with a start event and then splits into two parallel paths at a parallel gateway. 
On the first path of the sub-process, a task named "Prepare Registration Statement for Approval of SEC" is performed. After this task, a message is sent and the process reaches a parallel gateway.
On the second path of the sub-process, a task named "Check Compliance with Laws" is performed. After this task, the process also reaches the same parallel gateway.
From this parallel gateway, a task named "Talk to Potential Investors" is performed. After this task, a message is received and the process reaches an exclusive gateway named "Approved?". If the answer is "No", the sub-process ends. If the answer is "Yes", a series of tasks are performed: "Fix Issue Price", "Buy Stock", and "Offer to Public". After these tasks, the sub-process ends successfully.
If an error occurs during the sub-process, the process ends with an error event.
The process ends when both parallel paths have been completed.</t>
  </si>
  <si>
    <t>The process begins with a start event. This triggers two parallel paths due to a parallel gateway.
In the first path, a task named "Check Facts Presented" is performed. After this task, the process reaches an exclusive gateway named "All Right?". This gateway represents a decision point where the process can take one of two paths based on a condition. If the condition is met (Yes), the process ends with an end event. If the condition is not met (No), the process also ends but with a different end event that includes an error event definition.
In the second path, a sub-process is performed. This sub-process starts with a start event that leads to a parallel gateway, triggering two parallel paths within the sub-process.
In the first path of the sub-process, a task named "Prepare Registration Statement for Approval of SEC" is performed. This is followed by an intermediate throw event that sends a message. The process then reaches a parallel gateway that waits for both paths of the sub-process to complete.
In the second path of the sub-process, a task named "Check Compliance with Laws" is performed. This leads to the same parallel gateway mentioned above.
After the parallel gateway, a task named "Talk to Potential Investors" is performed. This is followed by an intermediate catch event named "Answer from SEC" that waits for a message. The process then reaches an exclusive gateway named "Approved?".
If the answer from SEC is not approved (No), the sub-process ends with an end event. If the answer is approved (Yes), three tasks are performed sequentially: "Fix Issue Price", "Buy Stock", and "Offer to Public". After these tasks, the sub-process ends with an end event.
The main process ends when the sub-process ends. However, if an error occurs during the sub-process, a boundary event is triggered that leads to a different end event.</t>
  </si>
  <si>
    <t>The process begins with the start event. From there, the process splits into two parallel paths at a parallel gateway.
In the first path, a task named "Check Facts Presented" is performed. After this task, the process reaches an exclusive gateway named "All Right?". If the outcome is "Yes", the process ends at an end event. If the outcome is "No", the process ends at a different end event, which is associated with an error event definition.
In the second path, a sub-process is performed. This sub-process starts with a start event and then splits into two parallel paths at a parallel gateway.
In the first path of the sub-process, a task named "Prepare Registration Statement for Approval of SEC" is performed. After this task, a message is sent out at an intermediate throw event. The process then continues to a parallel gateway.
In the second path of the sub-process, a task named "Check Compliance with Laws" is performed. The process then continues to the same parallel gateway as the first path.
From this parallel gateway, a task named "Talk to Potential Investors" is performed. After this task, a message is received at an intermediate catch event named "Answer from SEC". The process then continues to an exclusive gateway named "Approved?".
If the outcome at the "Approved?" gateway is "No", the sub-process ends at an end event. If the outcome is "Yes", two tasks named "Fix Issue Price" and "Buy Stock" are performed sequentially. After these tasks, a task named "Offer to Public" is performed. The sub-process then ends at an end event.
The main process ends when the sub-process ends. If an error occurs during the sub-process, an error event is triggered and the process ends at a different end event.</t>
  </si>
  <si>
    <t>The "Account Defaulter" process begins with a start event named "Weekday Morning". This event triggers two parallel flows. 
The first flow leads to an intermediate catch event named "4:00 pm". After this event, a task named "Alert Supervisor" is executed. Once this task is completed, the process ends.
The second flow from the start event leads to a sub-process. This sub-process begins with a start event that triggers two parallel flows. The first flow leads to an intermediate catch event, followed by a task named "Alert Supervisor", and then ends. 
The second flow within the sub-process leads to a task named "Backup Database". After this task, an exclusive gateway named "New Records on Account Defaulter" is encountered. Depending on the condition of this gateway, the flow either ends or leads to a task named "Register Defaulting Customers &amp; Accounts". 
This task is followed by another sub-process named "Previous Defaulting Clients?". This sub-process contains multiple tasks, gateways, and end events, which are executed based on certain conditions. Once this sub-process is completed, the flow ends.
Back in the main process, after the sub-process, a task named "Check CRM System" is executed. This is followed by another task named "Reconcile With Account Defaulters Table". Once this task is completed, the process ends.</t>
  </si>
  <si>
    <t>The BPMN model "Account Defaulter" describes a process that starts every weekday morning. The process has two main paths:
1. The first path begins with a timer event that triggers at 4:00 pm. After this event, a task is performed to alert the supervisor. Once the supervisor has been alerted, this path of the process ends.
2. The second path is a sub-process that starts immediately. This sub-process has several steps:
   - It begins with two parallel tasks: one is another timer event, and the other is a task to backup the database.
   - After the database backup, there is a decision point (exclusive gateway) to check if there are new records on the Account Defaulter. If there are no new records, the sub-process ends. If there are new records, a task is performed to register defaulting customers and accounts.
   - After registering defaulting customers and accounts, there is a multi-instance sub-process to check if there are previous defaulting clients. This sub-process deals with each instance first and checks if the client is a previous defaulter. If yes, the client is added to the Previous Defaulting Client Table. If no, the process ends for that instance. If there is a new Previous Defaulter Table, the information is sent to Account Management.
   - After dealing with all instances of previous defaulting clients, the sub-process ends.
After the sub-process, there are two tasks performed sequentially: checking the CRM system and reconciling with the Account Defaulters Table. After these tasks, the process ends.
Please note that this is a simplified explanation of the process. The actual process may have more complex rules and conditions.</t>
  </si>
  <si>
    <t>The process begins with a start event named "Weekday Morning". This event triggers two parallel flows. 
The first flow leads to an intermediate catch event named "4:00 pm". After this event, a task named "Alert Supervisor" is performed. Once this task is completed, the process ends with an end event.
The second flow from the start event leads to a sub-process. Inside this sub-process, there is another start event which triggers two parallel flows. 
The first flow inside the sub-process leads to an intermediate catch event, followed by a task named "Alert Supervisor". After this task, the process ends with an end event inside the sub-process.
The second flow inside the sub-process leads to a task named "Backup Database". After this task, the flow reaches an exclusive gateway named "New Records on Account Defaulter". Depending on the condition of this gateway, the flow can take two paths. 
If the condition is "No", the process ends with an end event inside the sub-process. If the condition is "Yes", the flow leads to a task named "Register Defaulting Customers &amp; Accounts". After this task, the flow enters a sub-process named "Previous Defaulting Clients?". 
Inside this sub-process, there are several tasks, gateways, and events, which are used to deal with each instance of previous defaulting clients. Depending on the conditions of the gateways inside this sub-process, the flow can take different paths, leading to different tasks and end events. 
After the sub-process "Previous Defaulting Clients?", the flow ends with an end event inside the main sub-process. 
After the main sub-process, the flow leads to a task named "Check CRM System", followed by another task named "Reconcile With Account Defaulters Table". After these tasks, the process ends with an end event.</t>
  </si>
  <si>
    <t>The process begins with the start event "Weekday Morning". From here, the process diverges into two paths. 
The first path leads to an intermediate catch event "4:00 pm". Once this event is triggered, the task "Alert Supervisor" is executed. After the task is completed, the process ends at the end event.
The second path leads to a sub-process. Within this sub-process, the process starts again and diverges into two paths. 
The first path within the sub-process leads to another intermediate catch event and then to the task "Alert Supervisor". After the task is completed, the process ends at the end event within the sub-process.
The second path within the sub-process leads to the task "Backup Database". After the task is completed, the process reaches an exclusive gateway "New Records on Account Defaulter". If the answer is "No", the process ends at the end event within the sub-process. If the answer is "Yes", the process continues to the task "Register Defaulting Customers &amp; Accounts" and then to another sub-process "Previous Defaulting Clients?". 
Within this second sub-process, the process starts again and leads to another sub-process "Deal with Each Instance First". Within this sub-process, the process starts again and leads to an exclusive gateway "Previous Defaulter?". If the answer is "Yes", the process continues to the task "Add to Previous Defaulting Client Table" and then ends at the end event within the sub-process. If the answer is "No", the process ends at the end event within the sub-process. 
After the second sub-process within the first sub-process, the process reaches an exclusive gateway "New Previous Defaulter Table?". If the answer is "Yes", the process continues to the task "Send To Account Management" and then ends at the end event within the sub-process. If the answer is "No", the process ends at the end event within the sub-process.
After the first sub-process, the process continues to the task "Check CRM System", then to the task "Reconcile With Account Defaulters Table", and finally ends at the end event.</t>
  </si>
  <si>
    <t>The "Account Defaulter" process begins with a start event named "Weekday Morning". This event triggers two parallel flows.
The first flow leads to an intermediate catch event named "4:00 pm". After this event, a task named "Alert Supervisor" is performed. Once this task is completed, the process ends.
The second flow from the start event leads to a sub-process. Inside this sub-process, there is another start event which triggers two parallel flows. 
The first flow inside the sub-process leads to an intermediate catch event, followed by a task named "Alert Supervisor". Once this task is completed, the sub-process ends.
The second flow inside the sub-process leads to a task named "Backup Database". After this task, an exclusive gateway named "New Records on Account Defaulter" is encountered. Depending on the condition of this gateway, the flow can take two paths.
If the condition is "No", the sub-process ends. If the condition is "Yes", a task named "Register Defaulting Customers &amp; Accounts" is performed. This task leads to another sub-process named "Previous Defaulting Clients?". 
Inside this sub-process, there are multiple instances of another sub-process named "Previous Defaulting Clients?". Each instance deals with a specific client. If the client is a previous defaulter, they are added to the "Previous Defaulting Client Table" and the instance ends. If not, the instance ends without any action.
After all instances are dealt with, an exclusive gateway named "New Previous Defaulter Table?" is encountered. If the condition is "Yes", a task named "Send To Account Management" is performed and the sub-process ends. If the condition is "No", the sub-process ends without any action.
After the "Previous Defaulting Clients?" sub-process, the main sub-process ends. The flow then leads to a task named "Check CRM System", followed by a task named "Reconcile With Account Defaulters Table". Once these tasks are completed, the process ends.</t>
  </si>
  <si>
    <t>The process "Hotel Room-Service" begins with the event "Start". The first task is "Take down Order" which is performed by the Room-Service Manager. After the order is taken, the process splits into three parallel paths.
The first path involves the task "Submit Order Ticket to Kitchen" which is performed by the Room-Service Manager. This task is followed by the task "Prepare Meal" which is performed by the Kitchen.
The second path involves the task "Assign Order to Waiter" which is also performed by the Room-Service Manager. After the order is assigned, the Waiter performs the tasks "Ready Cart" and "Prepare Non-Alcoholic Drinks" if non-alcoholic drinks are ordered.
The third path involves a decision point "Alcohol Beverages Ordered?". If alcohol beverages are ordered, the Room-Service Manager performs the task "Give Order to Sommelier". The Sommelier then performs the tasks "Prepare Alcoholic Beverages" and "Fetch Wine from Cellar" if wine is ordered.
After the tasks in all three paths are completed, the Waiter performs the task "Deliver to Guest's Room". After the delivery, the Waiter returns to the Room-Service Station and the task "Debit Guest's Account" is performed. The process ends with the event "End".
If there is an error during the task "Debit Guest's Account", a message event is triggered and the process ends immediately.</t>
  </si>
  <si>
    <t>The "Hotel Room-Service" process begins when a guest places an order (Start Event). The Room-Service Manager takes down the order (Task: Take down Order). The order is then simultaneously submitted to the kitchen (Task: Submit Order Ticket to Kitchen), assigned to a waiter (Task: Assign Order to Waiter), and checked if it contains any alcoholic beverages (Gateway: Alcohol Beverages Ordered?).
If the order contains alcoholic beverages, it is given to the Sommelier (Task: Give Order to Sommelier). The Sommelier then prepares the alcoholic beverages (Task: Prepare Alcoholic Beverages) and fetches wine from the cellar if needed (Task: Fetch Wine from Cellar). If the order does not contain alcoholic beverages, it bypasses the Sommelier and goes directly to the next step.
Meanwhile, in the kitchen, the meal is prepared (Task: Prepare Meal). The waiter also gets ready by preparing the cart (Task: Ready Cart) and checking if there are any non-alcoholic drinks in the order (Gateway: Non-Alcoholic Drinks Ordered?). If there are, the waiter prepares the non-alcoholic drinks (Task: Prepare Non-Alcoholic Drinks).
Once the meal is prepared, the alcoholic and non-alcoholic drinks are ready, and the waiter's cart is prepared, the waiter delivers the order to the guest's room (Task: Deliver to Guest's Room). After delivery, the waiter returns to the Room-Service Station (Task: Return to Room-Service Station) and the guest's account is debited (Task: Debit Guest's Account). The process ends when the guest's account is successfully debited (End Event). If there is an issue debiting the guest's account, a message is sent (Boundary Event) and the process ends.</t>
  </si>
  <si>
    <t>The process begins when a hotel guest places a room-service order. This triggers the "Take down Order" task, where the Room-Service Manager records the order details. 
The process then splits into three parallel paths at the "Parallel Gateway". 
1. In the first path, the Room-Service Manager submits the order ticket to the Kitchen, where the meal is prepared. 
2. In the second path, the Room-Service Manager assigns the order to a Waiter. The Waiter then gets ready the cart for delivery. 
3. In the third path, the Room-Service Manager checks if any alcoholic beverages were ordered. If yes, the order is given to the Sommelier. The Sommelier then prepares the alcoholic beverages and/or fetches wine from the cellar, depending on the order. 
Meanwhile, the Waiter checks if any non-alcoholic drinks were ordered. If yes, the Waiter prepares the non-alcoholic drinks. 
Once the meal is prepared, the cart is ready, the non-alcoholic drinks are prepared, and the alcoholic beverages (if any) are ready, the Waiter delivers the order to the guest's room. 
After delivery, the Waiter returns to the Room-Service Station and debits the guest's account. If there is an issue with debiting the account, a message event is triggered. 
The process ends when the account is successfully debited or when the message event is triggered.</t>
  </si>
  <si>
    <t>The process begins with the "Hotel" participant, specifically the "Room-Service Manager", receiving a room service order (Start Event). The manager then takes down the order (Task: Take down Order). 
Once the order is taken, it is simultaneously submitted to the kitchen (Task: Submit Order Ticket to Kitchen), assigned to a waiter (Task: Assign Order to Waiter), and checked if it contains any alcoholic beverages (Gateway: Alcohol Beverages Ordered?). 
If the order contains alcoholic beverages, it is given to the sommelier (Task: Give Order to Sommelier). The sommelier then prepares the alcoholic beverages (Task: Prepare Alcoholic Beverages) and/or fetches wine from the cellar if needed (Task: Fetch Wine from Cellar). 
Meanwhile, the kitchen prepares the meal (Task: Prepare Meal) and the waiter readies the cart (Task: Ready Cart). If the order contains non-alcoholic drinks, the waiter also prepares them (Task: Prepare Non-Alcoholic Drinks). 
Once all tasks are completed, the waiter delivers the order to the guest's room (Task: Deliver to Guest's Room). After delivery, the waiter returns to the room-service station (Task: Return to Room-Service Station) and the guest's account is debited (Task: Debit Guest's Account). 
The process ends when the guest's account is successfully debited (End Event). However, if there is an issue with debiting the guest's account, a message event is triggered (Boundary Event) which also leads to the end of the process.</t>
  </si>
  <si>
    <t>The "Hotel Room-Service" process begins when a start event is triggered, which is represented by the "Event_1ikphz9" in the XML. This event is associated with a message event definition, indicating that the process starts when a message (such as a room service order) is received.
The first task in the process is "Take down Order" (Activity_1nknpd2), where the order details are recorded. This task is followed by a parallel gateway (Gateway_1obwhco), which splits the flow into three parallel paths.
The first path leads to the task "Submit Order Ticket to Kitchen" (Activity_0bgxz6p), where the order details are passed to the kitchen. The kitchen then prepares the meal (Activity_0y3mbfj).
The second path leads to the task "Assign Order to Waiter" (Activity_0snx5ap), where a waiter is assigned to handle the order.
The third path leads to an exclusive gateway (Gateway_03ff4wr) that checks if any alcoholic beverages have been ordered. If yes, the order is given to the sommelier (Activity_0itbsmn), who prepares the alcoholic beverages (Activity_0jfg26r) and fetches wine from the cellar if needed (Activity_1pd2uhq). If no alcoholic beverages have been ordered, the flow bypasses the sommelier tasks.
Meanwhile, the waiter readies the cart (Activity_15zk5u6) and prepares any non-alcoholic drinks if they have been ordered (Activity_0s5j5zj).
Once all tasks are completed, the flow converges at a parallel gateway (Gateway_0evfzaz), and the waiter delivers the order to the guest's room (Activity_16z1w3b). The waiter then returns to the room-service station (Activity_1ja67db) and the guest's account is debited (Activity_0oqcxvk).
The process ends with an end event (Event_0yjkvim). There is also a boundary event (Event_0oue6dd) attached to the "Debit Guest's Account" task, which is triggered if a message event occurs during this task. This could represent a situation where the debit operation fails and a message is sent to handle this exception. The process then ends immediately after this event.</t>
  </si>
  <si>
    <t>The BPMN model "Deregistration metering point operations" describes a process involving four participants: MPOO, GO, MSP, and SP. 
The process begins with the MPOO initiating a deregistration task. Once the deregistration task is completed, a message is sent to the GO. The GO then verifies the deregistration. Depending on the outcome of the verification, the GO either rejects the deregistration or preliminarily confirms it. 
If the deregistration is rejected, the process ends. If it is preliminarily confirmed, the GO either obliges the MPOO to continue operations or prepares for the readmission of the measuring point. 
If the MPOO is obliged to continue operations, a message is sent back to the MPOO. If the readmission of the measuring point is prepared, the process moves to an inclusive gateway where equipment acquisition and equipment changes are considered. 
Once these tasks are completed, the GO is assigned as the new MPOO. Information about the new assignment is then sent to the MSP and SP, marking the end of the process.</t>
  </si>
  <si>
    <t>The BPMN model "Deregistration metering point operations" describes a process involving four participants: MPOO, GO, MSP, and SP. 
The process starts with the MPOO initiating a deregistration task. Once the deregistration task is completed, a message is sent to the GO. The GO then starts its process with a verification task. 
Based on the outcome of the verification, the process can take two paths. If the verification fails, the deregistration is rejected and the process ends. If the verification is successful, a preliminary confirmation of the deregistration is sent. 
The process then moves to an exclusive gateway where it can take two paths. One path obliges the MPOO to continue operations, and a message is sent back to the MPOO. The other path involves the preparation of the readmission of the measuring point. 
The process then moves to another gateway where it can take two paths. One path involves equipment acquisition, and the other involves equipment changes. Both paths converge at a task where the GO is assigned as the new MPOO. 
Information about the new assignment is then sent to the MSP and SP, and the process ends. 
Please note that this is a simplified explanation of the process. The actual process may involve more complex interactions and decision points.</t>
  </si>
  <si>
    <t>The process "Deregistration metering point operations" involves four participants: MPOO, GO, MSP, and SP. 
The process starts with the MPOO initiating a "Deregistration" task. Once this task is completed, a message is sent to the GO. 
Upon receiving the message, the GO starts a "Verification" task. After verification, the process reaches a decision point. If the deregistration is rejected, the "Rejection of the deregistration" task is performed and the process ends. 
If the deregistration is preliminarily confirmed, the "preliminary confirmation of the deregistration" task is performed. This leads to another decision point. If the MPOO is obliged to continue operations, the "Oblige the MPOO to continue operations" task is performed. 
If the readmission of the measuring point is prepared, the "Preperation of the readmission of the measuring point" task is performed. This leads to another decision point. 
Depending on the decision, either the "Equipment acquisition" task or the "Equipment changes" task is performed. After either of these tasks, the "Assign the GO as MPO" task is performed. 
Once the GO is assigned as MPO, three information tasks are performed sequentially: "Information about the new assignment" is sent to GO, MSP, and SP respectively. After these tasks, the process ends. 
Please note that the actual decision-making criteria at the decision points (exclusive gateways) are not specified in the given BPMN model.</t>
  </si>
  <si>
    <t>The BPMN model "Deregistration metering point operations" describes a process involving four participants: MPOO, GO, MSP, and SP. 
The process begins with the MPOO initiating a "Deregistration" task. Once this task is completed, a message is sent to the GO. The GO then starts its process with a "Verification" task. Depending on the outcome of the verification, the process can take two paths. 
If the verification fails, the GO performs a "Rejection of the deregistration" task and the process ends. If the verification is successful, the GO performs a "preliminary confirmation of the deregistration" task. 
After this, the process can take two paths again. One path involves the GO obliging the MPOO to continue operations. If the MPOO agrees to continue operations, the process ends. 
The other path involves the GO preparing for the readmission of the measuring point. This path can further branch into two paths: one involves equipment acquisition and the other involves equipment changes. Regardless of the path taken, the GO then assigns itself as the MPOO and informs the MSP and SP about the new assignment. 
Once all tasks are completed, the process ends. 
Please note that this is a simplified explanation of the process. The actual process may involve more complex decision-making and interactions between the participants.</t>
  </si>
  <si>
    <t>The process "Financial Accounting of Invoices" begins with the start event "Event_040k6k2". This triggers the task "conduct visual inspection" (Activity_1kks1r0) which is followed by the task "identify charging supplier" (Activity_14fix9e). 
The process then moves to the task "create instance" (Activity_1ema7ys), followed by "Check invoice items" (Activity_1exx5kb) and "create docket" (Activity_1c2hhza). 
The process then diverges at the exclusive gateway "Gateway_1nphlyv" where it either moves to the task "deliver copy of the invoice &amp; docket" (Activity_0w61sqp) or loops back to the gateway. 
If the process moves to "deliver copy of the invoice &amp; docket", it then moves to the exclusive gateway "Gateway_0yori94" where it either moves to the task "conduct check" (Activity_1fyebth) or loops back to the gateway. 
If the process moves to "conduct check", it then moves to the task "AP" (Activity_1q4fa1t) and then to the exclusive gateway "Gateway_0xhn60h". 
At this gateway, the process either moves to the task "forward copy of the invoice" (Activity_1p7xwc0) or loops back to the gateway "Gateway_1nphlyv". 
If the process moves to "forward copy of the invoice", it then moves to the exclusive gateway "Gateway_1egquwb" where it either moves to the task "commercial audit" (Activity_0g0u4z1) or loops back to the gateway. 
If the process moves to "commercial audit", it then moves to the exclusive gateway "Gateway_16s6ogq" where it either moves to the task "conduct check" (Activity_04jh7sx) or moves to the exclusive gateway "Gateway_1gg7odk". 
At "Gateway_1gg7odk", the process either moves to the task "issure the approval for payment" (Activity_1q61qdg) or loops back to the gateway "Gateway_1egquwb". 
If the process moves to "issure the approval for payment", it then moves to the task "give payment instructions" (Activity_16b7rz6) and then to the task "close instance" (Activity_1q0wpd0). 
Finally, the process ends with the end event "Event_15e97af".</t>
  </si>
  <si>
    <t>The BPMN model "Financial Accounting of Invoices" describes a process that involves multiple participants: ACME, Supplier, and ACME Financial Accounting. 
The process starts when the Supplier sends an invoice to ACME. The Secretariat at ACME conducts a visual inspection of the invoice. Then, the Accounting department identifies the charging supplier and creates an instance. They check the invoice items and create a docket. 
A copy of the invoice and docket is delivered to the Cost Center Manager. They conduct a check and if all items are marked as correct, the invoice is forwarded to the Commercial Manager. If there are inconsistencies, they are clarified and the process repeats. 
The Commercial Manager conducts a commercial audit. If the invoice is greater than 20,000 EUR, it is checked by the Board. Once approved, payment instructions are given and the instance is closed. 
If there are any errors during the check by the Cost Center Manager or the commercial audit by the Commercial Manager, the inconsistencies are clarified and the process repeats. 
This process ensures that all invoices are thoroughly checked and approved before payment is made.</t>
  </si>
  <si>
    <t>The process "Financial Accounting of Invoices" involves several participants: ACME, Supplier, and ACME Financial Accounting. 
The process starts when the Supplier sends an invoice to ACME. The Secretariat at ACME conducts a visual inspection of the invoice. After the inspection, the invoice is forwarded to ACME's Accounting department to identify the charging supplier. 
Once the supplier is identified, an instance is created and the invoice items are checked. If the items are correct, a docket is created and a copy of the invoice and docket is delivered to the Cost Center Manager. 
The Cost Center Manager conducts a check and if all items are marked as correct, a copy of the invoice is forwarded to the commercial manager for a commercial audit. If the invoice amount is greater than 20,000 EUR, the Board conducts a check. 
Once the checks are completed and the invoice is approved for payment, payment instructions are given. The instance is then closed and the process ends.
If at any point there are inconsistencies or errors, the process enters a subprocess to clarify these inconsistencies. This could involve communication with the Supplier or internal discussions. Once the inconsistencies are clarified, the process resumes at the point where it was interrupted.
This process ensures that all invoices are thoroughly checked and approved before payment is made, reducing the risk of errors or fraudulent transactions.</t>
  </si>
  <si>
    <t>The process "Financial Accounting of Invoices" begins when the ACME company receives an invoice from a supplier. This triggers the start event in the process. The invoice is then visually inspected by the Secretariat. 
Once the visual inspection is completed, the Secretariat identifies the charging supplier. The Accounting department then creates an instance and checks the invoice items. If the items are correct, a docket is created and sent to the Internal Mail department. 
The Internal Mail department delivers a copy of the invoice and docket to the Cost Center Manager. The Cost Center Manager conducts a check. If there are any errors, a rejection note is created and inconsistencies are clarified with the supplier. If all items are marked as correct, the invoice is forwarded to the Commercial Manager. 
The Commercial Manager conducts a commercial audit. If the invoice amount is greater than 20,000 EUR, the invoice is checked by the Board. Once the check is completed, the Commercial Manager issues the approval for payment. 
The Accounting department then gives payment instructions and closes the instance. This marks the end of the process. 
Throughout the process, there are several message flows between ACME, the supplier, and ACME's Financial Accounting department. These message flows represent the exchange of information between these participants. 
Please note that this is a simplified description of the process. The actual process may involve more detailed steps and decision points.</t>
  </si>
  <si>
    <t>The process "Financial Accounting of Invoices" involves multiple participants: ACME, Supplier, and ACME Financial Accounting. 
The process starts when the Supplier sends an invoice to ACME. The Secretariat at ACME conducts a visual inspection of the invoice. After the inspection, the invoice is sent to the Accounting department where the charging supplier is identified. 
The Accounting department then creates an instance and checks the invoice items. If the items are correct, a docket is created and sent to the Internal Mail department. The Internal Mail department delivers a copy of the invoice and docket to the Cost Center Manager. 
The Cost Center Manager conducts a check. If there are any errors, a rejection note is sent back to the Accounting department to clarify inconsistencies. If there are no errors, the invoice is marked as correct and forwarded to the Commercial Manager. 
The Commercial Manager conducts a commercial audit. If the invoice amount is greater than 20,000 EUR, the invoice is sent to the Board for a check. If the invoice amount is less than 20,000 EUR, or after the Board's check, the Commercial Manager issues the approval for payment. 
The Accounting department then gives payment instructions and closes the instance. The process ends when the instance is closed. 
Throughout the process, there are several points where inconsistencies are clarified with the Supplier. If there are any errors or inconsistencies, the process loops back to the relevant department for clarification.</t>
  </si>
  <si>
    <t>The process "Sales Funnel" starts with the "Determine customer details" subprocess in the "Marketing" lane. This subprocess includes three potential paths: "buy data", "visit exhibition", and "other sources". Each path has a probability of being chosen (30%, 25%, and 45% respectively). After the subprocess, the process moves to the "Call-Center Employee" lane.
In the "Call-Center Employee" lane, the process starts with the task "determine contact person". If the contact person is not found (30% chance), the process ends. If the contact person is found (70% chance), the process moves to the task "Determine available project budget". 
After determining the budget, there are three potential paths: "not interested (small budget)" with a 20% chance, "is interested" with a 60% chance, and "not interested (high budget)" with a 20% chance. If the customer is not interested and has a small budget, the process moves to the task "Remember customer for follow-up" and then ends. If the customer is not interested but has a high budget, the process moves to the "Head of Development" lane.
In the "Head of Development" lane, the process starts with the task "contact customer". If the customer is still not interested, the process ends. If the customer is interested, the process moves back to the "Call-Center Employee" lane.
If the customer is interested, the process moves to the "Pre-Sales Employee" lane for a "technical presentation" or to the "Sales Representative" lane for a "sales presentation". After the presentation, there are two potential paths: "customer comes back" with a 70% chance and "After 2 weeks" with a 30% chance. If the customer comes back, the process moves to the task "create quotation". If the customer does not come back after 2 weeks, the process moves to the task "follow-up".</t>
  </si>
  <si>
    <t>The "Sales Funnel" process begins with the "Determine customer details" subprocess in the "Marketing" lane. This subprocess involves determining customer details through various methods such as buying data, visiting exhibitions, or other sources. Once the customer details are determined, the process moves to the "Call-Center Employee" lane.
In the "Call-Center Employee" lane, the first task is to "determine contact person". If the contact person is not found, the process ends. If the contact person is found, the next task is to "Determine available project budget". Depending on the budget, there are three possible paths:
1. If the customer is not interested and has a small budget, the customer is remembered for follow-up and the process ends.
2. If the customer is not interested but has a high budget, the "Head of Development" contacts the customer. If the customer is still not interested, the process ends. If the customer shows interest, the process moves to the next step.
3. If the customer is interested, the process moves to the next step.
The next step involves either a "technical presentation" by a "Pre-Sales Employee" or a "sales presentation" by a "Sales Representative". After the presentation, there are two possible outcomes:
1. If the customer comes back (70% chance), a quotation is created.
2. If the customer doesn't come back within 2 weeks (30% chance), a follow-up is initiated.
This is a high-level description of the "Sales Funnel" process. Each task in the process is represented by a specific activity in the BPMN model, and the flow of the process is represented by the sequence of these activities.</t>
  </si>
  <si>
    <t>The process begins with the "Start Event" and moves into the "Determine customer details" sub-process, which is handled by the Marketing department. This sub-process involves determining customer details through three possible methods: buying data, visiting exhibitions, or using other sources. Each method has a probability of success, with buying data having a 30% chance, visiting exhibitions having a 25% chance, and using other sources having a 45% chance. Once the customer details are determined, the process moves to the "determine contact person" task.
The "determine contact person" task is a manual task performed by the Call-Center Employee. If the contact person is not found, which happens 30% of the time, the process ends. If the contact person is found, which happens 70% of the time, the process moves to the "Determine available project budget" task.
The "Determine available project budget" task is also a manual task performed by the Call-Center Employee. After this task, the process diverges based on the budget of the project. If the budget is small and the customer is not interested, the process moves to the "Remember customer for follow-up" task and then ends. If the customer is interested, the process moves to the "contact customer" task. If the budget is high and the customer is not interested, the process also moves to the "contact customer" task.
The "contact customer" task is a manual task performed by the Head of Development. After this task, if the customer is still not interested, the process ends. If the customer is interested, the process moves to the "technical presentation" or "sales presentation" tasks.
The "technical presentation" task is a user task performed by the Pre-Sales Employee, and the "sales presentation" task is a user task performed by the Sales Representative. After these tasks, the process moves to an event-based gateway. If the customer comes back, which happens 70% of the time, the process moves to the "create quotation" task. If the customer does not come back within 2 weeks, which happens 30% of the time, the process moves to the "follow-up" task. Both these tasks are intermediate throw events, indicating that they send a message to another process or participant.
This is a high-level description of the process. The actual process may have more details and complexities depending on the specific business rules and conditions.</t>
  </si>
  <si>
    <t>The process begins with the "Start Event" and moves into the "Determine customer details" sub-process, which is handled by the "Marketing" department. This sub-process involves determining the customer details through three possible methods: buying data, visiting an exhibition, or using other sources. Each method has a probability of 30%, 25%, and 45% respectively. Once the customer details are determined, the process moves to the "determine contact person" task.
The "determine contact person" task is performed by the "Call-Center Employee". If the contact person is not found, which happens 30% of the time, the process ends. If the contact person is found (70% probability), the process moves to the "Determine available project budget" task.
After determining the project budget, the process diverges based on the budget size. If the budget is small and the customer is not interested (20% probability), the customer is remembered for follow-up and the process ends. If the customer is interested (60% probability), the process moves to the "contact customer" task. If the budget is high and the customer is not interested (20% probability), the process also moves to the "contact customer" task.
The "contact customer" task is performed by the "Head of Development". If the customer is still not interested, the process ends. If the customer shows interest, the process moves to the "technical presentation" or "sales presentation" tasks.
The "technical presentation" task is performed by the "Pre-Sales Employee" and the "sales presentation" task is performed by the "Sales Representative". After either presentation, the process moves to an event-based gateway.
If the customer comes back (70% probability), a quotation is created. If the customer does not come back within 2 weeks (30% probability), a follow-up is initiated. Both the "create quotation" and "follow-up" tasks are performed by the "Sales Representative". The process ends after either of these tasks.</t>
  </si>
  <si>
    <t>The "Sales Funnel" process begins with the "Determine customer details" subprocess, which is handled by the Marketing department. This subprocess involves determining customer details through three possible methods: buying data, visiting exhibitions, or using other sources. The likelihood of each method being used is 30%, 25%, and 45% respectively. Once customer details are determined, the process moves to the next step.
The next step is handled by the Call-Center Employee, who determines the contact person. If the contact person is not found, which happens 30% of the time, the process ends. If the contact person is found, the Call-Center Employee then determines the available project budget.
If the customer is not interested and has a small budget, the customer is remembered for follow-up and the process ends. If the customer is not interested but has a high budget, the Head of Development contacts the customer. If the customer is still not interested after being contacted, the process ends. If the customer is interested, the process moves to the next step.
If the customer is interested and has a small or high budget, the process moves to the next step where a decision is made whether to request a technical presentation or a sales presentation. The likelihood of each presentation being requested is 30% and 70% respectively.
If a technical presentation is requested, it is handled by the Pre-Sales Employee. If a sales presentation is requested, it is handled by the Sales Representative. After either presentation, the process moves to the next step.
The next step involves waiting for the customer to come back or waiting for 2 weeks. The likelihood of each event happening is 70% and 30% respectively. If the customer comes back, a quotation is created. If 2 weeks pass, a follow-up is done. Both the quotation creation and follow-up are handled by the Sales Representative.</t>
  </si>
  <si>
    <t>The "Intake workflow" process begins with the "Notice by Phone" event. This triggers the "Answer notice" task, which is followed by the "Determine nursing office" task. The result of this task is then recorded by the "Record notice" task, which is performed by the Nursing Officer. The notice is then stored and printed by the "Store and print notice" task.
At this point, the process diverges based on whether the patient is known or not. If the patient is unknown, a new patient file is created by the "Create patient file" task. If the patient is known, the process moves directly to the "Close case" task. 
After the case is closed, the process waits until Wednesday morning, at which point the "Assign intakers" task is performed. The assignment is then stored by the "Store assignment" task. 
The process then diverges again based on whether a medical file is required or not. If a medical file is required, the "Ask for medical file" task is performed, followed by the "Update Patient file" task. If a medical file is not required, the process moves directly to the "Hand out cards" task.
The process then moves to planning meetings with the first and second intakers. After these meetings, the patient file is completed with the first and second info. 
The process then waits until the next Wednesday morning, at which point the "Determine treatment" task is performed. The process ends with the "Intake complete" event.</t>
  </si>
  <si>
    <t>The "Intake Workflow" process begins when the "Mental health care institute" receives a "Notice by Phone" from a "Family Doctor". This triggers the "Answer notice" task, which is followed by the "Determine nursing office" task. 
Once the nursing office is determined, the "Record notice" task is performed by the "Nursing Officer". The notice is then stored and printed in the "Store and print notice" task. 
At this point, a decision is made. If the patient is unknown, a new patient file is created in the "Create patient file" task. If the patient is known, the process moves directly to the "Close case" task. 
After the case is closed, the process waits until "Wednesday morning" to assign intakers in the "Assign intakers" task. The assignment is then stored in the "Store assignment" task. 
The process then splits into two parallel paths. One path checks if a medical file is required. If it is, the "Ask for medical file" task is performed, followed by the "Update Patient file" task. 
The other path involves handing out cards in the "Hand out cards" task. After the cards are handed out, two meetings are planned in parallel: one with the first intaker in the "Plan meeting first intaker" task, and one with the second intaker in the "Plan meeting second intaker" task. 
The first intaker then has a meeting in the "Meeting with first intaker" task, and completes the file with the first set of information in the "Complete file with 1st info" task. 
Similarly, the second intaker has a meeting in the "Meeting with second intaker" task, types out the conversation in the "Type out conversation" task, and completes the file with the second set of information in the "Complete file with 2nd info" task. 
Once both sets of information are complete, the process waits until the next "Wednesday morning" to determine the treatment in the "Determine treatment" task. The process ends when the intake is complete.</t>
  </si>
  <si>
    <t>The process begins with a "Notice by Phone" (Start Event) from a Family Doctor to the Mental Health Care Institute. This triggers the "Answer notice" task at the Secretarial Office. Once the notice is answered, the task "Determine nursing office" is performed. 
The task is then passed to the Nursing Officer who performs the "Record notice" task. After recording the notice, the Secretarial Office "Stores and prints notice". 
At this point, a decision is made (Exclusive Gateway) based on whether the patient is known or not. If the patient is unknown, a "Patient file" is created. If the patient is known or after the patient file is created, the case is closed ("Close case" task). 
The process then waits until "Wednesday morning" (Intermediate Catch Event) to "Assign intakers" by the team-leader. The assignment is then stored ("Store assignment" task) and the process splits into two parallel paths (Parallel Gateway). 
One path checks if a "Medical file" is required. If it is, the Secretarial Office asks for it ("Ask for medical file" task) and updates the patient file ("Update Patient file" task). 
The other path involves handing out cards ("Hand out cards" task) and planning meetings with the first and second intakers. These meetings are held ("Meeting with first intaker" and "Meeting with second intaker" tasks), and the information from these meetings is added to the patient file ("Complete file with 1st info" and "Complete file with 2nd info" tasks). 
The process then waits again until "Wednesday morning 2" (Intermediate Catch Event) to "Determine treatment" by the team-leader. Once the treatment is determined, the intake process is complete (End Event).</t>
  </si>
  <si>
    <t>The process begins with the "Notice by Phone" event at the Mental Health Care Institute. The secretarial office answers the notice and determines the nursing office. The nursing officer then records the notice. The secretarial office stores and prints the notice. 
If the patient is unknown, a patient file is created. Otherwise, the process moves forward to close the case. After the case is closed, the process waits until Wednesday morning. 
On Wednesday morning, the team leader assigns intakers. The secretarial office stores the assignment and then two parallel processes start. 
In the first parallel process, if a medical file is required, the secretarial office asks for the medical file and updates the patient file. 
In the second parallel process, the secretarial office hands out cards. The first intaker plans a meeting and then meets with the patient. The first intaker then completes the file with the first set of information. 
Meanwhile, the second intaker plans a meeting. After the meeting with the second intaker, the secretarial office types out the conversation and completes the file with the second set of information. 
The process waits again until the next Wednesday morning. On Wednesday morning, the team leader determines the treatment and the intake process is complete. 
Throughout the process, there are interactions with the Family Doctor. The Family Doctor is asked for the medical file and updates the patient file. The updated patient file is then sent back to the Mental Health Care Institute.</t>
  </si>
  <si>
    <t>The "Intake workflow" process begins when the "Mental health care institute" receives a "Notice by Phone" from the "Family Doctor". This triggers the "Answer notice" task, which is followed by the "Determine nursing office" task. 
The process then moves to the "Nursing Officer" who performs the "Record notice" task. The notice is then stored and printed in the "Store and print notice" task. 
At this point, the process reaches a decision point. If the patient is unknown, a new patient file is created in the "Create patient file" task. If the patient is known, the process moves directly to the "Close case" task. 
After the case is closed, the process waits until "Wednesday morning" to assign intakers in the "Assign intakers" task. The assignment is then stored in the "Store assignment" task. 
The process then splits into two parallel paths. One path checks if a medical file is required. If it is, the "Ask for medical file" task is performed, followed by the "Update Patient file" task. The other path involves handing out cards in the "Hand out cards" task. 
Both paths then converge, and meetings with the first and second intakers are planned and held. The information from these meetings is used to complete the patient file. 
The process then waits again until "Wednesday morning 2" to determine the treatment in the "Determine treatment" task. Finally, the process ends with the "Intake complete" event. 
Throughout this process, there are several interactions between the "Mental health care institute" and the "Family Doctor", represented by message flows. For example, the "Family Doctor" initiates the process by sending a notice, and later receives a request for the medical file.</t>
  </si>
  <si>
    <t>The process "10_Promotion_A15_F" begins with the "Start" event. The first task is "Inquiry with the department leadership regarding the availability of an A15 promotion position". If the position is available, the process continues with the task "Inform the supervisor". If the position is not available, the process ends.
If the supervisor is informed, the next task is "Fill out the promotion request with the form 'Classification Criteria Group'". After this task, the promotion request is sent and the department receives it. The department then starts the task "Obtaining the supervisor's opinion". After obtaining the supervisor's opinion, the department discusses the request. 
If the request is rejected, the department writes a written justification and communicates the result of the discussion. If the request is not rejected, the department communicates the result of the discussion without writing a justification. 
After the department communicates the result of the discussion, the civil servant receives the result of the discussion. If the request is rejected, the civil servant has the option to create a counterstatement. If the request is not rejected, the civil servant informs the supervisor and the process ends.
If the civil servant creates a counterstatement, the department receives feedback. After receiving feedback, the department sends documents to P2. P2 then reviews the documents and position situation, creates an overview of the planned position situation, and sends the documents to the FwN-Comission. 
The FwN-Comission reviews and decides on the request, informs about the decision, and the process ends.</t>
  </si>
  <si>
    <t>The BPMN model "10_Promotion_A15_F" describes a business process related to a promotion request. The process involves multiple roles including a Civil Servant, a Department, a P2, and a FwN-Commission. 
1. The process starts with the Civil Servant inquiring with the department leadership regarding the availability of an A15 promotion position. 
2. If the position is available, the Civil Servant fills out the promotion request with the form 'Classification Criteria Group' and sends it to the Department. If the position is not available, the process ends.
3. Upon receipt of the promotion request, the Department obtains the supervisor's opinion and discusses the request. 
4. If the request is rejected, the Department communicates the result of the discussion to the Civil Servant and the process ends. If the request is not rejected, the Department writes a written justification and sends the documents to P2.
5. P2 reviews the documents and the position situation, creates an overview of the planned position situation, and sends the documents to the FwN-Commission.
6. The FwN-Commission reviews and decides on the request, and informs P2 about the decision.
7. P2 informs the Civil Servant about the decision. If the decision is to maintain the request, the Civil Servant creates a counterstatement. If the decision is to reject the request, the process ends.
8. The process ends when the Civil Servant receives the decision.
Please note that this is a simplified explanation of the process. The actual process may involve more complex decision-making and interactions between the roles.</t>
  </si>
  <si>
    <t>The process "10_Promotion_A15_F" begins with the start event. The first task is performed by a civil servant, who inquires with the department leadership regarding the availability of an A15 promotion position. Depending on the availability of the position, the process can take two paths. If the position is not available, the process ends. If the position is available, the civil servant informs the supervisor and fills out the promotion request with the form 'Classification Criteria Group'. The promotion request is then sent to the department.
Upon receipt of the promotion request, the department begins the process of obtaining the supervisor's opinion. This is followed by a discussion of the request. Depending on the outcome of the discussion, the process can take two paths. If the request is rejected, the department writes a written justification and communicates the result of the discussion to the civil servant. If the request is not rejected, the department sends documents to P2.
P2, upon receipt of the documents, reviews the documents and the position situation. They then create an overview of the planned position situation and send the documents to the FwN-Comission.
The FwN-Comission, upon receipt of the documents, reviews and decides on the request. They then inform P2 about the decision. P2, upon receipt of the decision, informs the civil servant. Depending on the decision, the process can take two paths. If the request is maintained, the civil servant creates a counterstatement. If the request is rejected, the civil servant is informed about the decision and the process ends.
If the civil servant creates a counterstatement, the process ends with the civil servant providing feedback to the department. The department, upon receipt of the feedback, sends documents to P2. The process ends when P2 receives the documents.</t>
  </si>
  <si>
    <t>The process "10_Promotion_A15_F" begins with the "Start" event. The first task is "Inquiry with the department leadership regarding the availability of an A15 promotion position" performed by the "Civil servant". Depending on whether the position is available or not, the process diverges at the "Position available? / SPLIT" decision point. 
If the position is available, the "Civil servant" informs the supervisor by executing the "Inform the supervisor" task. Then, the "Civil servant" fills out the promotion request with the form 'Classification Criteria Group'. The promotion request is then sent to the "Department". 
Upon receipt of the promotion request, the "Department" obtains the supervisor's opinion and discusses the request. Depending on the outcome of the discussion, the process diverges at the "Rejection of the request? / SPLIT" decision point. 
If the request is rejected, the "Department" writes a written justification and communicates the result of the discussion to the "Civil servant". If the request is not rejected, the "Department" sends documents to "P2". 
"P2" reviews the documents and the position situation, creates an overview of the planned position situation, and sends the documents to the "FwN-Comission". 
The "FwN-Comission" reviews and decides on the request, and informs about the decision. The decision is then received by "P2" and the "Civil servant". 
If the "Civil servant" maintains the request after receiving the result of the discussion, they create a counterstatement. Depending on whether the request is rejected or not, the process diverges at the "Rejection of the request? / JOIN" decision point. 
If the request is rejected, the "Civil servant" provides feedback to the "Department". If the request is not rejected, the process ends. 
If the position is not available at the beginning of the process, the process ends immediately.</t>
  </si>
  <si>
    <t>The process "10_Promotion_A15_F" begins with the "Start" event. The first task is "Inquiry with the department leadership regarding the availability of an A15 promotion position". After this task, the process reaches a decision point "Position available? / SPLIT". If the position is not available, the process ends. If the position is available, the process continues with the task "Inform the supervisor" and then "Fill out the promotion request with the form 'Classification Criteria Group'". After this, the promotion request is sent, which is received by the department.
In the department, the process starts with "Obtaining the supervisor's opinion", followed by a "Discussion of the request". After the discussion, another decision point is reached "Rejection of the request? / SPLIT". If the request is rejected, the department writes a "written justification" and communicates the result of the discussion. If the request is not rejected, the department communicates the result of the discussion directly.
The process then waits for the "Received feedback" from the civil servant. Once the feedback is received, the department sends the documents to P2.
In P2, the process starts with the "Review documents and position situation", followed by "Create an overview of the planned position situation". After this, the documents are sent to the FwN-Comission.
In the FwN-Comission, the process starts with the "Review and decide on the request". After the decision, the FwN-Comission informs about the decision.
Back in the civil servant lane, the process waits for the "Received the decision". If the decision is received, the process ends.
Please note that the process involves multiple participants (Civil servant, Department, P2, FwN-Comission) and the tasks are distributed among these participants. The process also involves several decision points (exclusive gateways) that determine the path of the process based on certain conditions.</t>
  </si>
  <si>
    <t>The BPMN model "Dismissal" describes a process involving two participants: MPON and MPOO. 
The process begins with the start event in the MPON participant's process. From the start event, the flow moves to a task named "Dismissal". After the "Dismissal" task, an intermediate throw event occurs, which sends a message to the MPOO participant's process. 
In the MPOO participant's process, the message is received by a start event. The flow then moves to a task named "Review". After the "Review" task, the flow reaches an exclusive gateway, which splits the flow into two possible paths. 
One path leads to a send task named "Rejection of the dismissal", which sends a message back to the MPON participant's process. This path ends with an end event. 
The other path leads to a send task named "Confirmation of the dismissal", which also sends a message back to the MPON participant's process. This path also ends with an end event. 
Back in the MPON participant's process, an intermediate catch event receives the message from the MPOO participant's process. The flow then moves to an end event, concluding the process. 
In summary, this process describes a dismissal procedure where a dismissal is proposed, reviewed, and then either confirmed or rejected. The result of the review is communicated back to the initiator of the process.</t>
  </si>
  <si>
    <t>The BPMN model "Dismissal" describes a process involving two participants: MPON and MPOO. 
The process starts with MPON initiating the "Dismissal" task. Once the task is completed, a message is sent to MPOO to start their process. 
MPOO's process begins with the "Review" task. After the review, the process reaches a decision point, represented by an exclusive gateway. Depending on the outcome of the review, one of two paths is followed:
1. If the dismissal is rejected, a "Rejection of the dismissal" task is performed. A message is then sent back to MPON, and the process ends for MPOO.
2. If the dismissal is confirmed, a "Confirmation of the dismissal" task is performed. Again, a message is sent back to MPON, and the process ends for MPOO.
Back in MPON's process, upon receiving the message from MPOO, the process ends.
This model represents a typical business process where a decision (in this case, a dismissal) is made, reviewed by another party, and then either confirmed or rejected. The use of message flows allows for communication between the two participants, and the exclusive gateway in MPOO's process allows for different paths to be taken based on the outcome of the review.</t>
  </si>
  <si>
    <t>The process model "Dismissal" involves two participants: MPON and MPOO. 
The process starts with MPON. The start event triggers a task named "Dismissal". Once the "Dismissal" task is completed, it sends a message to MPOO. This is represented by an intermediate throw event. 
Upon receiving the message, MPOO starts its process. The start event triggers a task named "Review". After the "Review" task, the process reaches a decision point, represented by an exclusive gateway. 
If the review results in a rejection of the dismissal, a task named "Rejection of the dismissal" is performed. This task sends a message back to MPON, indicating the rejection. The process for MPOO then ends. 
If the review results in a confirmation of the dismissal, a task named "Confirmation of the dismissal" is performed. This task also sends a message back to MPON, indicating the confirmation. The process for MPOO then ends.</t>
  </si>
  <si>
    <t>The process model "Dismissal" involves two participants: MPON and MPOO. 
The process starts with MPON. The start event triggers a task named "Dismissal". Once the "Dismissal" task is completed, it triggers an intermediate throw event, which sends a message to MPOO. 
MPOO's process starts with a start event that is triggered by the message from MPON. This event leads to a task named "Review". After the "Review" task, the process reaches an exclusive gateway, which is a decision point. 
From this gateway, there are two possible paths. One path leads to a send task named "Rejection of the dismissal". If this path is taken, a message is sent back to MPON, and the process ends for MPOO. 
The other path from the gateway leads to a send task named "Confirmation of the dismissal". If this path is taken, a message is also sent back to MPON, and the process ends for MPOO. 
Back in MPON's process, the message from MPOO triggers an intermediate catch event. This event leads to the end event, which concludes the process for MPON. 
In summary, the process involves MPON initiating a dismissal, MPOO reviewing the dismissal and making a decision, and then communicating the decision back to MPON.</t>
  </si>
  <si>
    <t>The BPMN model "Dismissal" describes a process involving two participants: MPON and MPOO. 
The process starts with MPON. The start event triggers a task named "Dismissal". Once the "Dismissal" task is completed, it triggers an intermediate throw event. This event sends a message to MPOO's start event. 
MPOO's process begins with a start event that triggers a task named "Review". After the "Review" task, the process reaches an exclusive gateway. This gateway represents a decision point where the process can take one of two paths based on certain conditions.
One path from the gateway leads to a send task named "Rejection of the dismissal". This task sends a message back to MPON's intermediate catch event. After receiving the message, MPON's process continues to an end event, concluding the process.
The other path from the gateway leads to a send task named "Confirmation of the dismissal". This task also sends a message back to MPON's intermediate catch event. After receiving the message, MPON's process continues to the same end event, concluding the process.
In summary, MPON initiates a "Dismissal" task, which is reviewed by MPOO. Based on the review, MPOO either confirms or rejects the dismissal, and communicates the decision back to MPON, ending the process.</t>
  </si>
  <si>
    <t>The process "01_Job posting_G" begins with the start event "Start". The first task is "Fill out the request for job posting" which is followed by an exclusive gateway "Scientific personnel? / SPLIT". Depending on the condition, the process either goes to another exclusive gateway "Limited according to the WissZeitVG? / SPLIT" or joins back to the gateway "Scientific personnel? / SPLIT / JOIN". 
If the process goes to the gateway "Limited according to the WissZeitVG? / SPLIT", it either leads to the task "Fill out the form 'Permanent Position Categories'" or "Complete the form 'Additional Information for Hiring Temporary Scientific Staff". Both these tasks join back to the gateway "Limited according to the WissZeitVG? / JOIN" which then leads back to the gateway "Scientific personnel? / SPLIT / JOIN". 
From the gateway "Scientific personnel? / SPLIT / JOIN", the process moves to the task "Fill out the job description" followed by "Compose and attach the job advertisement text". The next task is "Send the application for job posting with a copy of the job advertisement text to the Equal Opportunities Officer". This is followed by the task "Send the job advertisement text as a Word file to the HR officer" and then "Send the application through the official channels to the Human Resources Department". 
Once the application is sent, the process waits for the event "Request received". After the request is received, the process splits into two parallel tasks "Review of the request and job advertisement text" and "Review of the job description". 
The task "Review of the request and job advertisement text" leads to an exclusive gateway "Request ok? / SPLIT" which either leads to the task "Seek consultation" or joins back to the gateway "Request ok? / JOIN". 
The task "Review of the job description" leads to an exclusive gateway "Request ok? / SPLIT" which either leads to the task "Seek consultation" or joins back to the gateway "Request ok? / JOIN". 
Both these gateways join back to a parallel gateway which then leads to the task "Posting the job advertisement in the desired media". This is followed by the task "Notification to the Employment Agency Frankfurt's Disabled Workers Placement Service" and then "Send information about the closure of the job posting and the final job advertisement text". 
Once the information is sent, the process waits for the event "Information about the closure of the job posting and the final job advertisement text received". After the event is received, the process moves to an exclusive gateway "Job posting on EURAXESS? / SPLIT". Depending on the condition, the process either ends or moves to the task "Job posting on EURAXESS with the final job advertisement text" and then ends.</t>
  </si>
  <si>
    <t>The BPMN model "01_Job posting_G" describes a process of job posting. The process involves three main roles: the Employing Position, the Human Resources Department, and the Tariff Processing.
1. The process starts with the Employing Position filling out the job description (UserTask_0r28g17). 
2. Then, a decision is made whether the position is for scientific personnel (ExclusiveGateway_0umvias). 
3. If yes, another decision is made whether the position is limited according to the WissZeitVG (ExclusiveGateway_183ezls). Depending on the outcome, the form 'Additional Information for Hiring Temporary Scientific Staff' (UserTask_00xpka9) or the form 'Permanent Position Categories' (UserTask_1cx2exz) is filled out. 
4. If the position is not for scientific personnel, the process moves directly to the next step (ExclusiveGateway_0e3e61o). 
5. The job description is then filled out (UserTask_1641f5o), followed by composing and attaching the job advertisement text (UserTask_1ob7npi). 
6. The application for job posting with a copy of the job advertisement text is sent to the Equal Opportunities Officer (UserTask_1lkhj67). 
7. The job advertisement text as a Word file is sent to the HR officer (SendTask_1mdqviv), and the application is sent through the official channels to the Human Resources Department (SendTask_0n38x55).
8. The Human Resources Department receives the request (IntermediateCatchEvent_0t1lioo) and reviews the request and job advertisement text (UserTask_11p81qc). 
9. If the request is not okay, consultation is sought (UserTask_0cuflid) and the request is adjusted (UserTask_00um89s). 
10. Once the request is okay, the job advertisement is posted in the desired media (UserTask_0iu02t9) and the Employment Agency Frankfurt's Disabled Workers Placement Service is notified (UserTask_11zv37l). 
11. Information about the closure of the job posting and the final job advertisement text is sent (UserTask_0xe4894). 
12. The Tariff Processing reviews the job description (UserTask_0k950fu). If the request is not okay, consultation is sought (UserTask_1h9ltnz). 
13. The process ends when the job posting is on EURAXESS (Task_14aje9f) or not (EndEvent_0rp2u8h and EndEvent_04o0ay9). 
Please note that the actual names of the tasks, gateways, and events may vary depending on the specific implementation of the process.</t>
  </si>
  <si>
    <t>The process "01_Job posting_G" begins with the start event. The first task is to fill out the job description, which is performed by the "Employing position". After this, the process splits into two paths based on whether the position is for scientific personnel or not.
If the position is not for scientific personnel, the process continues to the task of composing and attaching the job advertisement text. Once this is done, the application for job posting with a copy of the job advertisement text is sent to the Equal Opportunities Officer. After this, the job advertisement text as a Word file is sent to the HR officer. The application is then sent through the official channels to the Human Resources Department.
If the position is for scientific personnel, the process further splits based on whether the position is limited according to the WissZeitVG. If it is not limited, the form 'Permanent Position Categories' is filled out. If it is limited, the form 'Additional Information for Hiring Temporary Scientific Staff' is completed. After either of these tasks, the process continues as described above.
Once the Human Resources Department receives the request, it is reviewed and the job advertisement text is checked. If there are any issues, consultation is sought and adjustments are made to the request. Once the request is approved, the job advertisement is posted in the desired media and a notification is sent to the Employment Agency Frankfurt's Disabled Workers Placement Service. Information about the closure of the job posting and the final job advertisement text is then sent.
Meanwhile, the tariff processing reviews the job description. If there are any issues, consultation is sought. Once the job description is approved, the process ends.
If the job posting is to be posted on EURAXESS, the job posting is made with the final job advertisement text. After this, the process ends. If the job posting is not to be posted on EURAXESS, the process ends directly.</t>
  </si>
  <si>
    <t>The process begins with the "Start" event. The first task is to "Fill out the request for job posting". After this, the process reaches a decision point "Scientific personnel? / SPLIT". If the answer is "No", the process moves to "Scientific personnel? / SPLIT / JOIN". If the answer is "Yes", the process moves to another decision point "Limited according to the WissZeitVG? / SPLIT". 
If the answer to "Limited according to the WissZeitVG? / SPLIT" is "No", the task "Fill out the form 'Permanent Position Categories'" is performed. If the answer is "Yes", the task "Complete the form 'Additional Information for Hiring Temporary Scientific Staff" is performed. Both these tasks converge at "Limited according to the WissZeitVG? / JOIN" and then move to "Scientific personnel? / SPLIT / JOIN".
From "Scientific personnel? / SPLIT / JOIN", the task "Fill out the job description" is performed. This is followed by "Compose and attach the job advertisement text". After this, the task "Send the application for job posting with a copy of the job advertisement text to the Equal Opportunities Officer" is performed. A note is made that the application for job posting is on its way to the Human Resources Department. 
Then, the task "Send the job advertisement text as a Word file to the HR officer" is performed. This is followed by "Send the application through the official channels to the Human Resources Department". The process then waits for the "Request received" event. 
Once the request is received, the process splits into two parallel paths. One path involves the task "Review of the request and job advertisement text". If the request is okay, the process moves forward. If not, the task "Seek consultation" is performed and the request is adjusted in the task "Adjust the request". 
The other parallel path involves the task "Review of the job description". If the request is okay, the process moves forward. If not, the task "Seek consultation" is performed. 
Both these paths converge and the task "Posting the job advertisement in the desired media" is performed. This is followed by "Notification to the Employment Agency Frankfurt's Disabled Workers Placement Service". After this, the task "Send information about the closure of the job posting and the final job advertisement text" is performed. The process then waits for the "Information about the closure of the job posting and the final job advertisement text received" event. 
After this event, the process reaches a decision point "Job posting on EURAXESS? / SPLIT". If the answer is "No", the process ends. If the answer is "Yes", the task "Job posting on EURAXESS with the final job advertisement text" is performed and the process ends.</t>
  </si>
  <si>
    <t>The BPMN model "01_Job posting_G" describes a process related to job posting. The process is divided into three lanes, each representing a different role or department: "Employing position", "Human Resources Department", and "Tariff processing".
The process starts with the "Employing position" filling out the job description. Depending on whether the position is for scientific personnel and if it's limited according to the WissZeitVG, different forms are filled out. The job description and advertisement text are then composed and sent to the Equal Opportunities Officer. 
Simultaneously, the application for job posting is sent through official channels to the Human Resources Department. The HR department reviews the request and job advertisement text. If the request is not okay, they seek consultation and adjust the request. Once the request is approved, the job advertisement is posted in the desired media and a notification is sent to the Employment Agency Frankfurt's Disabled Workers Placement Service. 
In parallel, the "Tariff processing" department reviews the job description. If the request is not okay, they seek consultation. Once the request is approved, the information about the closure of the job posting and the final job advertisement text is sent to the "Employing position".
The process ends when the job posting is either posted on EURAXESS with the final job advertisement text or not posted on EURAXESS at all. 
Please note that this is a simplified explanation and the actual process includes more detailed steps and decision points.</t>
  </si>
  <si>
    <t>The BPMN model "Application Metering point operator new" describes a process involving multiple participants: MPON, GO, MPOO, MSPO, and SP. 
The process begins with the MPON participant initiating an application. This application is then sent to the GO participant for review. Depending on the review, the application can either be rejected or confirmed. If the application is confirmed, information about the confirmation is sent to the MPOO participant. 
The MPOO participant then initiates two parallel processes: one for equipment acquisition and another for equipment changes. Both processes converge at a point where information about the assignment of the MPON is sent to the MSPO participant. 
The MSPO participant then waits for a message from the GO participant about the registration of the MSPO. Depending on the message received, the MSPO participant can either confirm the failure of the assignment or confirm the assignment of the MPON. 
The process ends when the MPOO participant receives a message from the MSPO participant about the assignment of the MPON. 
This process is represented in XML format according to the BPMN 2.0.2 specification.</t>
  </si>
  <si>
    <t>The BPMN model "Application Metering point operator new" describes a business process involving multiple participants: MPON (Metering Point Operator New), GO (Grid Operator), MPOO (Metering Point Operator Old), MSPO (Metering Service Point Operator), and SP (Service Provider).
The process starts with the MPON initiating an application. This application is then sent to the GO for review. The GO can either reject or confirm the application. If the application is rejected, the process ends. If the application is confirmed, the GO sends information about the confirmation of the application to the MPOO.
The MPOO then initiates two parallel processes. One process involves sending information about the confirmation of the application to the MPON and waiting for a response. The other process involves either acquiring new equipment or making changes to existing equipment. Once both processes are complete, the MPOO sends information about the assignment of the MPON to the MSPO and SP.
If the MPON fails to respond within a certain timeframe, the GO sends information about the failure of the overall transaction by deadline. If the MPON responds with a failure of the assignment, the GO confirms the failure of the assignment and sends information about the failure of the assignment of the MPON to the MSPO and SP. If the MPON responds with a successful assignment, the GO sends information about the assignment of the MPON to the MSPO and SP.
This process model is designed to ensure that all necessary steps are taken when a new Metering Point Operator applies for a position, and that all relevant parties are kept informed throughout the process.</t>
  </si>
  <si>
    <t>The process begins with the "Application" task in the MPON (Metering Point Operator New) participant. After the application is submitted, a message is sent to the GO (Grid Operator) participant. 
In the GO participant, the application is reviewed. Depending on the review, the application can either be rejected or confirmed. If the application is rejected, the process ends. If the application is confirmed, a message is sent back to the MPON participant and another message is sent to the MSPO (Metering Service Point Operator) participant. 
Back in the MPON participant, upon receiving the confirmation message, the process splits into two parallel paths. One path involves the acquisition of equipment, and the other involves equipment changes. Both paths converge back and a message is sent to the MPOO (Metering Point Operator Old) participant. 
In the MPOO participant, upon receiving the message, the process splits into two parallel paths. One path involves the assignment of the MPON and the other involves either equipment acquisition or equipment changes. Both paths converge back and a message is sent to the SP (Service Provider) participant. 
In the GO participant, after sending the message to the MSPO participant, the process waits for one of three events: a timer event, a message about the failure of the assignment, or a message about the successful completion of the assignment. Depending on which event occurs, the process either ends, sends a message about the failure of the overall transaction, or sends a message about the assignment of the MPON. 
In the SP participant, upon receiving the message, the process ends. 
Please note that this is a high-level description and the actual process may involve more detailed steps and conditions.</t>
  </si>
  <si>
    <t>The process begins with the "Application Metering point operator new" (MPON) which is a task performed by the participant named MPON. Once the application is completed, a message is sent to the participant named GO. 
The participant named GO then reviews the application. Depending on the outcome of the review, the application can either be rejected or confirmed. If the application is rejected, the process ends. If the application is confirmed, a message is sent to the participant named MPOO. 
The participant named MPOO then starts a parallel process. One part of the process involves sending a message back to the participant named MPON. The other part of the process involves either acquiring equipment or making equipment changes. 
Once both parts of the parallel process are completed, a message is sent to the participant named MSPO. Depending on the outcome of the assignment of the MPON, a message is sent to either the participant named SP or back to the participant named MPON. 
If the assignment of the MPON is successful, the process ends. If the assignment of the MPON fails, the participant named GO is informed about the failure and the process ends. 
This process involves multiple participants and tasks, with various message flows between them. The process also includes decision points (gateways) that determine the next steps based on the outcomes of previous tasks.</t>
  </si>
  <si>
    <t>The BPMN model "Application Metering point operator new" describes a business process involving multiple participants: MPON (Metering Point Operator New), GO (Grid Operator), MPOO (Metering Point Operator Old), MSPO (Metering Service Point Operator), and SP (Service Provider).
The process starts with the MPON participant. The process begins with an application task. After the application is submitted, a message is sent to the GO participant. The GO participant then reviews the application. Depending on the review, the application can either be rejected or confirmed. If the application is confirmed, a message is sent to the MPOO participant.
The MPOO participant then starts a parallel process. One path involves sending a message back to the MPON participant. The other path involves an inclusive gateway that leads to two tasks: Equipment acquisition and Equipment changes. After these tasks are completed, a message is sent to the MSPO participant.
The GO participant also sends a message to the MSPO participant after confirming the application. If the application is rejected, the process ends for the GO participant.
The MSPO participant receives messages from both the MPOO and GO participants. Depending on the messages received, the MSPO participant can either confirm the assignment of the MPON or inform about the failure of the assignment. If the assignment is confirmed, a message is sent to the SP participant.
The SP participant receives the message from the MSPO participant and the process ends.
Please note that this is a simplified explanation of the process. The actual process may involve more complex interactions and decision-making processes.</t>
  </si>
  <si>
    <t>Avg.</t>
  </si>
  <si>
    <t>F1 Elements</t>
  </si>
  <si>
    <t>F1 Element Types</t>
  </si>
  <si>
    <t>F1 CFM</t>
  </si>
  <si>
    <t>Example model</t>
  </si>
  <si>
    <t>The process of an Office Supply Request starts when any employee of the organization submits an office supply request. Once the requirement is registered, the request is received by the immediate supervisor of the employee requesting the office supplies. The supervisor must approve or ask for a change, or reject the request. If the request is re- jected the process will end. If the request is asked to make a change then it is returned to the petitioner/employee who can review the comments for the change request. If the request is approved it will go to the purchase department that will be in charge of making quotations (using a subprocess) and select a vendor. If the vendor is not valid in the system the purchase department will have to choose a different vendor. After a vendor is selected and confirmed, the system will generate and send a purchase order and wait for the product to be delivered and the invoice received. In any case the system will send a notification to let the user know what the result was. In any of the cases, approval, rejection or change required the system will send the user a notification.</t>
  </si>
  <si>
    <t>The process "Planning and Performing Meetings" involves two main participants: the "Support Officer" and the "Committee Members". 
The process begins when a meeting is due, which triggers the "Support Officer" to start the process. The first task is to "Create Meeting Folder". Once this task is completed, the next task is to "Upload All Relevant Documents" to the meeting folder. 
A week before the meeting, a timer event triggers a reminder to the "Committee Members" to read the documentation. This is done through an intermediate throw event named "Remind Members to Read Documentation". 
After the reminder has been sent, the "Committee Members" start their process when they receive the "Meeting Reminder”. The "Support Officer" then "Attends Meeting" and "Committee Members" performs the task ”Meeting Takes Place”, which both are grouped by “Meeting”. Following the meeting, the "Support Officer" is tasked with "Preparing Meeting Minutes". At the same time, "Committee Members"  wait for the meeting minutes, represented by the intermediate throw event "Waiting On Meeting Minutes". 
The "Support Officer"  then sends the meeting minutes for a "QA Check" by the "Coordination Unit". If the QA Check takes more than 5 days, a timer event triggers a reminder to the "Coordination Unit". If the "Coordination Unit" does not respond within the given time, the "Support Officer" is tasked to "Remind Coordination Unit". 
Once the QA Check is completed, the "Support Officer" then "Sends Minutes To Members". This marks the end of the process for the "Support Officer". 
Once “Committee Members" receive the meeting minutes, represented by the intermediate catch event "Send Minutes to Members", the process for the "Committee Members" ends. 
This process ensures that all relevant documents are prepared and shared with the committee members in a timely manner, and that the meeting minutes are checked for quality before being sent out.</t>
  </si>
  <si>
    <t>Example demonstrations</t>
  </si>
  <si>
    <t>5-2, 3-7</t>
  </si>
  <si>
    <t>6-2, 3-7</t>
  </si>
  <si>
    <t>6-2, 8-2</t>
  </si>
  <si>
    <t>5-2, 3-8</t>
  </si>
  <si>
    <t>6-2, 3-8</t>
  </si>
  <si>
    <t>5-1, 3-8</t>
  </si>
  <si>
    <t>5-2, 5-1</t>
  </si>
  <si>
    <t>The process "Claims Creation" begins with a start event. As the name implies, the Start Event indicates where a particular Process will start. 
The first task in the process is "Search Police report database". A Task is an atomic Activity that is included within a Process. A Task is used when the work in the Process is not broken down to a finer level of Process detail. In this case, the task involves searching a database for a police report. The output of this task is a "Police Report", which is a data object. Data Objects provide information about what Activities require to be performed and/or what they produce. There is a text annotation associated with the "Police Report" data object, providing additional context about the sources of the data object. Text Annotations in general are a mechanism to provide additional text information for the reader of a BPMN Diagram.
The next task is "Compose file". This task takes in the "Police Report" data object from the previous task and also requires "Claim Documentation" data object. The task involves composing a file using the provided data. The output of this task is a "Claim file", which is another data object that is passed on to the next task.
The third task is "Calculate claim estimate". This task takes in the "Claim file" data object from the previous task. The task involves calculating an estimate for the claim. 
Then, the fourth task is "Create action plan". This task requires an "Action plan checklist" data object to which another text annotation is associated with: "Document Management system", indicating the sources of the data object. The task involves creating an action plan. The output of this task is an "Action Plan", which is a data object that is passed on to the next task.
Both tasks "Compose file" and "Create action plan" can be grouped as "Claims handler". A Group is a grouping of objects that are within the same Category.
After this group, the fifth task is "Negotiate estimate settlement". This task takes in the "Action Plan" data object from the previous task. The task involves negotiating a settlement for the estimate.
The final task is "Notify claimant". This task involves notifying the claimant.
The process then ends with an end event. The End Event indicates where a Process will end.</t>
  </si>
  <si>
    <t>The process "Claims Car Insurance" involves three pools as participants: the Customer, the Car Insurer, and the Garage. A Pool is the graphical representation of a Participant in a Collaboration.  
Within the Car Insurer, there are two roles involved reflected in three different lanes within the pool: the Notification department and the Handling department. A Lane is a sub-partition within a Pool and will extend the entire length of the Pool. Lanes are used to organize and categorize Activities. 
The process begins with a start event in the "Notification department" lane". As the name implies, the Start Event indicates where a particular Process will start. 
The Notification department first checks the "claim documentation" within the task "Check documentation". A Task is an atomic Activity that is included within a Process. A Task is used when the work in the Process is not broken down to a finer level of Process detail. In this case, the task requires Notification department to receive the message "claim documentation", which is sent by the "Customer" via a message flow. A Message Flow is used to show the flow of Messages between two Participants that are prepared to send and receive them. Once the documentation is checked, the claim is registered within the task "Register claim".
The Handling department then takes over. They first check the insurance in the task "Check Insurance". Once the insurance is verified, they perform an assessment in the task "Perform assessment". Based on the assessment, a decision is made at an exclusive gateway.  A diverging Exclusive Gateway (Decision) is used to create alternative paths within a Process flow, whereas only one of the paths can be taken.
If the claim is rejected, the "Reject claim" task is performed. If the claim is accepted, the insurer arranges for repair with the Garage in the task "Arrange repair" by sending the "Damage information" to the Garage via a message flow. 
Once the repair is arranged, the insurer schedules the payment in the task "Schedule payment". The "Payment details" are also sent to the Garage via a message flow. 
After either rejecting the claim or scheduling the payment, both path follow the path to the joining exclusive gateway. The Handling department notifies the customer in the task "Notify customer" by sending a "Notification letter" to the Customer via a message flow. 
The process ends once the customer has been notified with an end event. The End Event indicates where a Process will end.</t>
  </si>
  <si>
    <t>The "Loan Request" process begins when a customer sends a request for a loan amount via a message, which triggers the message start event "Receive Customer Request for Loan Amount". A message start event waits for receiving a message from a Participant to start the Process.
Once the request is received, the process moves to the service task "Invoke Risk Assessor". A Service Task is a Task that uses some sort of service, which could be a Web service or an automated application. 
After the risk assessment, the process reaches an exclusive gateway named "If". A diverging Exclusive Gateway (Decision) is used to create alternative paths within a Process flow, whereas only one of the paths can be taken. In this case, the gateway represents a decision point in the process where the flow of control will diverge based on the risk assessment. This gateway thereby defines a default flow. 
If the risk is high, the process will follow the default sequence flow named "high risk", and reach the throwing message end event "Deny". This type of End event indicates that a Message is sent to a Participant at the conclusion of the Process.
If the risk is low, the process will follow the sequence flow named "low risk" and reach the throwing message end event "Approve". 
s
If the loan is large or the risk needs review, the process will follow the sequence flow named "large loan or review risk" and reach the service task "Invoke Loan Approval".
After the loan approval process, the process reaches the throwing message end event "Return Approval Response". 
In summary, this process model represents a loan request process where the loan request is received, the risk is assessed, a decision is made based on the risk assessment, and the decision is communicated back to the customer.</t>
  </si>
  <si>
    <t>The process "Vacation Request 1.0" involves one main pool as participant "Vacation Request 1.0". A Pool is the graphical representation of a Participant in a Collaboration. Within this pool, three roles are involved reflected in three different lanes: Employee, Boss, and Human Resource Assistant.  A Lane is a sub-partition within a Pool and will extend the entire length of the Pool. Lanes are used to organize and categorize Activities. 
The process begins with a start event in the "Employee" lane". As the name implies, the Start Event indicates where a particular Process will start. The Employee initiates the process by registering a vacation request in the task "Register Vacation Request". A Task is an atomic Activity that is included within a Process. A Task is used when the work in the Process is not broken down to a finer level of Process detail. Once the request is registered, the process moves to the Boss's lane.
The Boss then verifies the available vacation days in the "Verify Available Vacation Days" service task. A Service Task is a Task that uses some sort of service, which could be a Web service or an automated application. After verifying the vacation days, the Boss checks the vacation request in the "Check Vacation Request" task. 
After checking the request, the process reaches a decision point, represented by the "Exclusive Gateway". A diverging Exclusive Gateway (Decision) is used to create alternative paths within a Process flow, whereas only one of the paths can be taken. If the request is rejected, the process follows the "No" path to the "Review Rejection Reason" task back in the Employee's lane. The Employee reviews the rejection reason.
If the request is approved, the process follows the "Yes" path to the "Make Administrative Task" task in the Human Resource Assistant's lane. The Human Resource Assistant then performs the administrative task.
The process ends with an end event when either the Employee reviews the rejection reason or the Human Resource Assistant completes the administrative task. The End Event indicates where a Process will end.</t>
  </si>
  <si>
    <t>The "Ordering" process involves two main pools as participants: "Supplier" and "Assembler AG". A Pool is the graphical representation of a Participant in a Collaboration.
The process starts at "Assembler AG" with the timer start event "1st each month". A timer start event is triggered by a defined time-date or cycle (e.g., every Monday at 9am). In this case, the timer start event is triggered on the 1st of each month. After the start event is triggered, the first task is "Create Order". A Task is an atomic Activity that is included within a Process. A Task is used when the work in the Process is not broken down to a finer level of Process detail. In this case, the task involves creating an order. 
Once the order is created, it is sent to the "Supplier" via a message flow. This is represented by the message flow from "Create Order" in the Assembler AG pool to "Process Order" in the Supplier pool. A Message Flow is used to show the flow of Messages between two Participants that are prepared to send and receive them. While the Assembler Ag then waits for the invoice, the "Supplier" processes the order, which is represented by the task "Process Order".
After processing the order, the "Supplier" sends an invoice to "Assembler AG" in the task "Send Invoice". This is represented by the message flow from "Send Invoice" in the "Supplier" pool to "Receive Invoice" in the Assembler AG pool. The task "Receive Invoice" at "Assembler AG" represents the receipt of the invoice from the "Supplier".
Finally, the process at "Assembler AG" ends after the invoice is received. This is represented by the end event following the "Receive Invoice" task. The End Event indicates where a Process will end.
In summary, the process involves creating an order at "Assembler AG", sending it to the "Supplier", processing the order at the "Supplier", sending an invoice back to "Assembler AG", and receiving the invoice at "Assembler AG".</t>
  </si>
  <si>
    <t xml:space="preserve">The process "Job posting" involves two main pools as participants: the "Head of functional department" and the "HR Check". A Pool is the graphical representation of a Participant in a Collaboration.
The process starts at "HR Check" with the message start event "vacancy is reported". A message start event waits for receiving a message from a Participant to start the Process. In this case, "HR Check" waits for the message sent by "Head of functional department" via a message flow. A Message Flow is used to show the flow of Messages between two Participants that are prepared to send and receive them. This message then triggers the start of the process. The first task of "HR Check" is to review the report (Task: review report). A Task is an atomic Activity that is included within a Process. A Task is used when the work in the Process is not broken down to a finer level of Process detail. After reviewing, a decision is made whether everything is alright with the report (Exclusive Gateway: Everything all right?). A diverging Exclusive Gateway (Decision) is used to create alternative paths within a Process flow, whereas only one of the paths can be taken. 
If there are issues with the report, the "HR Check" asks the "Head of functional department" for more details and requirements (Task: ask for details and requirements) via a message flow. Once the details and requirements are received from the "Head of functional department", the "HR Check" proceeds to create a job description (Task: create job description). 
If there were no issues with the report, the "HR Check" directly proceeds to create a job description. The "HR Check" then send the created job description to the "Head of functional department" via a message flow.  
After the job description is created and sent, the process flow reaches an event-based gateway. The Event-Based Gateway represents a branching point in the Process where the alternative paths that follow the Gateway are based on Events that occur. In this case, two possible events can occur. Either corrections are required (Message Intermediate Catch Event: corrections are required) or the job description is approved (Message Intermediate Catch Event: job description is approved). A Message Intermediate Catch Event can be used to receive a Message. This causes the Process to continue if it was waiting for the Message. 
In this case, "HR Check" waits for the message from the "Head of functional department" if "corrections are required" or the "job description is approved". If corrections are required, the "HR Check" corrects the job description (Task: correct job description). The "HR Check" then sends the corrected job description to the "Head of functional department" via a message flow. The process loops back to the event-based gateway, repeating the flow from the event-based gateway.
If the job description is approved by the "Head of functional department" via a message flow, the "HR Check" proceeds to advertise the post (Task: advertise post). The process ends when the post is advertised (End Event: post is advertised). The End Event indicates where a Process will end. </t>
  </si>
  <si>
    <t>1. Initial</t>
  </si>
  <si>
    <t>2. System</t>
  </si>
  <si>
    <t>3. output instruct</t>
  </si>
  <si>
    <t>4. another example</t>
  </si>
  <si>
    <t>ggf. Link beispiel 5-3</t>
  </si>
  <si>
    <t>another hr exmplae?</t>
  </si>
  <si>
    <t>example data object? 3-7</t>
  </si>
  <si>
    <t>max_tokens=1795</t>
  </si>
  <si>
    <t>max_tokens=2000</t>
  </si>
  <si>
    <t>max_tokens=1792</t>
  </si>
  <si>
    <t>max_tokens=1721</t>
  </si>
  <si>
    <t>max_tokens=1697</t>
  </si>
  <si>
    <t>max_tokens=833</t>
  </si>
  <si>
    <t>max_tokens=1291</t>
  </si>
  <si>
    <t>max_tokens=1718</t>
  </si>
  <si>
    <t>6-2, 5-1</t>
  </si>
  <si>
    <t>max_tokens=1647</t>
  </si>
  <si>
    <t>max_tokens=1623</t>
  </si>
  <si>
    <t>6-2, 5-2</t>
  </si>
  <si>
    <t>max_tokens=1024</t>
  </si>
  <si>
    <t>max_tokens=1254</t>
  </si>
  <si>
    <t>max_tokens=1183</t>
  </si>
  <si>
    <t>max_tokens=1159</t>
  </si>
  <si>
    <t>max_tokens=1711</t>
  </si>
  <si>
    <t>max_tokens=1398</t>
  </si>
  <si>
    <t>max_tokens=1327</t>
  </si>
  <si>
    <t>max_tokens=1303</t>
  </si>
  <si>
    <t>max_tokens=704</t>
  </si>
  <si>
    <t>max_tokens=622</t>
  </si>
  <si>
    <t>max_tokens=551</t>
  </si>
  <si>
    <t>max_tokens=527</t>
  </si>
  <si>
    <t>max_tokens=480</t>
  </si>
  <si>
    <t>0shot</t>
  </si>
  <si>
    <t>max_tokens=649</t>
  </si>
  <si>
    <t>max_tokens=578</t>
  </si>
  <si>
    <t>max_tokens=554</t>
  </si>
  <si>
    <t>max_tokens=507</t>
  </si>
  <si>
    <t>Limited context window reached: The prompt (number of tokens: 8528) does not fit into the context window. Allowed are 8,192 token.</t>
  </si>
  <si>
    <t>example 3-7 (data objects??)??</t>
  </si>
  <si>
    <t>another example</t>
  </si>
  <si>
    <t>expanded subprocess multiple instances</t>
  </si>
  <si>
    <t>Event Intermediate Throw</t>
  </si>
  <si>
    <t>Event Intermediate Catch</t>
  </si>
  <si>
    <t>order</t>
  </si>
  <si>
    <t>Nr.</t>
  </si>
  <si>
    <t>Explaning sentences per Node</t>
  </si>
  <si>
    <t>LOW</t>
  </si>
  <si>
    <t>MEDIUM</t>
  </si>
  <si>
    <t>HIGH</t>
  </si>
  <si>
    <t>Avg. Model complexity</t>
  </si>
  <si>
    <t>Avg. Prompt</t>
  </si>
  <si>
    <t>5-2, 6-2</t>
  </si>
  <si>
    <t>3-7, 3-8</t>
  </si>
  <si>
    <t>8-2, 3-8</t>
  </si>
  <si>
    <t>Overall Avg. Prompt</t>
  </si>
  <si>
    <t>F2</t>
  </si>
  <si>
    <t>F3</t>
  </si>
  <si>
    <t>Round 6</t>
  </si>
  <si>
    <t>Round 7</t>
  </si>
  <si>
    <t>Round 8</t>
  </si>
  <si>
    <t>chunk_overlap_ratio: 0.4
chunk_size: 4096
chunk_overlap: 800
response_mode: "refine"</t>
  </si>
  <si>
    <t>chunk_overlap_ratio: 0.4
chunk_size: 4096
chunk_overlap: 800
response_mode: "compact"</t>
  </si>
  <si>
    <t>chunk_overlap_ratio: 0.4
chunk_size: 2048
chunk_overlap: 400
response_mode: "compact"</t>
  </si>
  <si>
    <t>chunk_overlap_ratio: 0.4
chunk_size: 2048
chunk_overlap: 400
response_mode: "refine"</t>
  </si>
  <si>
    <t>NA</t>
  </si>
  <si>
    <t>Avg. Round</t>
  </si>
  <si>
    <t>Total Avg.</t>
  </si>
  <si>
    <t>Manual Example model</t>
  </si>
  <si>
    <t>Retrieved examples</t>
  </si>
  <si>
    <t>k=1</t>
  </si>
  <si>
    <t>k=2</t>
  </si>
  <si>
    <t>k=3</t>
  </si>
  <si>
    <t>3-8, 5-2</t>
  </si>
  <si>
    <t>3-8, 8-2</t>
  </si>
  <si>
    <t>3-8, 8-2, 5-2</t>
  </si>
  <si>
    <t>3-8, 5-2, 8-2</t>
  </si>
  <si>
    <t>5-2, 5-1, 8-2</t>
  </si>
  <si>
    <t>8-2, 3-8, 3-7</t>
  </si>
  <si>
    <t>8-2, 6-2</t>
  </si>
  <si>
    <t>8-2, 6-2, 3-8</t>
  </si>
  <si>
    <t>3-8, 8-2, 5-1</t>
  </si>
  <si>
    <t>5-2, 3-8, 8-2</t>
  </si>
  <si>
    <t>8-2, 3-8, 5-2</t>
  </si>
  <si>
    <t>8-2, 5-2</t>
  </si>
  <si>
    <t>8-2, 5-2, 3-8</t>
  </si>
  <si>
    <t>5-2, 3-8, 6-2</t>
  </si>
  <si>
    <t>5-2, 8-2</t>
  </si>
  <si>
    <t>5-2, 8-2, 6-2</t>
  </si>
  <si>
    <t>3-8, 3-7</t>
  </si>
  <si>
    <t>3-8, 3-7, 8-2</t>
  </si>
  <si>
    <t>3-8, 5-2, 6-2</t>
  </si>
  <si>
    <t>from here variance higher</t>
  </si>
  <si>
    <t>dauert extrem lange</t>
  </si>
  <si>
    <t>k=2,
num_output=1200</t>
  </si>
  <si>
    <t xml:space="preserve">k=3,
num_output=1200
</t>
  </si>
  <si>
    <t xml:space="preserve">k=1,
num_output=1200
</t>
  </si>
  <si>
    <t xml:space="preserve">k=1,
num_output=1000
chunk_size=2048
chunk_overlap=400
</t>
  </si>
  <si>
    <t>3-8, 8-2,5-2</t>
  </si>
  <si>
    <t>5-2, 6-2, 5-1</t>
  </si>
  <si>
    <t>complexity</t>
  </si>
  <si>
    <t>low</t>
  </si>
  <si>
    <t>medium</t>
  </si>
  <si>
    <t>high</t>
  </si>
  <si>
    <t>avg. Nodes</t>
  </si>
  <si>
    <t>avg. Elements</t>
  </si>
  <si>
    <t>avg. Element types</t>
  </si>
  <si>
    <t># different element types</t>
  </si>
  <si>
    <t>1shot</t>
  </si>
  <si>
    <t>Delta</t>
  </si>
  <si>
    <t>F2 Element Types</t>
  </si>
  <si>
    <t>F3 CFM</t>
  </si>
  <si>
    <t>Prompt engineering</t>
  </si>
  <si>
    <t>STDDEV</t>
  </si>
  <si>
    <t>Delta examples</t>
  </si>
  <si>
    <t>F4 ES</t>
  </si>
  <si>
    <t>F5 ESP</t>
  </si>
  <si>
    <t>Overall w/o complexity</t>
  </si>
  <si>
    <t>Overall w/ complexity</t>
  </si>
  <si>
    <t>tokens</t>
  </si>
  <si>
    <t>All complexities</t>
  </si>
  <si>
    <t>1-1 &amp; 1 - bicycle manufacturing &amp; 42 &amp; 8 &amp; 18 &amp; 3133 &amp; 0,952383697368201 &amp; medium \\ \hline</t>
  </si>
  <si>
    <t>1-2 &amp; 2 - Computer repair &amp; 48 &amp; 12 &amp; 22 &amp; 2972 &amp; 1,10420710835767 &amp; medium \\ \hline</t>
  </si>
  <si>
    <t>1-3 &amp; 3 - Hotel Service &amp; 57 &amp; 10 &amp; 23 &amp; 4348 &amp; 1,76229995367888 &amp; medium \\ \hline</t>
  </si>
  <si>
    <t>1-4 &amp; 4 - Underwriters &amp; 47 &amp; 13 &amp; 23 &amp; 3120 &amp; 1,16797631857972 &amp; medium \\ \hline</t>
  </si>
  <si>
    <t>2-1 &amp; SLA Violation &amp; 169 &amp; 18 &amp; 59 &amp; 10886 &amp; 12,0110838634834 &amp; high \\ \hline</t>
  </si>
  <si>
    <t>2-2 &amp; Supplier Switch &amp; 130 &amp; 16 &amp; 50 &amp; 8238 &amp; 7,14167867996337 &amp; high \\ \hline</t>
  </si>
  <si>
    <t>3-1 &amp; 2009-1 MC Finalise SCT Warrant Possession &amp; 35 &amp; 9 &amp; 8 &amp; 2516 &amp; 0,686926345917722 &amp; medium \\ \hline</t>
  </si>
  <si>
    <t>3-2 &amp; 2009-2 Conduct Directiosn Hearings &amp; 21 &amp; 4 &amp; 10 &amp; 1456 &amp; 0,221300776151947 &amp; low \\ \hline</t>
  </si>
  <si>
    <t>3-4 &amp; 2009-4 event-based gateways &amp; 14 &amp; 7 &amp; 7 &amp; 1106 &amp; 0,152538337693053 &amp; low \\ \hline</t>
  </si>
  <si>
    <t>3-6 &amp; 2010-1 Claims Notification &amp; 24 &amp; 5 &amp; 12 &amp; 1577 &amp; 0,279640483967645 &amp; low \\ \hline</t>
  </si>
  <si>
    <t>3-7 &amp; 2010-2 Claims Creation &amp; 33 &amp; 8 &amp; 8 &amp; 2218 &amp; 0,561864836887613 &amp; low \\ \hline</t>
  </si>
  <si>
    <t>3-8 &amp; 2010-3 Cleams Handling &amp; 33 &amp; 8 &amp; 12 &amp; 2317 &amp; 0,586943564954283 &amp; low \\ \hline</t>
  </si>
  <si>
    <t>4-1 &amp; PhD Thesis - Hajo Reijers &amp; 75 &amp; 12 &amp; 31 &amp; 5337 &amp; 2,79407429120965 &amp; high \\ \hline</t>
  </si>
  <si>
    <t>5-1 &amp; Active VOS &amp; 13 &amp; 6 &amp; 7 &amp; 1059 &amp; 0,131152459370881 &amp; low \\ \hline</t>
  </si>
  <si>
    <t>5-2 &amp; BizAgi 1 &amp; 20 &amp; 8 &amp; 8 &amp; 1550 &amp; 0,27921546848638 &amp; low \\ \hline</t>
  </si>
  <si>
    <t>5-3 &amp; BizAgi 2 &amp; 33 &amp; 12 &amp; 15 &amp; 2497 &amp; 0,716880085994658 &amp; medium \\ \hline</t>
  </si>
  <si>
    <t>6-1 &amp; ACME &amp; 72 &amp; 11 &amp; 25 &amp; 5013 &amp; 2,49746133471203 &amp; high \\ \hline</t>
  </si>
  <si>
    <t>6-2 &amp; Help - Tutorial &amp; 14 &amp; 6 &amp; 6 &amp; 949 &amp; 0,122871694166375 &amp; low \\ \hline</t>
  </si>
  <si>
    <t>6-3 &amp; Powerlicht &amp; 24 &amp; 8 &amp; 10 &amp; 1854 &amp; 0,375724944126108 &amp; low \\ \hline</t>
  </si>
  <si>
    <t>6-4 &amp; Turbopixel &amp; 67 &amp; 15 &amp; 30 &amp; 4884 &amp; 2,46068764423043 &amp; high \\ \hline</t>
  </si>
  <si>
    <t>7-1 &amp; Frank Puhlmann - Calling Leads &amp; 21 &amp; 9 &amp; 8 &amp; 1706 &amp; 0,3313263070303 &amp; low \\ \hline</t>
  </si>
  <si>
    <t>8-1 &amp; HR process - Simple &amp; 20 &amp; 8 &amp; 7 &amp; 1668 &amp; 0,30047187189373 &amp; low \\ \hline</t>
  </si>
  <si>
    <t>8-2 &amp; HR Process - HR &amp; 32 &amp; 9 &amp; 11 &amp; 2037 &amp; 0,521747315997125 &amp; low \\ \hline</t>
  </si>
  <si>
    <t>8-3 &amp; HR Process - Functional Department &amp; 31 &amp; 9 &amp; 11 &amp; 2021 &amp; 0,506272249003797 &amp; low \\ \hline</t>
  </si>
  <si>
    <t>8-4 &amp; Job posting appointment &amp; 110 &amp; 13 &amp; 48 &amp; 8607 &amp; 6,27450354990856 &amp; high \\ \hline</t>
  </si>
  <si>
    <t>8-5 &amp; Business Trip &amp; 109 &amp; 11 &amp; 49 &amp; 8634 &amp; 6,09977152301172 &amp; high \\ \hline</t>
  </si>
  <si>
    <t>8-6 &amp; Job posting &amp; 78 &amp; 12 &amp; 33 &amp; 6082 &amp; 3,28681641161451 &amp; high \\ \hline</t>
  </si>
  <si>
    <t>8-7 &amp; Promotion &amp; 77 &amp; 11 &amp; 33 &amp; 6105 &amp; 3,2133281387646 &amp; high \\ \hline</t>
  </si>
  <si>
    <t>9-1 &amp; Exercise 1 &amp; 55 &amp; 10 &amp; 30 &amp; 3380 &amp; 1,33190281943301 &amp; medium \\ \hline</t>
  </si>
  <si>
    <t>9-2 &amp; Exercise 2 &amp; 36 &amp; 15 &amp; 16 &amp; 3049 &amp; 1,00408640846322 &amp; medium \\ \hline</t>
  </si>
  <si>
    <t>9-3 &amp; Exercise 3a &amp; 36 &amp; 11 &amp; 16 &amp; 2600 &amp; 0,768405472749816 &amp; medium \\ \hline</t>
  </si>
  <si>
    <t>9-4 &amp; Exercise 3b &amp; 39 &amp; 13 &amp; 17 &amp; 2961 &amp; 0,975106544919517 &amp; medium \\ \hline</t>
  </si>
  <si>
    <t>10-1 &amp; B2 &amp; 27 &amp; 11 &amp; 12 &amp; 1723 &amp; 0,421922156669122 &amp; low \\ \hline</t>
  </si>
  <si>
    <t>10-2 &amp; B3 &amp; 116 &amp; 15 &amp; 49 &amp; 7018 &amp; 5,47168308186456 &amp; high \\ \hline</t>
  </si>
  <si>
    <t>10-3 &amp; B4 &amp; 64 &amp; 12 &amp; 27 &amp; 3878 &amp; 1,79010891364506 &amp; medium \\ \hline</t>
  </si>
  <si>
    <t>10-5 &amp; B5.2 &amp; 19 &amp; 9 &amp; 8 &amp; 1250 &amp; 0,228692104985064 &amp; low \\ \hline</t>
  </si>
  <si>
    <t>10-12 &amp; D1 &amp; 34 &amp; 12 &amp; 15 &amp; 2113 &amp; 0,618529814826804 &amp; medium \\ \hline</t>
  </si>
  <si>
    <t>Basic prompt template</t>
  </si>
  <si>
    <t>System role</t>
  </si>
  <si>
    <t>Prefix primer</t>
  </si>
  <si>
    <t>Output instructions</t>
  </si>
  <si>
    <t>All but prefix primer</t>
  </si>
  <si>
    <t>Other example</t>
  </si>
  <si>
    <t>Tokens</t>
  </si>
  <si>
    <t>Difference setups</t>
  </si>
  <si>
    <t>Difference response mode</t>
  </si>
  <si>
    <t>CS</t>
  </si>
  <si>
    <t>CSP</t>
  </si>
  <si>
    <t>1shot RALLM</t>
  </si>
  <si>
    <t>1shot LLM</t>
  </si>
  <si>
    <t>DIFF</t>
  </si>
  <si>
    <t>high/6-4</t>
  </si>
  <si>
    <t>1shot LLM (until 6-4)</t>
  </si>
  <si>
    <t>3-7 not retrieved</t>
  </si>
  <si>
    <t>3-8 not retrieved</t>
  </si>
  <si>
    <t>5-1 not retrieved</t>
  </si>
  <si>
    <t>6-2 not retrieved</t>
  </si>
  <si>
    <t>different 1st example</t>
  </si>
  <si>
    <t>Round 3+4</t>
  </si>
  <si>
    <t>STD</t>
  </si>
  <si>
    <t>STDEV</t>
  </si>
  <si>
    <t>STDEV Round</t>
  </si>
  <si>
    <t>STDEV Total</t>
  </si>
  <si>
    <t>Average Total</t>
  </si>
  <si>
    <t>STDEV complexity</t>
  </si>
  <si>
    <t>Avg Total</t>
  </si>
  <si>
    <t>SD</t>
  </si>
  <si>
    <t>Avg</t>
  </si>
  <si>
    <t>Model complexity</t>
  </si>
  <si>
    <t>AVG</t>
  </si>
  <si>
    <t>0shot caability threshold</t>
  </si>
  <si>
    <t>1shot caability threshold</t>
  </si>
  <si>
    <t>N/A</t>
  </si>
  <si>
    <t>6-4 &amp; k=3 &amp; 0.552238805970149 &amp; 0.755102040816326 &amp; 0.637931034482759 &amp; 0.533333333333333 &amp; 1 &amp; 0.695652173913044 &amp; 0.508196721311475 &amp; 0.704545454545455 &amp; 0.590476190476191 &amp; 1 &amp; 1 &amp; 0.0333333333333333 &amp; 1 \\ \hline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</si>
</sst>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font>
      <sz val="11"/>
      <color theme="1"/>
      <name val="Calibri"/>
      <family val="2"/>
      <scheme val="minor"/>
    </font>
    <font>
      <b/>
      <sz val="11"/>
      <color theme="1"/>
      <name val="Calibri"/>
      <family val="2"/>
      <scheme val="minor"/>
    </font>
    <font>
      <sz val="12"/>
      <color rgb="FF3F3F76"/>
      <name val="Calibri"/>
      <family val="2"/>
      <scheme val="minor"/>
    </font>
    <font>
      <b/>
      <sz val="12"/>
      <color rgb="FFFA7D00"/>
      <name val="Calibri"/>
      <family val="2"/>
      <scheme val="minor"/>
    </font>
    <font>
      <sz val="8"/>
      <name val="Calibri"/>
      <family val="2"/>
      <scheme val="minor"/>
    </font>
    <font>
      <sz val="11"/>
      <color theme="0" tint="-0.34998626667073579"/>
      <name val="Calibri"/>
      <family val="2"/>
      <scheme val="minor"/>
    </font>
    <font>
      <sz val="11"/>
      <color rgb="FFC00000"/>
      <name val="Calibri"/>
      <family val="2"/>
      <scheme val="minor"/>
    </font>
    <font>
      <sz val="11"/>
      <color rgb="FF92D050"/>
      <name val="Calibri"/>
      <family val="2"/>
      <scheme val="minor"/>
    </font>
    <font>
      <b/>
      <sz val="11"/>
      <color rgb="FF92D050"/>
      <name val="Calibri"/>
      <family val="2"/>
      <scheme val="minor"/>
    </font>
    <font>
      <b/>
      <sz val="11"/>
      <color theme="0" tint="-0.249977111117893"/>
      <name val="Calibri"/>
      <family val="2"/>
      <scheme val="minor"/>
    </font>
    <font>
      <b/>
      <sz val="11"/>
      <color rgb="FFC00000"/>
      <name val="Calibri"/>
      <family val="2"/>
      <scheme val="minor"/>
    </font>
    <font>
      <b/>
      <sz val="11"/>
      <color rgb="FF000000"/>
      <name val="Calibri"/>
      <family val="2"/>
      <scheme val="minor"/>
    </font>
    <font>
      <i/>
      <sz val="12"/>
      <color theme="1"/>
      <name val="Helvetica"/>
      <family val="2"/>
    </font>
  </fonts>
  <fills count="19">
    <fill>
      <patternFill patternType="none"/>
    </fill>
    <fill>
      <patternFill patternType="gray125"/>
    </fill>
    <fill>
      <patternFill patternType="solid">
        <fgColor rgb="FFFFCC99"/>
      </patternFill>
    </fill>
    <fill>
      <patternFill patternType="solid">
        <fgColor rgb="FFF2F2F2"/>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C00000"/>
        <bgColor indexed="64"/>
      </patternFill>
    </fill>
    <fill>
      <patternFill patternType="solid">
        <fgColor theme="9"/>
        <bgColor indexed="64"/>
      </patternFill>
    </fill>
    <fill>
      <patternFill patternType="solid">
        <fgColor theme="3"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79998168889431442"/>
        <bgColor indexed="64"/>
      </patternFill>
    </fill>
  </fills>
  <borders count="28">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style="thin">
        <color rgb="FF7F7F7F"/>
      </right>
      <top/>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
      <left style="thin">
        <color rgb="FF7F7F7F"/>
      </left>
      <right style="thin">
        <color rgb="FF7F7F7F"/>
      </right>
      <top/>
      <bottom style="thin">
        <color rgb="FF7F7F7F"/>
      </bottom>
      <diagonal/>
    </border>
    <border>
      <left style="thin">
        <color rgb="FF7F7F7F"/>
      </left>
      <right style="thin">
        <color indexed="64"/>
      </right>
      <top style="thin">
        <color rgb="FF7F7F7F"/>
      </top>
      <bottom/>
      <diagonal/>
    </border>
    <border>
      <left style="thin">
        <color rgb="FF7F7F7F"/>
      </left>
      <right style="thin">
        <color indexed="64"/>
      </right>
      <top/>
      <bottom/>
      <diagonal/>
    </border>
    <border>
      <left style="thin">
        <color rgb="FF7F7F7F"/>
      </left>
      <right style="thin">
        <color indexed="64"/>
      </right>
      <top/>
      <bottom style="thin">
        <color rgb="FF7F7F7F"/>
      </bottom>
      <diagonal/>
    </border>
    <border>
      <left/>
      <right style="thin">
        <color rgb="FF7F7F7F"/>
      </right>
      <top style="thin">
        <color rgb="FF7F7F7F"/>
      </top>
      <bottom/>
      <diagonal/>
    </border>
    <border>
      <left style="thin">
        <color indexed="64"/>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dashed">
        <color indexed="64"/>
      </bottom>
      <diagonal/>
    </border>
    <border>
      <left/>
      <right/>
      <top style="double">
        <color indexed="64"/>
      </top>
      <bottom/>
      <diagonal/>
    </border>
  </borders>
  <cellStyleXfs count="3">
    <xf numFmtId="0" fontId="0" fillId="0" borderId="0"/>
    <xf numFmtId="0" fontId="2" fillId="2" borderId="4" applyNumberFormat="0" applyAlignment="0" applyProtection="0"/>
    <xf numFmtId="0" fontId="3" fillId="3" borderId="4" applyNumberFormat="0" applyAlignment="0" applyProtection="0"/>
  </cellStyleXfs>
  <cellXfs count="349">
    <xf numFmtId="0" fontId="0" fillId="0" borderId="0" xfId="0"/>
    <xf numFmtId="0" fontId="1" fillId="0" borderId="0" xfId="0" applyFont="1"/>
    <xf numFmtId="0" fontId="0" fillId="0" borderId="0" xfId="0" applyAlignment="1">
      <alignment horizontal="center"/>
    </xf>
    <xf numFmtId="10" fontId="0" fillId="0" borderId="0" xfId="0" applyNumberFormat="1"/>
    <xf numFmtId="0" fontId="1" fillId="0" borderId="1" xfId="0" applyFont="1" applyBorder="1"/>
    <xf numFmtId="0" fontId="0" fillId="0" borderId="2" xfId="0" applyBorder="1"/>
    <xf numFmtId="0" fontId="0" fillId="0" borderId="0" xfId="0" applyFont="1"/>
    <xf numFmtId="0" fontId="0" fillId="0" borderId="0" xfId="0" applyBorder="1"/>
    <xf numFmtId="0" fontId="1" fillId="0" borderId="0" xfId="0" applyFont="1" applyBorder="1" applyAlignment="1">
      <alignment horizontal="left"/>
    </xf>
    <xf numFmtId="0" fontId="0" fillId="0" borderId="0" xfId="0" applyNumberFormat="1" applyBorder="1"/>
    <xf numFmtId="10" fontId="0" fillId="0" borderId="0" xfId="0" applyNumberFormat="1" applyBorder="1"/>
    <xf numFmtId="0" fontId="1" fillId="0" borderId="0" xfId="0" applyFont="1" applyBorder="1"/>
    <xf numFmtId="10" fontId="0" fillId="0" borderId="0" xfId="0" applyNumberFormat="1" applyAlignment="1">
      <alignment horizontal="right"/>
    </xf>
    <xf numFmtId="2" fontId="0" fillId="0" borderId="0" xfId="0" applyNumberFormat="1"/>
    <xf numFmtId="0" fontId="0" fillId="0" borderId="0" xfId="0" applyFill="1"/>
    <xf numFmtId="0" fontId="0" fillId="0" borderId="0" xfId="0" applyFont="1" applyFill="1"/>
    <xf numFmtId="0" fontId="1" fillId="0" borderId="0" xfId="0" applyFont="1" applyFill="1" applyAlignment="1">
      <alignment horizontal="right"/>
    </xf>
    <xf numFmtId="0" fontId="1" fillId="0" borderId="1" xfId="0" applyFont="1" applyFill="1" applyBorder="1"/>
    <xf numFmtId="0" fontId="1" fillId="0" borderId="1" xfId="0" applyFont="1" applyBorder="1" applyAlignment="1">
      <alignment horizontal="center"/>
    </xf>
    <xf numFmtId="49" fontId="0" fillId="0" borderId="0" xfId="0" applyNumberFormat="1" applyFill="1"/>
    <xf numFmtId="49" fontId="0" fillId="0" borderId="0" xfId="0" applyNumberFormat="1"/>
    <xf numFmtId="10" fontId="1" fillId="0" borderId="1" xfId="0" applyNumberFormat="1" applyFont="1" applyFill="1" applyBorder="1"/>
    <xf numFmtId="0" fontId="0" fillId="0" borderId="3" xfId="0" applyBorder="1"/>
    <xf numFmtId="0" fontId="1" fillId="0" borderId="3" xfId="0" applyFont="1" applyBorder="1"/>
    <xf numFmtId="0" fontId="0" fillId="0" borderId="1" xfId="0" applyBorder="1"/>
    <xf numFmtId="0" fontId="1" fillId="0" borderId="0" xfId="0" applyFont="1" applyFill="1"/>
    <xf numFmtId="49" fontId="0" fillId="0" borderId="0" xfId="0" applyNumberFormat="1" applyFont="1" applyFill="1" applyBorder="1"/>
    <xf numFmtId="0" fontId="0" fillId="0" borderId="0" xfId="0" applyFont="1" applyFill="1" applyBorder="1"/>
    <xf numFmtId="0" fontId="0" fillId="0" borderId="0" xfId="0" applyFont="1" applyFill="1" applyBorder="1" applyAlignment="1">
      <alignment horizontal="center"/>
    </xf>
    <xf numFmtId="2" fontId="0" fillId="0" borderId="0" xfId="0" applyNumberFormat="1" applyFont="1" applyFill="1" applyBorder="1"/>
    <xf numFmtId="10" fontId="0" fillId="0" borderId="0" xfId="0" applyNumberFormat="1" applyFont="1" applyFill="1" applyBorder="1"/>
    <xf numFmtId="10" fontId="0" fillId="0" borderId="0" xfId="0" applyNumberFormat="1" applyFont="1" applyFill="1" applyBorder="1" applyAlignment="1">
      <alignment horizontal="right"/>
    </xf>
    <xf numFmtId="49" fontId="1" fillId="0" borderId="0" xfId="0" applyNumberFormat="1" applyFont="1" applyFill="1" applyBorder="1"/>
    <xf numFmtId="0" fontId="1" fillId="0" borderId="0" xfId="0" applyFont="1" applyFill="1" applyBorder="1"/>
    <xf numFmtId="0" fontId="1" fillId="0" borderId="0" xfId="0" applyFont="1" applyFill="1" applyBorder="1" applyAlignment="1">
      <alignment horizontal="right"/>
    </xf>
    <xf numFmtId="0" fontId="1" fillId="0" borderId="0" xfId="0" applyFont="1" applyFill="1" applyBorder="1" applyAlignment="1">
      <alignment horizontal="center"/>
    </xf>
    <xf numFmtId="2" fontId="1" fillId="0" borderId="0" xfId="0" applyNumberFormat="1" applyFont="1" applyFill="1" applyBorder="1"/>
    <xf numFmtId="10" fontId="1" fillId="0" borderId="0" xfId="0" applyNumberFormat="1" applyFont="1" applyFill="1" applyBorder="1"/>
    <xf numFmtId="2" fontId="1" fillId="0" borderId="0" xfId="0" applyNumberFormat="1" applyFont="1" applyFill="1" applyBorder="1" applyAlignment="1">
      <alignment horizontal="right"/>
    </xf>
    <xf numFmtId="10" fontId="1" fillId="0" borderId="0" xfId="0" applyNumberFormat="1" applyFont="1" applyFill="1" applyBorder="1" applyAlignment="1">
      <alignment horizontal="right"/>
    </xf>
    <xf numFmtId="0" fontId="1" fillId="0" borderId="0" xfId="0" applyFont="1" applyFill="1" applyBorder="1" applyAlignment="1"/>
    <xf numFmtId="0" fontId="0" fillId="0" borderId="0" xfId="0" applyFill="1" applyBorder="1"/>
    <xf numFmtId="49" fontId="0" fillId="0" borderId="0" xfId="0" applyNumberFormat="1" applyBorder="1"/>
    <xf numFmtId="0" fontId="0" fillId="0" borderId="0" xfId="0" applyFont="1" applyBorder="1"/>
    <xf numFmtId="2" fontId="0" fillId="0" borderId="0" xfId="0" applyNumberFormat="1" applyBorder="1"/>
    <xf numFmtId="10" fontId="0" fillId="0" borderId="0" xfId="0" applyNumberFormat="1" applyBorder="1" applyAlignment="1">
      <alignment horizontal="right"/>
    </xf>
    <xf numFmtId="164" fontId="0" fillId="0" borderId="0" xfId="0" applyNumberFormat="1"/>
    <xf numFmtId="0" fontId="0" fillId="0" borderId="0" xfId="0" applyAlignment="1">
      <alignment horizontal="left"/>
    </xf>
    <xf numFmtId="0" fontId="0" fillId="0" borderId="0" xfId="0" applyAlignment="1">
      <alignment horizontal="left"/>
    </xf>
    <xf numFmtId="0" fontId="0" fillId="4" borderId="0" xfId="0" applyFont="1" applyFill="1" applyBorder="1"/>
    <xf numFmtId="0" fontId="0" fillId="4" borderId="0" xfId="0" applyFill="1"/>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1" fillId="0" borderId="0" xfId="0" applyFont="1" applyFill="1" applyBorder="1" applyAlignment="1">
      <alignment horizontal="left"/>
    </xf>
    <xf numFmtId="0" fontId="0" fillId="0" borderId="0" xfId="0" applyFont="1" applyBorder="1" applyAlignment="1">
      <alignment horizontal="left"/>
    </xf>
    <xf numFmtId="0" fontId="0" fillId="0" borderId="0" xfId="0" applyFont="1" applyAlignment="1">
      <alignment horizontal="left"/>
    </xf>
    <xf numFmtId="0" fontId="0" fillId="0" borderId="0" xfId="0" applyFont="1" applyFill="1" applyBorder="1" applyAlignment="1">
      <alignment horizontal="left" wrapText="1"/>
    </xf>
    <xf numFmtId="49" fontId="1" fillId="4" borderId="0" xfId="0" applyNumberFormat="1" applyFont="1" applyFill="1" applyBorder="1" applyAlignment="1">
      <alignment wrapText="1"/>
    </xf>
    <xf numFmtId="0" fontId="1" fillId="4" borderId="0" xfId="0" applyFont="1" applyFill="1" applyBorder="1" applyAlignment="1">
      <alignment horizontal="center" wrapText="1"/>
    </xf>
    <xf numFmtId="2" fontId="1" fillId="4" borderId="0" xfId="0" applyNumberFormat="1" applyFont="1" applyFill="1" applyBorder="1" applyAlignment="1">
      <alignment horizontal="center" wrapText="1"/>
    </xf>
    <xf numFmtId="10" fontId="1" fillId="4" borderId="0" xfId="0" applyNumberFormat="1" applyFont="1" applyFill="1" applyBorder="1" applyAlignment="1">
      <alignment horizontal="center" wrapText="1"/>
    </xf>
    <xf numFmtId="0" fontId="1" fillId="4" borderId="0" xfId="0" applyFont="1" applyFill="1" applyBorder="1" applyAlignment="1">
      <alignment horizontal="left" wrapText="1"/>
    </xf>
    <xf numFmtId="0" fontId="1" fillId="4" borderId="0" xfId="0" applyFont="1" applyFill="1" applyAlignment="1">
      <alignment wrapText="1"/>
    </xf>
    <xf numFmtId="0" fontId="1" fillId="0" borderId="0" xfId="0" applyFont="1" applyFill="1" applyAlignment="1">
      <alignment horizontal="center"/>
    </xf>
    <xf numFmtId="0" fontId="1" fillId="4" borderId="0" xfId="0" applyFont="1" applyFill="1" applyBorder="1" applyAlignment="1">
      <alignment wrapText="1"/>
    </xf>
    <xf numFmtId="0" fontId="1" fillId="4" borderId="5" xfId="0" applyFont="1" applyFill="1" applyBorder="1" applyAlignment="1">
      <alignment horizontal="left" wrapText="1"/>
    </xf>
    <xf numFmtId="0" fontId="1" fillId="0" borderId="5" xfId="0" applyFont="1" applyFill="1" applyBorder="1" applyAlignment="1">
      <alignment horizontal="left"/>
    </xf>
    <xf numFmtId="0" fontId="0" fillId="0" borderId="0" xfId="0" applyFill="1" applyAlignment="1">
      <alignment horizontal="center"/>
    </xf>
    <xf numFmtId="0" fontId="0" fillId="0" borderId="5" xfId="0" applyFont="1" applyFill="1" applyBorder="1" applyAlignment="1">
      <alignment horizontal="left" vertical="top"/>
    </xf>
    <xf numFmtId="0" fontId="0" fillId="0" borderId="5" xfId="0" applyFont="1" applyFill="1" applyBorder="1" applyAlignment="1">
      <alignment horizontal="left"/>
    </xf>
    <xf numFmtId="0" fontId="1" fillId="0" borderId="5" xfId="0" applyFont="1" applyFill="1" applyBorder="1"/>
    <xf numFmtId="164" fontId="0" fillId="0" borderId="0" xfId="0" applyNumberFormat="1" applyFill="1"/>
    <xf numFmtId="0" fontId="0" fillId="0" borderId="0" xfId="0" applyFont="1" applyFill="1" applyBorder="1" applyAlignment="1">
      <alignment horizontal="left" vertical="top" wrapText="1"/>
    </xf>
    <xf numFmtId="0" fontId="1" fillId="8" borderId="0" xfId="0" applyFont="1" applyFill="1"/>
    <xf numFmtId="0" fontId="1" fillId="8" borderId="0" xfId="0" applyFont="1" applyFill="1" applyAlignment="1">
      <alignment wrapText="1"/>
    </xf>
    <xf numFmtId="0" fontId="0" fillId="8" borderId="0" xfId="0" applyFill="1"/>
    <xf numFmtId="49" fontId="1" fillId="0" borderId="0" xfId="0" applyNumberFormat="1" applyFont="1" applyAlignment="1">
      <alignment horizontal="center"/>
    </xf>
    <xf numFmtId="0" fontId="0" fillId="0" borderId="0" xfId="0" applyAlignment="1"/>
    <xf numFmtId="164" fontId="0" fillId="8" borderId="0" xfId="0" applyNumberFormat="1" applyFill="1"/>
    <xf numFmtId="0" fontId="1" fillId="0" borderId="0" xfId="0" applyFont="1" applyAlignment="1">
      <alignment horizontal="center"/>
    </xf>
    <xf numFmtId="0" fontId="1" fillId="8" borderId="5" xfId="0" applyFont="1" applyFill="1" applyBorder="1"/>
    <xf numFmtId="0" fontId="0" fillId="0" borderId="5" xfId="0" applyBorder="1"/>
    <xf numFmtId="0" fontId="1" fillId="0" borderId="5" xfId="0" applyFont="1" applyBorder="1"/>
    <xf numFmtId="0" fontId="0" fillId="8" borderId="6" xfId="0" applyFill="1" applyBorder="1"/>
    <xf numFmtId="0" fontId="1" fillId="12" borderId="6" xfId="0" applyFont="1" applyFill="1" applyBorder="1"/>
    <xf numFmtId="0" fontId="0" fillId="12" borderId="6" xfId="0" applyFill="1" applyBorder="1"/>
    <xf numFmtId="0" fontId="1" fillId="9" borderId="17" xfId="0" applyFont="1" applyFill="1" applyBorder="1" applyAlignment="1">
      <alignment horizontal="center" vertical="center" wrapText="1"/>
    </xf>
    <xf numFmtId="0" fontId="1" fillId="9" borderId="18"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1" fillId="11" borderId="17" xfId="0" applyFont="1" applyFill="1" applyBorder="1" applyAlignment="1">
      <alignment horizontal="center" vertical="center" wrapText="1"/>
    </xf>
    <xf numFmtId="0" fontId="1" fillId="8" borderId="0" xfId="0" applyFont="1" applyFill="1" applyAlignment="1">
      <alignment horizontal="center"/>
    </xf>
    <xf numFmtId="0" fontId="0" fillId="6" borderId="0" xfId="0" applyFill="1" applyAlignment="1"/>
    <xf numFmtId="49" fontId="1" fillId="6" borderId="0" xfId="0" applyNumberFormat="1" applyFont="1" applyFill="1" applyAlignment="1">
      <alignment horizontal="center"/>
    </xf>
    <xf numFmtId="14" fontId="1" fillId="8" borderId="0" xfId="0" applyNumberFormat="1" applyFont="1" applyFill="1"/>
    <xf numFmtId="14" fontId="0" fillId="8" borderId="0" xfId="0" applyNumberFormat="1" applyFill="1"/>
    <xf numFmtId="0" fontId="0" fillId="8" borderId="0" xfId="0" applyFill="1" applyAlignment="1">
      <alignment horizontal="center"/>
    </xf>
    <xf numFmtId="0" fontId="0" fillId="8" borderId="5" xfId="0" applyFill="1" applyBorder="1"/>
    <xf numFmtId="49" fontId="1" fillId="0" borderId="0" xfId="0" applyNumberFormat="1" applyFont="1" applyFill="1" applyAlignment="1">
      <alignment horizontal="center"/>
    </xf>
    <xf numFmtId="49" fontId="1" fillId="7" borderId="0" xfId="0" applyNumberFormat="1" applyFont="1" applyFill="1" applyAlignment="1">
      <alignment horizontal="center"/>
    </xf>
    <xf numFmtId="0" fontId="1" fillId="13" borderId="0" xfId="0" applyFont="1" applyFill="1"/>
    <xf numFmtId="0" fontId="0" fillId="13" borderId="0" xfId="0" applyFill="1"/>
    <xf numFmtId="0" fontId="1" fillId="13" borderId="0" xfId="0" applyFont="1" applyFill="1" applyAlignment="1">
      <alignment wrapText="1"/>
    </xf>
    <xf numFmtId="49" fontId="1" fillId="13" borderId="0" xfId="0" applyNumberFormat="1" applyFont="1" applyFill="1" applyAlignment="1">
      <alignment horizontal="center"/>
    </xf>
    <xf numFmtId="0" fontId="0" fillId="13" borderId="0" xfId="0" applyFill="1" applyAlignment="1"/>
    <xf numFmtId="0" fontId="1" fillId="13" borderId="0" xfId="0" applyFont="1" applyFill="1" applyAlignment="1"/>
    <xf numFmtId="0" fontId="0" fillId="8" borderId="0" xfId="0" applyFont="1" applyFill="1"/>
    <xf numFmtId="0" fontId="0" fillId="5" borderId="0" xfId="0" applyFill="1"/>
    <xf numFmtId="0" fontId="0" fillId="0" borderId="0" xfId="0" applyFill="1" applyAlignment="1"/>
    <xf numFmtId="0" fontId="0" fillId="0" borderId="6" xfId="0" applyBorder="1" applyAlignment="1"/>
    <xf numFmtId="49" fontId="1" fillId="0" borderId="0" xfId="0" applyNumberFormat="1" applyFont="1" applyFill="1" applyAlignment="1">
      <alignment horizontal="left"/>
    </xf>
    <xf numFmtId="49" fontId="0" fillId="0" borderId="0" xfId="0" applyNumberFormat="1" applyFont="1" applyFill="1" applyAlignment="1">
      <alignment horizontal="left"/>
    </xf>
    <xf numFmtId="0" fontId="1" fillId="5" borderId="17" xfId="0" applyFont="1" applyFill="1" applyBorder="1" applyAlignment="1">
      <alignment horizontal="center" vertical="center" wrapText="1"/>
    </xf>
    <xf numFmtId="0" fontId="1" fillId="14" borderId="17" xfId="0" applyFont="1" applyFill="1" applyBorder="1" applyAlignment="1">
      <alignment horizontal="center" vertical="center" wrapText="1"/>
    </xf>
    <xf numFmtId="0" fontId="1" fillId="14" borderId="5" xfId="0" applyFont="1" applyFill="1" applyBorder="1"/>
    <xf numFmtId="0" fontId="0" fillId="14" borderId="5" xfId="0" applyFill="1" applyBorder="1"/>
    <xf numFmtId="0" fontId="0" fillId="10" borderId="17" xfId="0" applyFont="1" applyFill="1" applyBorder="1" applyAlignment="1">
      <alignment horizontal="center" vertical="center" wrapText="1"/>
    </xf>
    <xf numFmtId="0" fontId="1" fillId="13" borderId="17" xfId="0" applyFont="1" applyFill="1" applyBorder="1" applyAlignment="1">
      <alignment horizontal="center" vertical="center" wrapText="1"/>
    </xf>
    <xf numFmtId="2" fontId="0" fillId="13" borderId="0" xfId="0" applyNumberFormat="1" applyFill="1"/>
    <xf numFmtId="0" fontId="0" fillId="13" borderId="6" xfId="0" applyFill="1" applyBorder="1"/>
    <xf numFmtId="0" fontId="1" fillId="13" borderId="6" xfId="0" applyFont="1" applyFill="1" applyBorder="1"/>
    <xf numFmtId="0" fontId="1" fillId="13" borderId="5" xfId="0" applyFont="1" applyFill="1" applyBorder="1"/>
    <xf numFmtId="0" fontId="0" fillId="13" borderId="5" xfId="0" applyFill="1" applyBorder="1"/>
    <xf numFmtId="0" fontId="1" fillId="13" borderId="19" xfId="0" applyFont="1" applyFill="1" applyBorder="1" applyAlignment="1">
      <alignment horizontal="center" vertical="center" wrapText="1"/>
    </xf>
    <xf numFmtId="0" fontId="0" fillId="8" borderId="5" xfId="0" applyFont="1" applyFill="1" applyBorder="1"/>
    <xf numFmtId="0" fontId="0" fillId="0" borderId="5" xfId="0" applyFont="1" applyBorder="1"/>
    <xf numFmtId="164" fontId="0" fillId="0" borderId="0" xfId="0" applyNumberFormat="1" applyFont="1" applyFill="1"/>
    <xf numFmtId="164" fontId="1" fillId="0" borderId="5" xfId="0" applyNumberFormat="1" applyFont="1" applyBorder="1"/>
    <xf numFmtId="164" fontId="1" fillId="8" borderId="5" xfId="0" applyNumberFormat="1" applyFont="1" applyFill="1" applyBorder="1"/>
    <xf numFmtId="164" fontId="0" fillId="0" borderId="5" xfId="0" applyNumberFormat="1" applyFont="1" applyBorder="1"/>
    <xf numFmtId="164" fontId="0" fillId="8" borderId="5" xfId="0" applyNumberFormat="1" applyFont="1" applyFill="1" applyBorder="1"/>
    <xf numFmtId="164" fontId="0" fillId="0" borderId="5" xfId="0" applyNumberFormat="1" applyBorder="1"/>
    <xf numFmtId="164" fontId="0" fillId="8" borderId="5" xfId="0" applyNumberFormat="1" applyFill="1" applyBorder="1"/>
    <xf numFmtId="49" fontId="1" fillId="0" borderId="0" xfId="0" applyNumberFormat="1" applyFont="1" applyFill="1" applyBorder="1" applyAlignment="1">
      <alignment horizontal="center"/>
    </xf>
    <xf numFmtId="0" fontId="0" fillId="0" borderId="0" xfId="0" applyFill="1" applyBorder="1" applyAlignment="1">
      <alignment horizontal="center"/>
    </xf>
    <xf numFmtId="0" fontId="0" fillId="0" borderId="20" xfId="0" applyBorder="1"/>
    <xf numFmtId="49" fontId="1" fillId="0" borderId="20" xfId="0" applyNumberFormat="1" applyFont="1" applyFill="1" applyBorder="1" applyAlignment="1">
      <alignment horizontal="center"/>
    </xf>
    <xf numFmtId="0" fontId="0" fillId="0" borderId="20" xfId="0" applyBorder="1" applyAlignment="1">
      <alignment horizontal="center"/>
    </xf>
    <xf numFmtId="0" fontId="0" fillId="13" borderId="20" xfId="0" applyFill="1" applyBorder="1"/>
    <xf numFmtId="0" fontId="0" fillId="14" borderId="21" xfId="0" applyFill="1" applyBorder="1"/>
    <xf numFmtId="0" fontId="0" fillId="0" borderId="21" xfId="0" applyBorder="1"/>
    <xf numFmtId="0" fontId="0" fillId="0" borderId="21" xfId="0" applyFont="1" applyBorder="1"/>
    <xf numFmtId="0" fontId="1" fillId="0" borderId="21" xfId="0" applyFont="1" applyBorder="1"/>
    <xf numFmtId="0" fontId="0" fillId="13" borderId="21" xfId="0" applyFill="1" applyBorder="1"/>
    <xf numFmtId="0" fontId="0" fillId="13" borderId="22" xfId="0" applyFill="1" applyBorder="1"/>
    <xf numFmtId="0" fontId="0" fillId="12" borderId="22" xfId="0" applyFill="1" applyBorder="1"/>
    <xf numFmtId="164" fontId="0" fillId="0" borderId="0" xfId="0" applyNumberFormat="1" applyFont="1" applyBorder="1"/>
    <xf numFmtId="164" fontId="0" fillId="0" borderId="0" xfId="0" applyNumberFormat="1" applyFont="1" applyBorder="1" applyAlignment="1">
      <alignment horizontal="center"/>
    </xf>
    <xf numFmtId="0" fontId="0" fillId="4" borderId="0" xfId="0" applyFill="1" applyAlignment="1">
      <alignment horizontal="center"/>
    </xf>
    <xf numFmtId="164" fontId="0" fillId="0" borderId="0" xfId="0" applyNumberFormat="1" applyAlignment="1">
      <alignment horizontal="center"/>
    </xf>
    <xf numFmtId="164" fontId="0" fillId="0" borderId="2" xfId="0" applyNumberFormat="1" applyFont="1" applyBorder="1" applyAlignment="1">
      <alignment horizontal="center"/>
    </xf>
    <xf numFmtId="164" fontId="1" fillId="0" borderId="0" xfId="0" applyNumberFormat="1" applyFont="1" applyAlignment="1">
      <alignment horizontal="center"/>
    </xf>
    <xf numFmtId="0" fontId="0" fillId="4" borderId="2" xfId="0" applyFill="1" applyBorder="1"/>
    <xf numFmtId="0" fontId="0" fillId="4" borderId="2" xfId="0" applyFill="1" applyBorder="1" applyAlignment="1">
      <alignment horizontal="center"/>
    </xf>
    <xf numFmtId="0" fontId="1" fillId="0" borderId="23" xfId="0" applyFont="1" applyBorder="1"/>
    <xf numFmtId="164" fontId="0" fillId="0" borderId="23" xfId="0" applyNumberFormat="1" applyBorder="1" applyAlignment="1">
      <alignment horizontal="center"/>
    </xf>
    <xf numFmtId="0" fontId="0" fillId="0" borderId="23" xfId="0" applyBorder="1"/>
    <xf numFmtId="0" fontId="0" fillId="8" borderId="0" xfId="0" applyFill="1" applyAlignment="1">
      <alignment horizontal="left"/>
    </xf>
    <xf numFmtId="0" fontId="0" fillId="7" borderId="0" xfId="0" applyFont="1" applyFill="1" applyBorder="1" applyAlignment="1">
      <alignment horizontal="left" vertical="top" wrapText="1"/>
    </xf>
    <xf numFmtId="49" fontId="0" fillId="0" borderId="0" xfId="0" applyNumberFormat="1" applyFont="1" applyFill="1" applyBorder="1" applyAlignment="1">
      <alignment horizontal="left"/>
    </xf>
    <xf numFmtId="49" fontId="0" fillId="5" borderId="0" xfId="0" applyNumberFormat="1" applyFont="1" applyFill="1" applyBorder="1" applyAlignment="1">
      <alignment horizontal="left"/>
    </xf>
    <xf numFmtId="49" fontId="1" fillId="0" borderId="0" xfId="0" applyNumberFormat="1" applyFont="1" applyFill="1" applyBorder="1" applyAlignment="1">
      <alignment horizontal="left"/>
    </xf>
    <xf numFmtId="0" fontId="0" fillId="7" borderId="0" xfId="0" applyFont="1" applyFill="1" applyBorder="1" applyAlignment="1">
      <alignment horizontal="left" wrapText="1"/>
    </xf>
    <xf numFmtId="0" fontId="0" fillId="0" borderId="5" xfId="0" applyFill="1" applyBorder="1"/>
    <xf numFmtId="0" fontId="0" fillId="5" borderId="0" xfId="0" applyFill="1" applyAlignment="1">
      <alignment horizontal="left"/>
    </xf>
    <xf numFmtId="49" fontId="0" fillId="5" borderId="0" xfId="0" applyNumberFormat="1" applyFill="1" applyAlignment="1">
      <alignment horizontal="left"/>
    </xf>
    <xf numFmtId="0" fontId="0" fillId="0" borderId="0" xfId="0" applyNumberFormat="1" applyFill="1" applyAlignment="1">
      <alignment horizontal="center"/>
    </xf>
    <xf numFmtId="0" fontId="0" fillId="0" borderId="0" xfId="0" applyNumberFormat="1" applyFont="1" applyFill="1" applyAlignment="1">
      <alignment horizontal="center"/>
    </xf>
    <xf numFmtId="0" fontId="1" fillId="0" borderId="0" xfId="0" applyNumberFormat="1" applyFont="1" applyFill="1" applyAlignment="1">
      <alignment horizontal="center"/>
    </xf>
    <xf numFmtId="0" fontId="0" fillId="0" borderId="0" xfId="0" applyNumberFormat="1" applyFont="1" applyFill="1" applyBorder="1"/>
    <xf numFmtId="0" fontId="1" fillId="0" borderId="0" xfId="0" applyNumberFormat="1" applyFont="1" applyFill="1" applyBorder="1"/>
    <xf numFmtId="0" fontId="0" fillId="5" borderId="0" xfId="0" applyNumberFormat="1" applyFont="1" applyFill="1" applyBorder="1"/>
    <xf numFmtId="0" fontId="0" fillId="7" borderId="0" xfId="0" applyNumberFormat="1" applyFont="1" applyFill="1" applyBorder="1"/>
    <xf numFmtId="49" fontId="0" fillId="0" borderId="0" xfId="0" applyNumberFormat="1" applyFill="1" applyAlignment="1">
      <alignment horizontal="left"/>
    </xf>
    <xf numFmtId="0" fontId="0" fillId="0" borderId="0" xfId="0" applyAlignment="1">
      <alignment horizontal="left"/>
    </xf>
    <xf numFmtId="0" fontId="1" fillId="0" borderId="1" xfId="0" applyFont="1" applyBorder="1" applyAlignment="1">
      <alignment horizontal="center"/>
    </xf>
    <xf numFmtId="49" fontId="0" fillId="5" borderId="0" xfId="0" applyNumberFormat="1" applyFill="1" applyAlignment="1">
      <alignment horizontal="center"/>
    </xf>
    <xf numFmtId="164" fontId="1" fillId="0" borderId="5" xfId="0" applyNumberFormat="1" applyFont="1" applyFill="1" applyBorder="1"/>
    <xf numFmtId="0" fontId="0" fillId="0" borderId="0" xfId="0" applyAlignment="1">
      <alignment horizontal="left"/>
    </xf>
    <xf numFmtId="0" fontId="1" fillId="0" borderId="1" xfId="0" applyFont="1" applyBorder="1" applyAlignment="1">
      <alignment horizontal="center"/>
    </xf>
    <xf numFmtId="0" fontId="0" fillId="0" borderId="2" xfId="0" applyFill="1" applyBorder="1"/>
    <xf numFmtId="164" fontId="0" fillId="0" borderId="2" xfId="0" applyNumberFormat="1" applyFont="1" applyBorder="1"/>
    <xf numFmtId="0" fontId="0" fillId="8" borderId="1" xfId="0" applyFill="1" applyBorder="1"/>
    <xf numFmtId="164" fontId="0" fillId="0" borderId="1" xfId="0" applyNumberFormat="1" applyFont="1" applyBorder="1" applyAlignment="1">
      <alignment horizontal="center"/>
    </xf>
    <xf numFmtId="0" fontId="0" fillId="0" borderId="1" xfId="0" applyFill="1" applyBorder="1"/>
    <xf numFmtId="164" fontId="0" fillId="0" borderId="1" xfId="0" applyNumberFormat="1" applyFont="1" applyBorder="1"/>
    <xf numFmtId="164" fontId="0" fillId="0" borderId="1" xfId="0" applyNumberFormat="1" applyBorder="1" applyAlignment="1">
      <alignment horizontal="center"/>
    </xf>
    <xf numFmtId="164" fontId="1" fillId="0" borderId="1" xfId="0" applyNumberFormat="1" applyFont="1" applyBorder="1" applyAlignment="1">
      <alignment horizontal="center"/>
    </xf>
    <xf numFmtId="164" fontId="1" fillId="0" borderId="0" xfId="0" applyNumberFormat="1" applyFont="1" applyAlignment="1">
      <alignment horizontal="center"/>
    </xf>
    <xf numFmtId="0" fontId="1" fillId="8" borderId="1" xfId="0" applyFont="1" applyFill="1" applyBorder="1" applyAlignment="1">
      <alignment horizontal="center"/>
    </xf>
    <xf numFmtId="0" fontId="1" fillId="8" borderId="1" xfId="0" applyFont="1" applyFill="1" applyBorder="1" applyAlignment="1">
      <alignment horizontal="center"/>
    </xf>
    <xf numFmtId="0" fontId="0" fillId="8" borderId="0" xfId="0" applyFill="1" applyAlignment="1"/>
    <xf numFmtId="164" fontId="0" fillId="0" borderId="0" xfId="0" applyNumberFormat="1" applyFont="1" applyFill="1" applyBorder="1" applyAlignment="1">
      <alignment horizontal="center"/>
    </xf>
    <xf numFmtId="164" fontId="0" fillId="0" borderId="2" xfId="0" applyNumberFormat="1" applyFont="1" applyFill="1" applyBorder="1" applyAlignment="1">
      <alignment horizontal="center"/>
    </xf>
    <xf numFmtId="164" fontId="1" fillId="0" borderId="0" xfId="0" applyNumberFormat="1" applyFont="1" applyAlignment="1"/>
    <xf numFmtId="0" fontId="1" fillId="8" borderId="1" xfId="0" applyFont="1" applyFill="1" applyBorder="1" applyAlignment="1"/>
    <xf numFmtId="164" fontId="1" fillId="6" borderId="0" xfId="0" applyNumberFormat="1" applyFont="1" applyFill="1" applyAlignment="1">
      <alignment horizontal="center"/>
    </xf>
    <xf numFmtId="164" fontId="0" fillId="6" borderId="23" xfId="0" applyNumberFormat="1" applyFill="1" applyBorder="1" applyAlignment="1">
      <alignment horizontal="center"/>
    </xf>
    <xf numFmtId="49" fontId="1" fillId="8" borderId="0" xfId="0" applyNumberFormat="1" applyFont="1" applyFill="1" applyAlignment="1">
      <alignment horizontal="center"/>
    </xf>
    <xf numFmtId="0" fontId="0" fillId="0" borderId="0" xfId="0" applyFill="1" applyAlignment="1">
      <alignment horizontal="left" wrapText="1"/>
    </xf>
    <xf numFmtId="0" fontId="0" fillId="0" borderId="0" xfId="0" applyFill="1" applyAlignment="1">
      <alignment horizontal="left" vertical="top" wrapText="1"/>
    </xf>
    <xf numFmtId="0" fontId="0" fillId="0" borderId="0" xfId="0" applyBorder="1" applyAlignment="1">
      <alignment horizontal="center"/>
    </xf>
    <xf numFmtId="0" fontId="0" fillId="14" borderId="0" xfId="0" applyFill="1" applyBorder="1"/>
    <xf numFmtId="164" fontId="1" fillId="0" borderId="0" xfId="0" applyNumberFormat="1" applyFont="1" applyBorder="1"/>
    <xf numFmtId="0" fontId="0" fillId="13" borderId="0" xfId="0" applyFill="1" applyBorder="1"/>
    <xf numFmtId="0" fontId="0" fillId="12" borderId="0" xfId="0" applyFill="1" applyBorder="1"/>
    <xf numFmtId="164" fontId="0" fillId="0" borderId="6" xfId="0" applyNumberFormat="1" applyFont="1" applyBorder="1" applyAlignment="1">
      <alignment horizontal="center"/>
    </xf>
    <xf numFmtId="164" fontId="0" fillId="0" borderId="24" xfId="0" applyNumberFormat="1" applyFont="1" applyBorder="1" applyAlignment="1">
      <alignment horizontal="center"/>
    </xf>
    <xf numFmtId="0" fontId="1" fillId="0" borderId="19" xfId="0" applyFont="1" applyBorder="1" applyAlignment="1">
      <alignment horizontal="center"/>
    </xf>
    <xf numFmtId="164" fontId="1" fillId="6" borderId="0" xfId="0" applyNumberFormat="1" applyFont="1" applyFill="1" applyAlignment="1">
      <alignment horizontal="center"/>
    </xf>
    <xf numFmtId="16" fontId="0" fillId="0" borderId="0" xfId="0" quotePrefix="1" applyNumberFormat="1" applyAlignment="1">
      <alignment horizontal="left"/>
    </xf>
    <xf numFmtId="0" fontId="0" fillId="0" borderId="0" xfId="0" quotePrefix="1" applyAlignment="1">
      <alignment horizontal="left"/>
    </xf>
    <xf numFmtId="0" fontId="0" fillId="0" borderId="0" xfId="0" quotePrefix="1"/>
    <xf numFmtId="0" fontId="0" fillId="4" borderId="0" xfId="0" applyFill="1" applyBorder="1"/>
    <xf numFmtId="164" fontId="0" fillId="4" borderId="0" xfId="0" applyNumberFormat="1" applyFont="1" applyFill="1" applyBorder="1" applyAlignment="1">
      <alignment horizontal="center"/>
    </xf>
    <xf numFmtId="164" fontId="1" fillId="0" borderId="0" xfId="0" applyNumberFormat="1" applyFont="1" applyFill="1" applyAlignment="1">
      <alignment horizontal="center"/>
    </xf>
    <xf numFmtId="164" fontId="1" fillId="0" borderId="0" xfId="0" applyNumberFormat="1" applyFont="1" applyFill="1" applyAlignment="1">
      <alignment horizontal="center"/>
    </xf>
    <xf numFmtId="164" fontId="1" fillId="0" borderId="0" xfId="0" applyNumberFormat="1" applyFont="1" applyFill="1" applyAlignment="1"/>
    <xf numFmtId="164" fontId="0" fillId="0" borderId="0" xfId="0" applyNumberFormat="1" applyFill="1" applyAlignment="1">
      <alignment horizontal="center"/>
    </xf>
    <xf numFmtId="164" fontId="0" fillId="0" borderId="1" xfId="0" applyNumberFormat="1" applyFont="1" applyFill="1" applyBorder="1" applyAlignment="1">
      <alignment horizontal="center"/>
    </xf>
    <xf numFmtId="164" fontId="0" fillId="0" borderId="1" xfId="0" applyNumberFormat="1" applyFont="1" applyFill="1" applyBorder="1"/>
    <xf numFmtId="0" fontId="1" fillId="0" borderId="23" xfId="0" applyFont="1" applyFill="1" applyBorder="1"/>
    <xf numFmtId="164" fontId="0" fillId="0" borderId="23" xfId="0" applyNumberFormat="1" applyFill="1" applyBorder="1" applyAlignment="1">
      <alignment horizontal="center"/>
    </xf>
    <xf numFmtId="0" fontId="0" fillId="0" borderId="23" xfId="0" applyFill="1" applyBorder="1"/>
    <xf numFmtId="0" fontId="0" fillId="0" borderId="0" xfId="0" applyNumberFormat="1" applyFont="1" applyFill="1" applyBorder="1" applyAlignment="1">
      <alignment horizontal="center"/>
    </xf>
    <xf numFmtId="0" fontId="0" fillId="0" borderId="2" xfId="0" applyNumberFormat="1" applyFont="1" applyFill="1" applyBorder="1" applyAlignment="1">
      <alignment horizontal="center"/>
    </xf>
    <xf numFmtId="0" fontId="1" fillId="0" borderId="0" xfId="0" applyNumberFormat="1" applyFont="1" applyFill="1" applyAlignment="1"/>
    <xf numFmtId="0" fontId="0" fillId="0" borderId="1" xfId="0" applyNumberFormat="1" applyFont="1" applyFill="1" applyBorder="1" applyAlignment="1">
      <alignment horizontal="center"/>
    </xf>
    <xf numFmtId="0" fontId="1" fillId="0" borderId="0" xfId="0" applyNumberFormat="1" applyFont="1" applyAlignment="1">
      <alignment horizontal="center"/>
    </xf>
    <xf numFmtId="0" fontId="1" fillId="0" borderId="1" xfId="0" applyNumberFormat="1" applyFont="1" applyBorder="1" applyAlignment="1">
      <alignment horizontal="center"/>
    </xf>
    <xf numFmtId="16" fontId="1" fillId="0" borderId="0" xfId="0" quotePrefix="1" applyNumberFormat="1" applyFont="1"/>
    <xf numFmtId="16" fontId="1" fillId="0" borderId="2" xfId="0" quotePrefix="1" applyNumberFormat="1" applyFont="1" applyBorder="1"/>
    <xf numFmtId="164" fontId="0" fillId="0" borderId="2" xfId="0" applyNumberFormat="1" applyBorder="1"/>
    <xf numFmtId="16" fontId="1" fillId="0" borderId="0" xfId="0" quotePrefix="1" applyNumberFormat="1" applyFont="1" applyBorder="1"/>
    <xf numFmtId="1" fontId="0" fillId="0" borderId="0" xfId="0" applyNumberFormat="1"/>
    <xf numFmtId="16" fontId="1" fillId="0" borderId="2" xfId="0" quotePrefix="1" applyNumberFormat="1" applyFont="1" applyFill="1" applyBorder="1"/>
    <xf numFmtId="164" fontId="0" fillId="0" borderId="2" xfId="0" applyNumberFormat="1" applyFill="1" applyBorder="1"/>
    <xf numFmtId="164" fontId="1" fillId="0" borderId="0" xfId="0" applyNumberFormat="1" applyFont="1"/>
    <xf numFmtId="16" fontId="1" fillId="0" borderId="0" xfId="0" applyNumberFormat="1" applyFont="1"/>
    <xf numFmtId="16" fontId="1" fillId="0" borderId="0" xfId="0" applyNumberFormat="1" applyFont="1" applyFill="1" applyBorder="1"/>
    <xf numFmtId="164" fontId="1" fillId="15" borderId="0" xfId="0" applyNumberFormat="1" applyFont="1" applyFill="1"/>
    <xf numFmtId="164" fontId="0" fillId="15" borderId="0" xfId="0" applyNumberFormat="1" applyFont="1" applyFill="1" applyBorder="1"/>
    <xf numFmtId="164" fontId="0" fillId="0" borderId="0" xfId="0" applyNumberFormat="1" applyFont="1" applyFill="1" applyBorder="1"/>
    <xf numFmtId="164" fontId="0" fillId="15" borderId="0" xfId="0" applyNumberFormat="1" applyFill="1"/>
    <xf numFmtId="164" fontId="0" fillId="0" borderId="2" xfId="0" applyNumberFormat="1" applyFont="1" applyFill="1" applyBorder="1"/>
    <xf numFmtId="16" fontId="1" fillId="8" borderId="0" xfId="0" applyNumberFormat="1" applyFont="1" applyFill="1"/>
    <xf numFmtId="164" fontId="0" fillId="15" borderId="2" xfId="0" applyNumberFormat="1" applyFill="1" applyBorder="1"/>
    <xf numFmtId="164" fontId="0" fillId="0" borderId="0" xfId="0" applyNumberFormat="1" applyFont="1"/>
    <xf numFmtId="1" fontId="0" fillId="0" borderId="0" xfId="0" applyNumberFormat="1" applyAlignment="1">
      <alignment horizontal="right"/>
    </xf>
    <xf numFmtId="0" fontId="1" fillId="0" borderId="1" xfId="0" applyFont="1" applyFill="1" applyBorder="1" applyAlignment="1">
      <alignment horizontal="center"/>
    </xf>
    <xf numFmtId="164" fontId="0" fillId="0" borderId="1" xfId="0" applyNumberFormat="1" applyFill="1" applyBorder="1" applyAlignment="1">
      <alignment horizontal="center"/>
    </xf>
    <xf numFmtId="1" fontId="0" fillId="0" borderId="2" xfId="0" applyNumberFormat="1" applyBorder="1"/>
    <xf numFmtId="1" fontId="1" fillId="0" borderId="0" xfId="0" applyNumberFormat="1" applyFont="1"/>
    <xf numFmtId="164" fontId="1" fillId="0" borderId="3" xfId="0" applyNumberFormat="1" applyFont="1" applyBorder="1" applyAlignment="1">
      <alignment horizontal="center"/>
    </xf>
    <xf numFmtId="164" fontId="1" fillId="6" borderId="3" xfId="0" applyNumberFormat="1" applyFont="1" applyFill="1" applyBorder="1" applyAlignment="1">
      <alignment horizontal="center"/>
    </xf>
    <xf numFmtId="164" fontId="1" fillId="6" borderId="25" xfId="0" applyNumberFormat="1" applyFont="1" applyFill="1" applyBorder="1" applyAlignment="1">
      <alignment horizontal="center"/>
    </xf>
    <xf numFmtId="0" fontId="0" fillId="0" borderId="3" xfId="0" applyFill="1" applyBorder="1"/>
    <xf numFmtId="164" fontId="1" fillId="0" borderId="25" xfId="0" applyNumberFormat="1" applyFont="1" applyBorder="1" applyAlignment="1">
      <alignment horizontal="center"/>
    </xf>
    <xf numFmtId="0" fontId="1" fillId="0" borderId="2" xfId="0" applyFont="1" applyBorder="1"/>
    <xf numFmtId="164" fontId="0" fillId="15" borderId="6" xfId="0" applyNumberFormat="1" applyFont="1" applyFill="1" applyBorder="1" applyAlignment="1">
      <alignment horizontal="center"/>
    </xf>
    <xf numFmtId="164" fontId="0" fillId="15" borderId="2" xfId="0" applyNumberFormat="1" applyFont="1" applyFill="1" applyBorder="1" applyAlignment="1">
      <alignment horizontal="center"/>
    </xf>
    <xf numFmtId="164" fontId="1" fillId="0" borderId="2" xfId="0" applyNumberFormat="1" applyFont="1" applyBorder="1" applyAlignment="1">
      <alignment horizontal="center"/>
    </xf>
    <xf numFmtId="164" fontId="0" fillId="0" borderId="0" xfId="0" applyNumberFormat="1" applyFill="1" applyAlignment="1">
      <alignment horizontal="left"/>
    </xf>
    <xf numFmtId="164" fontId="1" fillId="6" borderId="1" xfId="0" applyNumberFormat="1" applyFont="1" applyFill="1" applyBorder="1" applyAlignment="1">
      <alignment horizontal="center"/>
    </xf>
    <xf numFmtId="164" fontId="0" fillId="0" borderId="2" xfId="0" applyNumberFormat="1" applyFill="1" applyBorder="1" applyAlignment="1">
      <alignment horizontal="center"/>
    </xf>
    <xf numFmtId="16" fontId="1" fillId="0" borderId="0" xfId="0" applyNumberFormat="1" applyFont="1" applyFill="1"/>
    <xf numFmtId="16" fontId="1" fillId="0" borderId="0" xfId="0" quotePrefix="1" applyNumberFormat="1" applyFont="1" applyFill="1" applyBorder="1"/>
    <xf numFmtId="1" fontId="0" fillId="0" borderId="0" xfId="0" applyNumberFormat="1" applyBorder="1"/>
    <xf numFmtId="0" fontId="0" fillId="0" borderId="26" xfId="0" applyBorder="1"/>
    <xf numFmtId="164" fontId="0" fillId="0" borderId="26" xfId="0" applyNumberFormat="1" applyFont="1" applyBorder="1"/>
    <xf numFmtId="1" fontId="0" fillId="0" borderId="26" xfId="0" applyNumberFormat="1" applyBorder="1"/>
    <xf numFmtId="164" fontId="0" fillId="0" borderId="26" xfId="0" applyNumberFormat="1" applyBorder="1"/>
    <xf numFmtId="0" fontId="5" fillId="0" borderId="26" xfId="0" applyFont="1" applyBorder="1"/>
    <xf numFmtId="164" fontId="5" fillId="0" borderId="26" xfId="0" applyNumberFormat="1" applyFont="1" applyBorder="1"/>
    <xf numFmtId="0" fontId="5" fillId="0" borderId="0" xfId="0" applyFont="1" applyFill="1" applyBorder="1"/>
    <xf numFmtId="164" fontId="5" fillId="0" borderId="0" xfId="0" applyNumberFormat="1" applyFont="1" applyBorder="1"/>
    <xf numFmtId="164" fontId="6" fillId="0" borderId="0" xfId="0" applyNumberFormat="1" applyFont="1" applyBorder="1"/>
    <xf numFmtId="164" fontId="6" fillId="0" borderId="26" xfId="0" applyNumberFormat="1" applyFont="1" applyBorder="1"/>
    <xf numFmtId="164" fontId="7" fillId="0" borderId="26" xfId="0" applyNumberFormat="1" applyFont="1" applyBorder="1"/>
    <xf numFmtId="164" fontId="8" fillId="0" borderId="0" xfId="0" applyNumberFormat="1" applyFont="1"/>
    <xf numFmtId="164" fontId="0" fillId="5" borderId="0" xfId="0" applyNumberFormat="1" applyFont="1" applyFill="1" applyBorder="1" applyAlignment="1">
      <alignment horizontal="center"/>
    </xf>
    <xf numFmtId="164" fontId="0" fillId="5" borderId="2" xfId="0" applyNumberFormat="1" applyFont="1" applyFill="1" applyBorder="1" applyAlignment="1">
      <alignment horizontal="center"/>
    </xf>
    <xf numFmtId="164" fontId="1" fillId="5" borderId="0" xfId="0" applyNumberFormat="1" applyFont="1" applyFill="1" applyAlignment="1">
      <alignment horizontal="center"/>
    </xf>
    <xf numFmtId="164" fontId="0" fillId="5" borderId="0" xfId="0" applyNumberFormat="1" applyFill="1" applyAlignment="1">
      <alignment horizontal="center"/>
    </xf>
    <xf numFmtId="0" fontId="0" fillId="5" borderId="0" xfId="0" applyFill="1" applyBorder="1"/>
    <xf numFmtId="164" fontId="0" fillId="5" borderId="1" xfId="0" applyNumberFormat="1" applyFont="1" applyFill="1" applyBorder="1" applyAlignment="1">
      <alignment horizontal="center"/>
    </xf>
    <xf numFmtId="0" fontId="0" fillId="5" borderId="1" xfId="0" applyFill="1" applyBorder="1"/>
    <xf numFmtId="164" fontId="0" fillId="5" borderId="1" xfId="0" applyNumberFormat="1" applyFill="1" applyBorder="1" applyAlignment="1">
      <alignment horizontal="center"/>
    </xf>
    <xf numFmtId="164" fontId="1" fillId="5" borderId="1" xfId="0" applyNumberFormat="1" applyFont="1" applyFill="1" applyBorder="1" applyAlignment="1">
      <alignment horizontal="center"/>
    </xf>
    <xf numFmtId="164" fontId="9" fillId="0" borderId="0" xfId="0" applyNumberFormat="1" applyFont="1"/>
    <xf numFmtId="164" fontId="10" fillId="0" borderId="0" xfId="0" applyNumberFormat="1" applyFont="1"/>
    <xf numFmtId="16" fontId="0" fillId="0" borderId="0" xfId="0" quotePrefix="1" applyNumberFormat="1" applyBorder="1"/>
    <xf numFmtId="0" fontId="0" fillId="16" borderId="0" xfId="0" applyFill="1" applyAlignment="1">
      <alignment horizontal="left"/>
    </xf>
    <xf numFmtId="0" fontId="1" fillId="8" borderId="0" xfId="0" quotePrefix="1" applyFont="1" applyFill="1" applyAlignment="1">
      <alignment horizontal="left"/>
    </xf>
    <xf numFmtId="0" fontId="0" fillId="16" borderId="0" xfId="0" applyFill="1"/>
    <xf numFmtId="0" fontId="0" fillId="8" borderId="0" xfId="0" quotePrefix="1" applyFill="1" applyAlignment="1">
      <alignment horizontal="center"/>
    </xf>
    <xf numFmtId="0" fontId="0" fillId="7" borderId="0" xfId="0" applyFill="1"/>
    <xf numFmtId="0" fontId="0" fillId="0" borderId="0" xfId="0" applyFill="1" applyAlignment="1">
      <alignment vertical="center"/>
    </xf>
    <xf numFmtId="164" fontId="1" fillId="0" borderId="0" xfId="0" applyNumberFormat="1" applyFont="1" applyFill="1" applyBorder="1"/>
    <xf numFmtId="164" fontId="0" fillId="0" borderId="0" xfId="0" applyNumberFormat="1" applyFill="1" applyBorder="1"/>
    <xf numFmtId="0" fontId="1" fillId="17" borderId="0" xfId="0" applyFont="1" applyFill="1" applyAlignment="1">
      <alignment horizontal="center"/>
    </xf>
    <xf numFmtId="0" fontId="1" fillId="17" borderId="1" xfId="0" applyFont="1" applyFill="1" applyBorder="1" applyAlignment="1">
      <alignment horizontal="center"/>
    </xf>
    <xf numFmtId="164" fontId="0" fillId="17" borderId="0" xfId="0" applyNumberFormat="1" applyFont="1" applyFill="1" applyBorder="1" applyAlignment="1">
      <alignment horizontal="center"/>
    </xf>
    <xf numFmtId="164" fontId="1" fillId="17" borderId="0" xfId="0" applyNumberFormat="1" applyFont="1" applyFill="1" applyAlignment="1">
      <alignment horizontal="center"/>
    </xf>
    <xf numFmtId="164" fontId="0" fillId="17" borderId="0" xfId="0" applyNumberFormat="1" applyFill="1" applyAlignment="1">
      <alignment horizontal="center"/>
    </xf>
    <xf numFmtId="164" fontId="0" fillId="17" borderId="1" xfId="0" applyNumberFormat="1" applyFont="1" applyFill="1" applyBorder="1" applyAlignment="1">
      <alignment horizontal="center"/>
    </xf>
    <xf numFmtId="164" fontId="1" fillId="17" borderId="1" xfId="0" applyNumberFormat="1" applyFont="1" applyFill="1" applyBorder="1" applyAlignment="1">
      <alignment horizontal="center"/>
    </xf>
    <xf numFmtId="0" fontId="1" fillId="18" borderId="0" xfId="0" applyFont="1" applyFill="1" applyAlignment="1">
      <alignment horizontal="center"/>
    </xf>
    <xf numFmtId="0" fontId="1" fillId="18" borderId="1" xfId="0" applyFont="1" applyFill="1" applyBorder="1" applyAlignment="1">
      <alignment horizontal="center"/>
    </xf>
    <xf numFmtId="164" fontId="0" fillId="18" borderId="0" xfId="0" applyNumberFormat="1" applyFont="1" applyFill="1" applyBorder="1" applyAlignment="1">
      <alignment horizontal="center"/>
    </xf>
    <xf numFmtId="0" fontId="12" fillId="0" borderId="0" xfId="0" applyFont="1"/>
    <xf numFmtId="0" fontId="3" fillId="3" borderId="12" xfId="2" applyBorder="1" applyAlignment="1">
      <alignment horizontal="center" vertical="top"/>
    </xf>
    <xf numFmtId="0" fontId="3" fillId="3" borderId="13" xfId="2" applyBorder="1" applyAlignment="1">
      <alignment horizontal="center" vertical="top"/>
    </xf>
    <xf numFmtId="0" fontId="3" fillId="3" borderId="14" xfId="2" applyBorder="1" applyAlignment="1">
      <alignment horizontal="center" vertical="top"/>
    </xf>
    <xf numFmtId="0" fontId="2" fillId="2" borderId="15" xfId="1" applyBorder="1" applyAlignment="1">
      <alignment horizontal="center" vertical="top"/>
    </xf>
    <xf numFmtId="0" fontId="2" fillId="2" borderId="7" xfId="1" applyBorder="1" applyAlignment="1">
      <alignment horizontal="center" vertical="top"/>
    </xf>
    <xf numFmtId="0" fontId="1" fillId="0" borderId="0" xfId="0" applyFont="1" applyFill="1" applyBorder="1" applyAlignment="1">
      <alignment horizontal="center" vertical="top"/>
    </xf>
    <xf numFmtId="0" fontId="2" fillId="2" borderId="16" xfId="1" applyBorder="1" applyAlignment="1">
      <alignment horizontal="center" vertical="top"/>
    </xf>
    <xf numFmtId="0" fontId="2" fillId="2" borderId="4" xfId="1" applyAlignment="1">
      <alignment horizontal="center" vertical="top"/>
    </xf>
    <xf numFmtId="1" fontId="3" fillId="3" borderId="8" xfId="2" applyNumberFormat="1" applyBorder="1" applyAlignment="1">
      <alignment horizontal="center" vertical="top"/>
    </xf>
    <xf numFmtId="1" fontId="3" fillId="3" borderId="4" xfId="2" applyNumberFormat="1" applyAlignment="1">
      <alignment horizontal="center" vertical="top"/>
    </xf>
    <xf numFmtId="0" fontId="3" fillId="3" borderId="9" xfId="2" applyBorder="1" applyAlignment="1">
      <alignment horizontal="center" vertical="top"/>
    </xf>
    <xf numFmtId="0" fontId="3" fillId="3" borderId="10" xfId="2" applyBorder="1" applyAlignment="1">
      <alignment horizontal="center" vertical="top"/>
    </xf>
    <xf numFmtId="0" fontId="3" fillId="3" borderId="11" xfId="2" applyBorder="1" applyAlignment="1">
      <alignment horizontal="center" vertical="top"/>
    </xf>
    <xf numFmtId="0" fontId="3" fillId="3" borderId="4" xfId="2" applyAlignment="1">
      <alignment horizontal="center" vertical="top"/>
    </xf>
    <xf numFmtId="1" fontId="3" fillId="3" borderId="9" xfId="2" applyNumberFormat="1" applyBorder="1" applyAlignment="1">
      <alignment horizontal="center" vertical="top"/>
    </xf>
    <xf numFmtId="1" fontId="3" fillId="3" borderId="10" xfId="2" applyNumberFormat="1" applyBorder="1" applyAlignment="1">
      <alignment horizontal="center" vertical="top"/>
    </xf>
    <xf numFmtId="1" fontId="3" fillId="3" borderId="11" xfId="2" applyNumberFormat="1" applyBorder="1" applyAlignment="1">
      <alignment horizontal="center" vertical="top"/>
    </xf>
    <xf numFmtId="0" fontId="0" fillId="0" borderId="0" xfId="0" applyAlignment="1">
      <alignment horizontal="left"/>
    </xf>
    <xf numFmtId="0" fontId="1" fillId="0" borderId="1" xfId="0" applyFont="1" applyBorder="1" applyAlignment="1">
      <alignment horizontal="center"/>
    </xf>
    <xf numFmtId="0" fontId="1" fillId="8" borderId="1" xfId="0" applyFont="1" applyFill="1" applyBorder="1" applyAlignment="1">
      <alignment horizont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5" borderId="0" xfId="0" applyFill="1" applyAlignment="1">
      <alignment horizontal="center"/>
    </xf>
    <xf numFmtId="164" fontId="1" fillId="0" borderId="1" xfId="0" applyNumberFormat="1" applyFont="1" applyBorder="1" applyAlignment="1">
      <alignment horizontal="center"/>
    </xf>
    <xf numFmtId="164" fontId="1" fillId="0" borderId="19" xfId="0" applyNumberFormat="1" applyFont="1" applyBorder="1" applyAlignment="1">
      <alignment horizontal="center"/>
    </xf>
    <xf numFmtId="164" fontId="1" fillId="6" borderId="1" xfId="0" applyNumberFormat="1" applyFont="1" applyFill="1" applyBorder="1" applyAlignment="1">
      <alignment horizontal="center"/>
    </xf>
    <xf numFmtId="164" fontId="1" fillId="0" borderId="2" xfId="0" applyNumberFormat="1" applyFont="1" applyBorder="1" applyAlignment="1">
      <alignment horizontal="center"/>
    </xf>
    <xf numFmtId="164" fontId="1" fillId="6" borderId="19" xfId="0" applyNumberFormat="1" applyFont="1" applyFill="1" applyBorder="1" applyAlignment="1">
      <alignment horizontal="center"/>
    </xf>
    <xf numFmtId="0" fontId="1" fillId="0" borderId="0" xfId="0" applyFont="1" applyAlignment="1">
      <alignment horizontal="center"/>
    </xf>
    <xf numFmtId="164" fontId="1" fillId="0" borderId="2" xfId="0" applyNumberFormat="1" applyFont="1" applyFill="1" applyBorder="1" applyAlignment="1">
      <alignment horizontal="center"/>
    </xf>
    <xf numFmtId="164" fontId="1" fillId="0" borderId="0" xfId="0" applyNumberFormat="1" applyFont="1" applyBorder="1" applyAlignment="1">
      <alignment horizontal="center"/>
    </xf>
    <xf numFmtId="164" fontId="11" fillId="0" borderId="0" xfId="0" applyNumberFormat="1" applyFont="1" applyAlignment="1">
      <alignment horizontal="center"/>
    </xf>
    <xf numFmtId="164" fontId="0" fillId="0" borderId="27" xfId="0" applyNumberFormat="1" applyBorder="1" applyAlignment="1">
      <alignment horizontal="center"/>
    </xf>
    <xf numFmtId="0" fontId="0" fillId="0" borderId="27" xfId="0" applyBorder="1" applyAlignment="1">
      <alignment horizontal="center"/>
    </xf>
    <xf numFmtId="164" fontId="1" fillId="5" borderId="0" xfId="0" applyNumberFormat="1" applyFont="1" applyFill="1" applyAlignment="1">
      <alignment horizontal="center"/>
    </xf>
    <xf numFmtId="164" fontId="1" fillId="0" borderId="0" xfId="0" applyNumberFormat="1" applyFont="1" applyFill="1" applyAlignment="1">
      <alignment horizontal="center"/>
    </xf>
    <xf numFmtId="164" fontId="1" fillId="0" borderId="0" xfId="0" applyNumberFormat="1" applyFont="1" applyFill="1" applyBorder="1" applyAlignment="1">
      <alignment horizontal="center"/>
    </xf>
  </cellXfs>
  <cellStyles count="3">
    <cellStyle name="Calculation" xfId="2" builtinId="22"/>
    <cellStyle name="Input" xfId="1" builtinId="20"/>
    <cellStyle name="Normal" xfId="0" builtinId="0"/>
  </cellStyles>
  <dxfs count="1">
    <dxf>
      <font>
        <b/>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D2:G8" totalsRowShown="0">
  <autoFilter ref="D2:G8" xr:uid="{00000000-0009-0000-0100-000001000000}"/>
  <tableColumns count="4">
    <tableColumn id="1" xr3:uid="{00000000-0010-0000-0000-000001000000}" name="Spalte1" dataDxfId="0"/>
    <tableColumn id="2" xr3:uid="{00000000-0010-0000-0000-000002000000}" name="FNA - B6"/>
    <tableColumn id="3" xr3:uid="{00000000-0010-0000-0000-000003000000}" name="inubit University"/>
    <tableColumn id="4" xr3:uid="{00000000-0010-0000-0000-000004000000}" name="TU - supplier switc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72"/>
  <sheetViews>
    <sheetView topLeftCell="Q1" zoomScale="70" zoomScaleNormal="70" workbookViewId="0">
      <pane ySplit="1" topLeftCell="A2" activePane="bottomLeft" state="frozen"/>
      <selection pane="bottomLeft" activeCell="AN73" sqref="AN73"/>
    </sheetView>
  </sheetViews>
  <sheetFormatPr baseColWidth="10" defaultRowHeight="15"/>
  <cols>
    <col min="1" max="1" width="0" style="20" hidden="1" customWidth="1"/>
    <col min="2" max="2" width="8" hidden="1" customWidth="1"/>
    <col min="3" max="3" width="0" style="13" hidden="1" customWidth="1"/>
    <col min="4" max="4" width="19.83203125" hidden="1" customWidth="1"/>
    <col min="5" max="7" width="18.83203125" hidden="1" customWidth="1"/>
    <col min="8" max="12" width="21.33203125" hidden="1" customWidth="1"/>
    <col min="13" max="15" width="20.5" hidden="1" customWidth="1"/>
    <col min="16" max="16" width="14.5" style="12" hidden="1" customWidth="1"/>
    <col min="17" max="17" width="11.5" style="20"/>
    <col min="18" max="18" width="37" customWidth="1"/>
    <col min="19" max="19" width="13.1640625" style="6" customWidth="1"/>
    <col min="20" max="20" width="13.1640625" style="55" hidden="1" customWidth="1"/>
    <col min="21" max="21" width="14.5" style="55" customWidth="1"/>
    <col min="22" max="23" width="13.1640625" style="6" customWidth="1"/>
    <col min="24" max="26" width="13.1640625" style="55" customWidth="1"/>
    <col min="28" max="28" width="13.1640625" style="55" customWidth="1"/>
    <col min="29" max="31" width="13.1640625" style="6" customWidth="1"/>
    <col min="37" max="37" width="8.1640625" customWidth="1"/>
    <col min="38" max="38" width="13.1640625" hidden="1" customWidth="1"/>
    <col min="40" max="40" width="11.83203125" style="6" customWidth="1"/>
    <col min="43" max="43" width="6.1640625" customWidth="1"/>
    <col min="44" max="44" width="8" customWidth="1"/>
    <col min="45" max="45" width="5.33203125" style="6" customWidth="1"/>
    <col min="46" max="48" width="13.1640625" style="55" customWidth="1"/>
    <col min="61" max="74" width="13.83203125" customWidth="1"/>
  </cols>
  <sheetData>
    <row r="1" spans="1:93" s="62" customFormat="1" ht="80">
      <c r="A1" s="57" t="s">
        <v>135</v>
      </c>
      <c r="B1" s="58" t="s">
        <v>4</v>
      </c>
      <c r="C1" s="59" t="s">
        <v>7</v>
      </c>
      <c r="D1" s="58" t="s">
        <v>5</v>
      </c>
      <c r="E1" s="58" t="s">
        <v>6</v>
      </c>
      <c r="F1" s="58" t="s">
        <v>43</v>
      </c>
      <c r="G1" s="58" t="s">
        <v>111</v>
      </c>
      <c r="H1" s="58" t="s">
        <v>112</v>
      </c>
      <c r="I1" s="58" t="s">
        <v>113</v>
      </c>
      <c r="J1" s="58" t="s">
        <v>193</v>
      </c>
      <c r="K1" s="58" t="s">
        <v>194</v>
      </c>
      <c r="L1" s="58" t="s">
        <v>195</v>
      </c>
      <c r="M1" s="58" t="s">
        <v>114</v>
      </c>
      <c r="N1" s="58" t="s">
        <v>115</v>
      </c>
      <c r="O1" s="58" t="s">
        <v>116</v>
      </c>
      <c r="P1" s="60" t="s">
        <v>20</v>
      </c>
      <c r="Q1" s="57" t="s">
        <v>135</v>
      </c>
      <c r="R1" s="58" t="s">
        <v>35</v>
      </c>
      <c r="S1" s="58" t="s">
        <v>0</v>
      </c>
      <c r="T1" s="61" t="s">
        <v>268</v>
      </c>
      <c r="U1" s="61" t="s">
        <v>596</v>
      </c>
      <c r="V1" s="58" t="s">
        <v>289</v>
      </c>
      <c r="W1" s="58" t="s">
        <v>290</v>
      </c>
      <c r="X1" s="61" t="s">
        <v>269</v>
      </c>
      <c r="Y1" s="61" t="s">
        <v>292</v>
      </c>
      <c r="Z1" s="61" t="s">
        <v>293</v>
      </c>
      <c r="AA1" s="62" t="s">
        <v>271</v>
      </c>
      <c r="AB1" s="65" t="s">
        <v>273</v>
      </c>
      <c r="AC1" s="64" t="s">
        <v>270</v>
      </c>
      <c r="AD1" s="64" t="s">
        <v>276</v>
      </c>
      <c r="AE1" s="64" t="s">
        <v>274</v>
      </c>
      <c r="AF1" s="62" t="s">
        <v>271</v>
      </c>
      <c r="AG1" s="64" t="s">
        <v>277</v>
      </c>
      <c r="AH1" s="64" t="s">
        <v>359</v>
      </c>
      <c r="AI1" s="64" t="s">
        <v>532</v>
      </c>
      <c r="AJ1" s="62" t="s">
        <v>272</v>
      </c>
      <c r="AK1" s="62" t="s">
        <v>275</v>
      </c>
      <c r="AL1" s="62" t="s">
        <v>278</v>
      </c>
      <c r="AM1" s="58" t="s">
        <v>258</v>
      </c>
      <c r="AN1" s="58" t="s">
        <v>261</v>
      </c>
      <c r="AO1" s="62" t="s">
        <v>302</v>
      </c>
      <c r="AP1" s="62" t="s">
        <v>282</v>
      </c>
      <c r="AQ1" s="62" t="s">
        <v>279</v>
      </c>
      <c r="AR1" s="62" t="s">
        <v>280</v>
      </c>
      <c r="AS1" s="58" t="s">
        <v>281</v>
      </c>
      <c r="AT1" s="65" t="s">
        <v>213</v>
      </c>
      <c r="AU1" s="61" t="s">
        <v>214</v>
      </c>
      <c r="AV1" s="61" t="s">
        <v>229</v>
      </c>
      <c r="AW1" s="62" t="s">
        <v>199</v>
      </c>
      <c r="AX1" s="62" t="s">
        <v>204</v>
      </c>
      <c r="AY1" s="62" t="s">
        <v>240</v>
      </c>
      <c r="AZ1" s="62" t="s">
        <v>246</v>
      </c>
      <c r="BA1" s="62" t="s">
        <v>253</v>
      </c>
      <c r="BB1" s="62" t="s">
        <v>260</v>
      </c>
      <c r="BC1" s="62" t="s">
        <v>237</v>
      </c>
      <c r="BD1" s="62" t="s">
        <v>200</v>
      </c>
      <c r="BE1" s="62" t="s">
        <v>232</v>
      </c>
      <c r="BF1" s="62" t="s">
        <v>254</v>
      </c>
      <c r="BG1" s="62" t="s">
        <v>255</v>
      </c>
      <c r="BH1" s="62" t="s">
        <v>215</v>
      </c>
      <c r="BI1" s="62" t="s">
        <v>201</v>
      </c>
      <c r="BJ1" s="62" t="s">
        <v>206</v>
      </c>
      <c r="BK1" s="62" t="s">
        <v>224</v>
      </c>
      <c r="BL1" s="62" t="s">
        <v>233</v>
      </c>
      <c r="BM1" s="62" t="s">
        <v>225</v>
      </c>
      <c r="BN1" s="62" t="s">
        <v>249</v>
      </c>
      <c r="BO1" s="62" t="s">
        <v>230</v>
      </c>
      <c r="BP1" s="62" t="s">
        <v>205</v>
      </c>
      <c r="BQ1" s="62" t="s">
        <v>234</v>
      </c>
      <c r="BR1" s="62" t="s">
        <v>235</v>
      </c>
      <c r="BS1" s="62" t="s">
        <v>236</v>
      </c>
      <c r="BT1" s="62" t="s">
        <v>244</v>
      </c>
      <c r="BU1" s="62" t="s">
        <v>243</v>
      </c>
      <c r="BV1" s="62" t="s">
        <v>248</v>
      </c>
      <c r="BW1" s="62" t="s">
        <v>202</v>
      </c>
      <c r="BX1" s="62" t="s">
        <v>262</v>
      </c>
      <c r="BY1" s="62" t="s">
        <v>203</v>
      </c>
      <c r="BZ1" s="62" t="s">
        <v>212</v>
      </c>
      <c r="CA1" s="62" t="s">
        <v>652</v>
      </c>
      <c r="CB1" s="62" t="s">
        <v>651</v>
      </c>
      <c r="CC1" s="62" t="s">
        <v>226</v>
      </c>
      <c r="CD1" s="62" t="s">
        <v>207</v>
      </c>
      <c r="CE1" s="62" t="s">
        <v>217</v>
      </c>
      <c r="CF1" s="62" t="s">
        <v>227</v>
      </c>
      <c r="CG1" s="62" t="s">
        <v>239</v>
      </c>
      <c r="CH1" s="62" t="s">
        <v>218</v>
      </c>
      <c r="CI1" s="62" t="s">
        <v>219</v>
      </c>
      <c r="CJ1" s="62" t="s">
        <v>256</v>
      </c>
      <c r="CK1" s="62" t="s">
        <v>216</v>
      </c>
      <c r="CL1" s="62" t="s">
        <v>208</v>
      </c>
      <c r="CM1" s="62" t="s">
        <v>238</v>
      </c>
      <c r="CN1" s="62" t="s">
        <v>251</v>
      </c>
      <c r="CO1" s="62" t="s">
        <v>650</v>
      </c>
    </row>
    <row r="2" spans="1:93" s="14" customFormat="1" ht="16" customHeight="1">
      <c r="A2" s="26" t="s">
        <v>136</v>
      </c>
      <c r="B2" s="27">
        <v>12</v>
      </c>
      <c r="C2" s="29">
        <v>14.92</v>
      </c>
      <c r="D2" s="27">
        <v>4</v>
      </c>
      <c r="E2" s="27">
        <v>3</v>
      </c>
      <c r="F2" s="27">
        <v>0</v>
      </c>
      <c r="G2" s="27">
        <v>34</v>
      </c>
      <c r="H2" s="27">
        <v>22</v>
      </c>
      <c r="I2" s="30">
        <f>1-(H2/G2)</f>
        <v>0.3529411764705882</v>
      </c>
      <c r="J2" s="27">
        <v>8</v>
      </c>
      <c r="K2" s="27">
        <v>6</v>
      </c>
      <c r="L2" s="30">
        <f>1-(K2/J2)</f>
        <v>0.25</v>
      </c>
      <c r="M2" s="27">
        <v>31</v>
      </c>
      <c r="N2" s="27">
        <v>20</v>
      </c>
      <c r="O2" s="30">
        <f>1-(N2/M2)</f>
        <v>0.35483870967741937</v>
      </c>
      <c r="P2" s="31">
        <v>0.76029999999999998</v>
      </c>
      <c r="Q2" s="169" t="s">
        <v>136</v>
      </c>
      <c r="R2" s="27" t="s">
        <v>120</v>
      </c>
      <c r="S2" s="28" t="s">
        <v>1</v>
      </c>
      <c r="T2" s="72" t="s">
        <v>296</v>
      </c>
      <c r="U2" s="159" t="s">
        <v>600</v>
      </c>
      <c r="V2" s="28" t="s">
        <v>291</v>
      </c>
      <c r="W2" s="28"/>
      <c r="X2" s="316">
        <v>37</v>
      </c>
      <c r="Y2" s="321">
        <f>COUNTIF(V2:V64,"x")</f>
        <v>30</v>
      </c>
      <c r="Z2" s="324">
        <f>COUNTIF(W2:W64,"x")</f>
        <v>6</v>
      </c>
      <c r="AA2" s="311">
        <v>46</v>
      </c>
      <c r="AB2" s="317">
        <v>0.4</v>
      </c>
      <c r="AC2" s="35">
        <f>SUM(AT2:CO2)</f>
        <v>42</v>
      </c>
      <c r="AD2" s="320">
        <f>AVERAGE(AC2:AC64)</f>
        <v>38.265306122448976</v>
      </c>
      <c r="AE2" s="318">
        <v>0.6</v>
      </c>
      <c r="AF2" s="25">
        <f>COUNT(AT2:CO2)</f>
        <v>8</v>
      </c>
      <c r="AG2" s="320">
        <f>AVERAGE(AF2:AF64)</f>
        <v>7.72</v>
      </c>
      <c r="AH2">
        <f>SUM(AW2:BH2,BP2:CO2)</f>
        <v>18</v>
      </c>
      <c r="AI2">
        <f>SUM(AV2:CO2)</f>
        <v>38</v>
      </c>
      <c r="AJ2" s="25">
        <v>3133</v>
      </c>
      <c r="AK2" s="319">
        <f>AVERAGE(AJ2:AJ64)</f>
        <v>3563.8378378378379</v>
      </c>
      <c r="AL2" s="325">
        <f>MAX(AJ2:AJ64)</f>
        <v>10886</v>
      </c>
      <c r="AM2" s="71">
        <f>((AJ2)/($AK$2))*(($AB$2*AC2+$AE$2*AF2)/(($AB$2*$AD$2)+($AE$2*$AG$2)))</f>
        <v>0.95238369736820083</v>
      </c>
      <c r="AN2" s="35" t="str">
        <f>IF(AM2&lt;$AP$2,"low",IF(AM2&lt;2,"medium","high"))</f>
        <v>medium</v>
      </c>
      <c r="AO2" s="166">
        <v>20</v>
      </c>
      <c r="AP2" s="314">
        <v>0.6</v>
      </c>
      <c r="AQ2" s="324">
        <f>COUNTIF($AN$2:$AN$64,"low")</f>
        <v>15</v>
      </c>
      <c r="AR2" s="324">
        <f>COUNTIF($AN$2:$AN$64,"medium")</f>
        <v>12</v>
      </c>
      <c r="AS2" s="311">
        <f>COUNTIF($AN$2:$AN$64,"high")</f>
        <v>10</v>
      </c>
      <c r="AT2" s="68">
        <v>1</v>
      </c>
      <c r="AU2" s="52">
        <v>3</v>
      </c>
      <c r="AV2" s="52"/>
      <c r="AW2" s="41">
        <v>1</v>
      </c>
      <c r="AX2" s="41"/>
      <c r="AY2" s="41"/>
      <c r="AZ2" s="41"/>
      <c r="BA2" s="41"/>
      <c r="BB2" s="41"/>
      <c r="BC2" s="41"/>
      <c r="BD2" s="14">
        <v>2</v>
      </c>
      <c r="BI2" s="14">
        <v>20</v>
      </c>
      <c r="BP2" s="14">
        <v>9</v>
      </c>
      <c r="BW2" s="14">
        <v>4</v>
      </c>
      <c r="BX2" s="14">
        <v>2</v>
      </c>
    </row>
    <row r="3" spans="1:93" s="14" customFormat="1" ht="16" customHeight="1">
      <c r="A3" s="26" t="s">
        <v>137</v>
      </c>
      <c r="B3" s="27">
        <v>6</v>
      </c>
      <c r="C3" s="29">
        <v>18.829999999999998</v>
      </c>
      <c r="D3" s="27">
        <v>3</v>
      </c>
      <c r="E3" s="27">
        <v>1</v>
      </c>
      <c r="F3" s="27">
        <v>0</v>
      </c>
      <c r="G3" s="27">
        <v>24</v>
      </c>
      <c r="H3" s="27">
        <v>26</v>
      </c>
      <c r="I3" s="30">
        <f>1-(H3/G3)</f>
        <v>-8.3333333333333259E-2</v>
      </c>
      <c r="J3" s="27">
        <v>3</v>
      </c>
      <c r="K3" s="27">
        <v>4</v>
      </c>
      <c r="L3" s="30">
        <f t="shared" ref="L3:L26" si="0">1-(K3/J3)</f>
        <v>-0.33333333333333326</v>
      </c>
      <c r="M3" s="27">
        <v>23</v>
      </c>
      <c r="N3" s="27">
        <v>26</v>
      </c>
      <c r="O3" s="30">
        <f t="shared" ref="O3:O65" si="1">1-(N3/M3)</f>
        <v>-0.13043478260869557</v>
      </c>
      <c r="P3" s="31">
        <v>0.85460000000000003</v>
      </c>
      <c r="Q3" s="169" t="s">
        <v>137</v>
      </c>
      <c r="R3" s="27" t="s">
        <v>121</v>
      </c>
      <c r="S3" s="28" t="s">
        <v>1</v>
      </c>
      <c r="T3" s="52" t="s">
        <v>209</v>
      </c>
      <c r="U3" s="159" t="s">
        <v>601</v>
      </c>
      <c r="V3" s="28" t="s">
        <v>291</v>
      </c>
      <c r="W3" s="28"/>
      <c r="X3" s="316"/>
      <c r="Y3" s="322"/>
      <c r="Z3" s="324"/>
      <c r="AA3" s="312"/>
      <c r="AB3" s="317"/>
      <c r="AC3" s="35">
        <f>SUM(AT3:CO3)</f>
        <v>48</v>
      </c>
      <c r="AD3" s="320"/>
      <c r="AE3" s="318"/>
      <c r="AF3" s="25">
        <f>COUNT(AT3:CO3)</f>
        <v>12</v>
      </c>
      <c r="AG3" s="320"/>
      <c r="AH3">
        <f>SUM(AW3:BH3,BP3:CO3)</f>
        <v>22</v>
      </c>
      <c r="AI3">
        <f>SUM(AV3:CO3)</f>
        <v>46</v>
      </c>
      <c r="AJ3" s="25">
        <v>2972</v>
      </c>
      <c r="AK3" s="319"/>
      <c r="AL3" s="326"/>
      <c r="AM3" s="71">
        <f>((AJ3)/($AK$2))*(($AB$2*AC3+$AE$2*AF3)/(($AB$2*$AD$2)+($AE$2*$AG$2)))</f>
        <v>1.1042071083576701</v>
      </c>
      <c r="AN3" s="35" t="str">
        <f>IF(AM3&lt;$AP$2,"low",IF(AM3&lt;2,"medium","high"))</f>
        <v>medium</v>
      </c>
      <c r="AO3" s="166">
        <v>23</v>
      </c>
      <c r="AP3" s="315"/>
      <c r="AQ3" s="324"/>
      <c r="AR3" s="324"/>
      <c r="AS3" s="312"/>
      <c r="AT3" s="68">
        <v>2</v>
      </c>
      <c r="AU3" s="52"/>
      <c r="AV3" s="52"/>
      <c r="AW3" s="41">
        <v>2</v>
      </c>
      <c r="AX3" s="41">
        <v>1</v>
      </c>
      <c r="AY3" s="41"/>
      <c r="AZ3" s="41"/>
      <c r="BA3" s="41"/>
      <c r="BB3" s="41"/>
      <c r="BC3" s="41"/>
      <c r="BD3" s="14">
        <v>4</v>
      </c>
      <c r="BI3" s="14">
        <v>20</v>
      </c>
      <c r="BJ3" s="14">
        <v>4</v>
      </c>
      <c r="BP3" s="14">
        <v>7</v>
      </c>
      <c r="BW3" s="14">
        <v>3</v>
      </c>
      <c r="BY3" s="14">
        <v>1</v>
      </c>
      <c r="CD3" s="14">
        <v>2</v>
      </c>
      <c r="CH3" s="14">
        <v>1</v>
      </c>
      <c r="CL3" s="14">
        <v>1</v>
      </c>
    </row>
    <row r="4" spans="1:93" s="15" customFormat="1" ht="16" customHeight="1">
      <c r="A4" s="26" t="s">
        <v>138</v>
      </c>
      <c r="B4" s="27">
        <v>11</v>
      </c>
      <c r="C4" s="29">
        <v>16.91</v>
      </c>
      <c r="D4" s="27">
        <v>2</v>
      </c>
      <c r="E4" s="27">
        <v>4</v>
      </c>
      <c r="F4" s="27">
        <v>0</v>
      </c>
      <c r="G4" s="27">
        <v>35</v>
      </c>
      <c r="H4" s="27">
        <v>29</v>
      </c>
      <c r="I4" s="30">
        <f t="shared" ref="I4:I65" si="2">1-(H4/G4)</f>
        <v>0.17142857142857137</v>
      </c>
      <c r="J4" s="27">
        <v>7</v>
      </c>
      <c r="K4" s="27">
        <v>9</v>
      </c>
      <c r="L4" s="30">
        <f t="shared" si="0"/>
        <v>-0.28571428571428581</v>
      </c>
      <c r="M4" s="27">
        <v>34</v>
      </c>
      <c r="N4" s="27">
        <v>29</v>
      </c>
      <c r="O4" s="30">
        <f t="shared" si="1"/>
        <v>0.1470588235294118</v>
      </c>
      <c r="P4" s="31">
        <v>0.77170000000000005</v>
      </c>
      <c r="Q4" s="169" t="s">
        <v>138</v>
      </c>
      <c r="R4" s="27" t="s">
        <v>122</v>
      </c>
      <c r="S4" s="28" t="s">
        <v>1</v>
      </c>
      <c r="T4" s="51" t="s">
        <v>210</v>
      </c>
      <c r="U4" s="159" t="s">
        <v>600</v>
      </c>
      <c r="V4" s="28" t="s">
        <v>291</v>
      </c>
      <c r="W4" s="28"/>
      <c r="X4" s="316"/>
      <c r="Y4" s="322"/>
      <c r="Z4" s="324"/>
      <c r="AA4" s="312"/>
      <c r="AB4" s="317"/>
      <c r="AC4" s="35">
        <f>SUM(AT4:CO4)</f>
        <v>57</v>
      </c>
      <c r="AD4" s="320"/>
      <c r="AE4" s="318"/>
      <c r="AF4" s="25">
        <f>COUNT(AT4:CO4)</f>
        <v>10</v>
      </c>
      <c r="AG4" s="320"/>
      <c r="AH4">
        <f>SUM(AW4:BH4,BP4:CO4)</f>
        <v>23</v>
      </c>
      <c r="AI4">
        <f>SUM(AV4:CO4)</f>
        <v>52</v>
      </c>
      <c r="AJ4" s="25">
        <v>4348</v>
      </c>
      <c r="AK4" s="319"/>
      <c r="AL4" s="326"/>
      <c r="AM4" s="71">
        <f>((AJ4)/($AK$2))*(($AB$2*AC4+$AE$2*AF4)/(($AB$2*$AD$2)+($AE$2*$AG$2)))</f>
        <v>1.762299953678875</v>
      </c>
      <c r="AN4" s="35" t="str">
        <f>IF(AM4&lt;$AP$2,"low",IF(AM4&lt;2,"medium","high"))</f>
        <v>medium</v>
      </c>
      <c r="AO4" s="167">
        <v>26</v>
      </c>
      <c r="AP4" s="315"/>
      <c r="AQ4" s="324"/>
      <c r="AR4" s="324"/>
      <c r="AS4" s="312"/>
      <c r="AT4" s="69">
        <v>1</v>
      </c>
      <c r="AU4" s="51">
        <v>4</v>
      </c>
      <c r="AV4" s="51"/>
      <c r="AW4" s="27"/>
      <c r="AX4" s="27">
        <v>1</v>
      </c>
      <c r="AY4" s="27"/>
      <c r="AZ4" s="27"/>
      <c r="BA4" s="27"/>
      <c r="BB4" s="27"/>
      <c r="BC4" s="27"/>
      <c r="BD4" s="15">
        <v>1</v>
      </c>
      <c r="BI4" s="15">
        <v>29</v>
      </c>
      <c r="BP4" s="15">
        <v>11</v>
      </c>
      <c r="BW4" s="15">
        <v>4</v>
      </c>
      <c r="BX4" s="15">
        <v>3</v>
      </c>
      <c r="BZ4" s="15">
        <v>2</v>
      </c>
      <c r="CI4" s="15">
        <v>1</v>
      </c>
    </row>
    <row r="5" spans="1:93" s="15" customFormat="1" ht="16" customHeight="1">
      <c r="A5" s="26" t="s">
        <v>139</v>
      </c>
      <c r="B5" s="27">
        <v>11</v>
      </c>
      <c r="C5" s="29">
        <v>21.91</v>
      </c>
      <c r="D5" s="27">
        <v>3</v>
      </c>
      <c r="E5" s="27">
        <v>13</v>
      </c>
      <c r="F5" s="27">
        <v>0</v>
      </c>
      <c r="G5" s="27">
        <v>28</v>
      </c>
      <c r="H5" s="27">
        <v>26</v>
      </c>
      <c r="I5" s="30">
        <f t="shared" si="2"/>
        <v>7.1428571428571397E-2</v>
      </c>
      <c r="J5" s="27">
        <v>4</v>
      </c>
      <c r="K5" s="27">
        <v>5</v>
      </c>
      <c r="L5" s="30">
        <f t="shared" si="0"/>
        <v>-0.25</v>
      </c>
      <c r="M5" s="27">
        <v>27</v>
      </c>
      <c r="N5" s="27">
        <v>23</v>
      </c>
      <c r="O5" s="30">
        <f t="shared" si="1"/>
        <v>0.14814814814814814</v>
      </c>
      <c r="P5" s="31">
        <v>0.73099999999999998</v>
      </c>
      <c r="Q5" s="169" t="s">
        <v>139</v>
      </c>
      <c r="R5" s="27" t="s">
        <v>123</v>
      </c>
      <c r="S5" s="28" t="s">
        <v>1</v>
      </c>
      <c r="T5" s="51" t="s">
        <v>211</v>
      </c>
      <c r="U5" s="159" t="s">
        <v>600</v>
      </c>
      <c r="V5" s="28" t="s">
        <v>291</v>
      </c>
      <c r="W5" s="28"/>
      <c r="X5" s="316"/>
      <c r="Y5" s="322"/>
      <c r="Z5" s="324"/>
      <c r="AA5" s="312"/>
      <c r="AB5" s="317"/>
      <c r="AC5" s="35">
        <f>SUM(AT5:CO5)</f>
        <v>47</v>
      </c>
      <c r="AD5" s="320"/>
      <c r="AE5" s="318"/>
      <c r="AF5" s="25">
        <f>COUNT(AT5:CO5)</f>
        <v>13</v>
      </c>
      <c r="AG5" s="320"/>
      <c r="AH5">
        <f>SUM(AW5:BH5,BP5:CO5)</f>
        <v>23</v>
      </c>
      <c r="AI5">
        <f>SUM(AV5:CO5)</f>
        <v>46</v>
      </c>
      <c r="AJ5" s="25">
        <v>3120</v>
      </c>
      <c r="AK5" s="319"/>
      <c r="AL5" s="326"/>
      <c r="AM5" s="71">
        <f>((AJ5)/($AK$2))*(($AB$2*AC5+$AE$2*AF5)/(($AB$2*$AD$2)+($AE$2*$AG$2)))</f>
        <v>1.1679763185797205</v>
      </c>
      <c r="AN5" s="35" t="str">
        <f>IF(AM5&lt;$AP$2,"low",IF(AM5&lt;2,"medium","high"))</f>
        <v>medium</v>
      </c>
      <c r="AO5" s="167">
        <v>24</v>
      </c>
      <c r="AP5" s="315"/>
      <c r="AQ5" s="324"/>
      <c r="AR5" s="324"/>
      <c r="AS5" s="312"/>
      <c r="AT5" s="69">
        <v>1</v>
      </c>
      <c r="AU5" s="51"/>
      <c r="AV5" s="51"/>
      <c r="AW5" s="27">
        <v>1</v>
      </c>
      <c r="AX5" s="27">
        <v>1</v>
      </c>
      <c r="AY5" s="27"/>
      <c r="AZ5" s="27"/>
      <c r="BA5" s="27"/>
      <c r="BB5" s="27"/>
      <c r="BC5" s="27"/>
      <c r="BD5" s="15">
        <v>5</v>
      </c>
      <c r="BH5" s="15">
        <v>1</v>
      </c>
      <c r="BI5" s="15">
        <v>23</v>
      </c>
      <c r="BP5" s="15">
        <v>6</v>
      </c>
      <c r="BW5" s="15">
        <v>2</v>
      </c>
      <c r="BX5" s="15">
        <v>3</v>
      </c>
      <c r="CD5" s="15">
        <v>1</v>
      </c>
      <c r="CE5" s="15">
        <v>1</v>
      </c>
      <c r="CI5" s="15">
        <v>1</v>
      </c>
      <c r="CK5" s="15">
        <v>1</v>
      </c>
    </row>
    <row r="6" spans="1:93" s="25" customFormat="1" ht="16" customHeight="1">
      <c r="A6" s="32" t="s">
        <v>183</v>
      </c>
      <c r="B6" s="36">
        <f>AVERAGE(B2:B5)</f>
        <v>10</v>
      </c>
      <c r="C6" s="36">
        <f>AVERAGE(C2:C5)</f>
        <v>18.142499999999998</v>
      </c>
      <c r="D6" s="36">
        <f>SUBTOTAL(1,D2:D5)</f>
        <v>3</v>
      </c>
      <c r="E6" s="36">
        <f t="shared" ref="E6:N6" si="3">SUBTOTAL(1,E2:E5)</f>
        <v>5.25</v>
      </c>
      <c r="F6" s="36">
        <f t="shared" si="3"/>
        <v>0</v>
      </c>
      <c r="G6" s="36">
        <f t="shared" si="3"/>
        <v>30.25</v>
      </c>
      <c r="H6" s="36">
        <f t="shared" si="3"/>
        <v>25.75</v>
      </c>
      <c r="I6" s="37">
        <f t="shared" si="2"/>
        <v>0.14876033057851235</v>
      </c>
      <c r="J6" s="36">
        <f t="shared" si="3"/>
        <v>5.5</v>
      </c>
      <c r="K6" s="36">
        <f t="shared" si="3"/>
        <v>6</v>
      </c>
      <c r="L6" s="37">
        <f t="shared" si="0"/>
        <v>-9.0909090909090828E-2</v>
      </c>
      <c r="M6" s="36">
        <f t="shared" si="3"/>
        <v>28.75</v>
      </c>
      <c r="N6" s="36">
        <f t="shared" si="3"/>
        <v>24.5</v>
      </c>
      <c r="O6" s="37">
        <f t="shared" si="1"/>
        <v>0.14782608695652177</v>
      </c>
      <c r="P6" s="37">
        <f>SUBTOTAL(1,P2:P5)</f>
        <v>0.77939999999999998</v>
      </c>
      <c r="Q6" s="170" t="s">
        <v>183</v>
      </c>
      <c r="R6" s="33" t="s">
        <v>117</v>
      </c>
      <c r="S6" s="35" t="s">
        <v>1</v>
      </c>
      <c r="U6" s="32"/>
      <c r="V6" s="35"/>
      <c r="W6" s="35"/>
      <c r="X6" s="316"/>
      <c r="Y6" s="322"/>
      <c r="Z6" s="324"/>
      <c r="AA6" s="312"/>
      <c r="AB6" s="317"/>
      <c r="AC6" s="35"/>
      <c r="AD6" s="320"/>
      <c r="AE6" s="318"/>
      <c r="AG6" s="320"/>
      <c r="AH6"/>
      <c r="AI6"/>
      <c r="AK6" s="319"/>
      <c r="AL6" s="326"/>
      <c r="AM6" s="71"/>
      <c r="AN6" s="35"/>
      <c r="AO6" s="168"/>
      <c r="AP6" s="315"/>
      <c r="AQ6" s="324"/>
      <c r="AR6" s="324"/>
      <c r="AS6" s="312"/>
      <c r="AT6" s="66"/>
      <c r="AU6" s="53"/>
      <c r="AV6" s="53"/>
      <c r="AW6" s="33"/>
      <c r="AX6" s="33"/>
      <c r="AY6" s="33"/>
      <c r="AZ6" s="33"/>
      <c r="BA6" s="33"/>
      <c r="BB6" s="33"/>
      <c r="BC6" s="33"/>
    </row>
    <row r="7" spans="1:93" s="15" customFormat="1" ht="16" customHeight="1">
      <c r="A7" s="26" t="s">
        <v>140</v>
      </c>
      <c r="B7" s="27">
        <v>38</v>
      </c>
      <c r="C7" s="29">
        <v>20.260000000000002</v>
      </c>
      <c r="D7" s="27">
        <v>6</v>
      </c>
      <c r="E7" s="27">
        <v>8</v>
      </c>
      <c r="F7" s="27">
        <v>4</v>
      </c>
      <c r="G7" s="27">
        <v>98</v>
      </c>
      <c r="H7" s="27">
        <v>83</v>
      </c>
      <c r="I7" s="30">
        <f t="shared" si="2"/>
        <v>0.15306122448979587</v>
      </c>
      <c r="J7" s="27">
        <v>17</v>
      </c>
      <c r="K7" s="27">
        <v>9</v>
      </c>
      <c r="L7" s="30">
        <f t="shared" si="0"/>
        <v>0.47058823529411764</v>
      </c>
      <c r="M7" s="27">
        <v>104</v>
      </c>
      <c r="N7" s="27">
        <v>87</v>
      </c>
      <c r="O7" s="30">
        <f t="shared" si="1"/>
        <v>0.16346153846153844</v>
      </c>
      <c r="P7" s="31">
        <v>0.69320000000000004</v>
      </c>
      <c r="Q7" s="169" t="s">
        <v>140</v>
      </c>
      <c r="R7" s="27" t="s">
        <v>119</v>
      </c>
      <c r="S7" s="28" t="s">
        <v>1</v>
      </c>
      <c r="T7" s="51" t="s">
        <v>220</v>
      </c>
      <c r="U7" s="159" t="s">
        <v>601</v>
      </c>
      <c r="V7" s="28" t="s">
        <v>291</v>
      </c>
      <c r="W7" s="28"/>
      <c r="X7" s="316"/>
      <c r="Y7" s="322"/>
      <c r="Z7" s="324"/>
      <c r="AA7" s="312"/>
      <c r="AB7" s="317"/>
      <c r="AC7" s="35">
        <f>SUM(AT7:CO7)</f>
        <v>169</v>
      </c>
      <c r="AD7" s="320"/>
      <c r="AE7" s="318"/>
      <c r="AF7" s="25">
        <f>COUNT(AT7:CO7)</f>
        <v>18</v>
      </c>
      <c r="AG7" s="320"/>
      <c r="AH7" s="14">
        <f>SUM(AW7:BH7,BP7:CO7)</f>
        <v>59</v>
      </c>
      <c r="AI7">
        <f>SUM(AV7:CO7)</f>
        <v>165</v>
      </c>
      <c r="AJ7" s="25">
        <v>10886</v>
      </c>
      <c r="AK7" s="319"/>
      <c r="AL7" s="326"/>
      <c r="AM7" s="71">
        <f>((AJ7)/($AK$2))*(($AB$2*AC7+$AE$2*AF7)/(($AB$2*$AD$2)+($AE$2*$AG$2)))</f>
        <v>12.011083863483384</v>
      </c>
      <c r="AN7" s="35" t="str">
        <f>IF(AM7&lt;$AP$2,"low",IF(AM7&lt;2,"medium","high"))</f>
        <v>high</v>
      </c>
      <c r="AO7" s="167">
        <v>37</v>
      </c>
      <c r="AP7" s="315"/>
      <c r="AQ7" s="324"/>
      <c r="AR7" s="324"/>
      <c r="AS7" s="312"/>
      <c r="AT7" s="69">
        <v>4</v>
      </c>
      <c r="AU7" s="51"/>
      <c r="AV7" s="51"/>
      <c r="AW7" s="27"/>
      <c r="AX7" s="27">
        <v>3</v>
      </c>
      <c r="AY7" s="27"/>
      <c r="AZ7" s="27"/>
      <c r="BA7" s="27"/>
      <c r="BB7" s="27">
        <v>1</v>
      </c>
      <c r="BC7" s="27"/>
      <c r="BD7" s="15">
        <v>6</v>
      </c>
      <c r="BI7" s="15">
        <v>59</v>
      </c>
      <c r="BJ7" s="15">
        <v>9</v>
      </c>
      <c r="BK7" s="15">
        <v>24</v>
      </c>
      <c r="BM7" s="15">
        <v>14</v>
      </c>
      <c r="BP7" s="15">
        <v>21</v>
      </c>
      <c r="BS7" s="15">
        <v>1</v>
      </c>
      <c r="BT7" s="15">
        <v>4</v>
      </c>
      <c r="BW7" s="15">
        <v>6</v>
      </c>
      <c r="BX7" s="15">
        <v>2</v>
      </c>
      <c r="BY7" s="15">
        <v>1</v>
      </c>
      <c r="CC7" s="15">
        <v>1</v>
      </c>
      <c r="CD7" s="15">
        <v>5</v>
      </c>
      <c r="CE7" s="15">
        <v>7</v>
      </c>
      <c r="CG7" s="15">
        <v>1</v>
      </c>
    </row>
    <row r="8" spans="1:93" s="15" customFormat="1" ht="16" customHeight="1">
      <c r="A8" s="26" t="s">
        <v>141</v>
      </c>
      <c r="B8" s="27">
        <v>30</v>
      </c>
      <c r="C8" s="29">
        <v>22.08</v>
      </c>
      <c r="D8" s="27">
        <v>9</v>
      </c>
      <c r="E8" s="27">
        <v>7</v>
      </c>
      <c r="F8" s="27">
        <v>1</v>
      </c>
      <c r="G8" s="27">
        <v>85</v>
      </c>
      <c r="H8" s="27">
        <v>59</v>
      </c>
      <c r="I8" s="30">
        <f t="shared" si="2"/>
        <v>0.30588235294117649</v>
      </c>
      <c r="J8" s="27">
        <v>9</v>
      </c>
      <c r="K8" s="27">
        <v>10</v>
      </c>
      <c r="L8" s="30">
        <f t="shared" si="0"/>
        <v>-0.11111111111111116</v>
      </c>
      <c r="M8" s="27">
        <v>84</v>
      </c>
      <c r="N8" s="27">
        <v>72</v>
      </c>
      <c r="O8" s="30">
        <f t="shared" si="1"/>
        <v>0.1428571428571429</v>
      </c>
      <c r="P8" s="31">
        <v>0.72250000000000003</v>
      </c>
      <c r="Q8" s="169" t="s">
        <v>141</v>
      </c>
      <c r="R8" s="27" t="s">
        <v>118</v>
      </c>
      <c r="S8" s="28" t="s">
        <v>1</v>
      </c>
      <c r="T8" s="51" t="s">
        <v>221</v>
      </c>
      <c r="U8" s="159" t="s">
        <v>601</v>
      </c>
      <c r="V8" s="28" t="s">
        <v>291</v>
      </c>
      <c r="W8" s="28"/>
      <c r="X8" s="316"/>
      <c r="Y8" s="322"/>
      <c r="Z8" s="324"/>
      <c r="AA8" s="312"/>
      <c r="AB8" s="317"/>
      <c r="AC8" s="35">
        <f>SUM(AT8:CO8)</f>
        <v>130</v>
      </c>
      <c r="AD8" s="320"/>
      <c r="AE8" s="318"/>
      <c r="AF8" s="25">
        <f>COUNT(AT8:CO8)</f>
        <v>16</v>
      </c>
      <c r="AG8" s="320"/>
      <c r="AH8" s="14">
        <f>SUM(AW8:BH8,BP8:CO8)</f>
        <v>50</v>
      </c>
      <c r="AI8">
        <f>SUM(AV8:CO8)</f>
        <v>126</v>
      </c>
      <c r="AJ8" s="25">
        <v>8238</v>
      </c>
      <c r="AK8" s="319"/>
      <c r="AL8" s="326"/>
      <c r="AM8" s="71">
        <f>((AJ8)/($AK$2))*(($AB$2*AC8+$AE$2*AF8)/(($AB$2*$AD$2)+($AE$2*$AG$2)))</f>
        <v>7.1416786799633689</v>
      </c>
      <c r="AN8" s="35" t="str">
        <f>IF(AM8&lt;$AP$2,"low",IF(AM8&lt;2,"medium","high"))</f>
        <v>high</v>
      </c>
      <c r="AO8" s="167">
        <v>36</v>
      </c>
      <c r="AP8" s="315"/>
      <c r="AQ8" s="324"/>
      <c r="AR8" s="324"/>
      <c r="AS8" s="312"/>
      <c r="AT8" s="69">
        <v>4</v>
      </c>
      <c r="AU8" s="51"/>
      <c r="AV8" s="51"/>
      <c r="AW8" s="27">
        <v>2</v>
      </c>
      <c r="AX8" s="27">
        <v>1</v>
      </c>
      <c r="AY8" s="27"/>
      <c r="AZ8" s="27"/>
      <c r="BA8" s="27"/>
      <c r="BB8" s="27"/>
      <c r="BC8" s="27"/>
      <c r="BD8" s="15">
        <v>6</v>
      </c>
      <c r="BI8" s="15">
        <v>53</v>
      </c>
      <c r="BJ8" s="15">
        <v>11</v>
      </c>
      <c r="BK8" s="15">
        <v>8</v>
      </c>
      <c r="BM8" s="15">
        <v>4</v>
      </c>
      <c r="BP8" s="15">
        <v>20</v>
      </c>
      <c r="BW8" s="15">
        <v>6</v>
      </c>
      <c r="BX8" s="15">
        <v>2</v>
      </c>
      <c r="BY8" s="15">
        <v>1</v>
      </c>
      <c r="CC8" s="15">
        <v>2</v>
      </c>
      <c r="CD8" s="15">
        <v>8</v>
      </c>
      <c r="CF8" s="15">
        <v>1</v>
      </c>
      <c r="CG8" s="15">
        <v>1</v>
      </c>
    </row>
    <row r="9" spans="1:93" s="25" customFormat="1" ht="16" customHeight="1">
      <c r="A9" s="32" t="s">
        <v>184</v>
      </c>
      <c r="B9" s="36">
        <f>AVERAGE(B7:B8)</f>
        <v>34</v>
      </c>
      <c r="C9" s="36">
        <f>AVERAGE(C7:C8)</f>
        <v>21.17</v>
      </c>
      <c r="D9" s="36">
        <f>AVERAGE(D7:D8)</f>
        <v>7.5</v>
      </c>
      <c r="E9" s="36">
        <f>AVERAGE(E7:E8)</f>
        <v>7.5</v>
      </c>
      <c r="F9" s="36">
        <f>AVERAGE(F7:F8)</f>
        <v>2.5</v>
      </c>
      <c r="G9" s="36">
        <f>SUBTOTAL(1,G7:G8)</f>
        <v>91.5</v>
      </c>
      <c r="H9" s="36">
        <f>SUBTOTAL(1,H7:H8)</f>
        <v>71</v>
      </c>
      <c r="I9" s="37">
        <f t="shared" si="2"/>
        <v>0.22404371584699456</v>
      </c>
      <c r="J9" s="36">
        <f>SUBTOTAL(1,J7:J8)</f>
        <v>13</v>
      </c>
      <c r="K9" s="36">
        <f>SUBTOTAL(1,K7:K8)</f>
        <v>9.5</v>
      </c>
      <c r="L9" s="37">
        <f t="shared" si="0"/>
        <v>0.26923076923076927</v>
      </c>
      <c r="M9" s="36">
        <f>SUBTOTAL(1,M7:M8)</f>
        <v>94</v>
      </c>
      <c r="N9" s="36">
        <f>SUBTOTAL(1,N7:N8)</f>
        <v>79.5</v>
      </c>
      <c r="O9" s="37">
        <f t="shared" si="1"/>
        <v>0.1542553191489362</v>
      </c>
      <c r="P9" s="37">
        <f>SUBTOTAL(1,P7:P8)</f>
        <v>0.70785000000000009</v>
      </c>
      <c r="Q9" s="170" t="s">
        <v>184</v>
      </c>
      <c r="R9" s="33" t="s">
        <v>48</v>
      </c>
      <c r="S9" s="35" t="s">
        <v>1</v>
      </c>
      <c r="U9" s="32"/>
      <c r="V9" s="35"/>
      <c r="W9" s="35"/>
      <c r="X9" s="316"/>
      <c r="Y9" s="322"/>
      <c r="Z9" s="324"/>
      <c r="AA9" s="312"/>
      <c r="AB9" s="317"/>
      <c r="AC9" s="35"/>
      <c r="AD9" s="320"/>
      <c r="AE9" s="318"/>
      <c r="AG9" s="320"/>
      <c r="AH9"/>
      <c r="AI9"/>
      <c r="AK9" s="319"/>
      <c r="AL9" s="326"/>
      <c r="AM9" s="71"/>
      <c r="AN9" s="35"/>
      <c r="AO9" s="168"/>
      <c r="AP9" s="315"/>
      <c r="AQ9" s="324"/>
      <c r="AR9" s="324"/>
      <c r="AS9" s="312"/>
      <c r="AT9" s="70"/>
      <c r="BY9" s="15"/>
      <c r="BZ9" s="15"/>
      <c r="CA9" s="15"/>
      <c r="CB9" s="15"/>
      <c r="CC9" s="15"/>
      <c r="CD9" s="15"/>
      <c r="CE9" s="15"/>
      <c r="CF9" s="15"/>
      <c r="CG9" s="15"/>
      <c r="CH9" s="15"/>
      <c r="CI9" s="15"/>
      <c r="CJ9" s="15"/>
      <c r="CK9" s="15"/>
      <c r="CL9" s="15"/>
      <c r="CM9" s="15"/>
    </row>
    <row r="10" spans="1:93" s="25" customFormat="1" ht="16" customHeight="1">
      <c r="A10" s="26" t="s">
        <v>142</v>
      </c>
      <c r="B10" s="27">
        <v>7</v>
      </c>
      <c r="C10" s="29">
        <v>16.850000000000001</v>
      </c>
      <c r="D10" s="27">
        <v>0</v>
      </c>
      <c r="E10" s="27">
        <v>1</v>
      </c>
      <c r="F10" s="27">
        <v>0</v>
      </c>
      <c r="G10" s="27">
        <v>27</v>
      </c>
      <c r="H10" s="27">
        <v>17</v>
      </c>
      <c r="I10" s="30">
        <f t="shared" si="2"/>
        <v>0.37037037037037035</v>
      </c>
      <c r="J10" s="27">
        <v>0</v>
      </c>
      <c r="K10" s="27">
        <v>0</v>
      </c>
      <c r="L10" s="30">
        <f>IF(AND(K10=0,J10=0),0,1-(K10/J10))</f>
        <v>0</v>
      </c>
      <c r="M10" s="27">
        <v>23</v>
      </c>
      <c r="N10" s="27">
        <v>18</v>
      </c>
      <c r="O10" s="30">
        <f t="shared" si="1"/>
        <v>0.21739130434782605</v>
      </c>
      <c r="P10" s="31">
        <v>0.71850000000000003</v>
      </c>
      <c r="Q10" s="169" t="s">
        <v>142</v>
      </c>
      <c r="R10" s="27" t="s">
        <v>36</v>
      </c>
      <c r="S10" s="28" t="s">
        <v>1</v>
      </c>
      <c r="T10" s="51" t="s">
        <v>297</v>
      </c>
      <c r="U10" s="159" t="s">
        <v>601</v>
      </c>
      <c r="V10" s="28" t="s">
        <v>291</v>
      </c>
      <c r="W10" s="28"/>
      <c r="X10" s="316"/>
      <c r="Y10" s="322"/>
      <c r="Z10" s="324"/>
      <c r="AA10" s="312"/>
      <c r="AB10" s="317"/>
      <c r="AC10" s="35">
        <f t="shared" ref="AC10:AC17" si="4">SUM(AT10:CO10)</f>
        <v>35</v>
      </c>
      <c r="AD10" s="320"/>
      <c r="AE10" s="318"/>
      <c r="AF10" s="25">
        <f t="shared" ref="AF10:AF19" si="5">COUNT(AT10:CO10)</f>
        <v>9</v>
      </c>
      <c r="AG10" s="320"/>
      <c r="AH10" s="14">
        <f>SUM(AW10:BH10,BP10:CO10)</f>
        <v>8</v>
      </c>
      <c r="AI10">
        <f t="shared" ref="AI10:AI17" si="6">SUM(AV10:CO10)</f>
        <v>30</v>
      </c>
      <c r="AJ10" s="25">
        <v>2516</v>
      </c>
      <c r="AK10" s="319"/>
      <c r="AL10" s="326"/>
      <c r="AM10" s="71">
        <f>((AJ10)/($AK$2))*(($AB$2*AC10+$AE$2*AF10)/(($AB$2*$AD$2)+($AE$2*$AG$2)))</f>
        <v>0.68692634591772206</v>
      </c>
      <c r="AN10" s="35" t="str">
        <f>IF(AM10&lt;$AP$2,"low",IF(AM10&lt;2,"medium","high"))</f>
        <v>medium</v>
      </c>
      <c r="AO10" s="167">
        <v>17</v>
      </c>
      <c r="AP10" s="315"/>
      <c r="AQ10" s="324"/>
      <c r="AR10" s="324"/>
      <c r="AS10" s="312"/>
      <c r="AT10" s="69">
        <v>3</v>
      </c>
      <c r="AU10" s="51">
        <v>2</v>
      </c>
      <c r="AV10" s="51"/>
      <c r="AW10" s="27">
        <v>1</v>
      </c>
      <c r="AX10" s="27"/>
      <c r="AY10" s="27"/>
      <c r="AZ10" s="27"/>
      <c r="BA10" s="27"/>
      <c r="BB10" s="27"/>
      <c r="BC10" s="27"/>
      <c r="BD10" s="51">
        <v>1</v>
      </c>
      <c r="BE10" s="51"/>
      <c r="BF10" s="51"/>
      <c r="BG10" s="51"/>
      <c r="BH10" s="15"/>
      <c r="BI10" s="15">
        <v>7</v>
      </c>
      <c r="BJ10" s="15">
        <v>3</v>
      </c>
      <c r="BK10" s="15">
        <v>8</v>
      </c>
      <c r="BL10" s="15"/>
      <c r="BM10" s="15">
        <v>4</v>
      </c>
      <c r="BN10" s="15"/>
      <c r="BO10" s="15"/>
      <c r="BP10" s="15">
        <v>6</v>
      </c>
      <c r="BQ10" s="15"/>
      <c r="BR10" s="15"/>
      <c r="BS10" s="15"/>
      <c r="BT10" s="15"/>
      <c r="BU10" s="15"/>
      <c r="BV10" s="15"/>
      <c r="BW10" s="15"/>
      <c r="BX10" s="15"/>
      <c r="BY10" s="15"/>
      <c r="BZ10" s="15"/>
      <c r="CA10" s="15"/>
      <c r="CB10" s="15"/>
      <c r="CC10" s="15"/>
      <c r="CD10" s="15"/>
      <c r="CE10" s="15"/>
      <c r="CF10" s="15"/>
      <c r="CG10" s="15"/>
      <c r="CH10" s="15"/>
      <c r="CI10" s="15"/>
      <c r="CJ10" s="15"/>
      <c r="CK10" s="15"/>
      <c r="CL10" s="15"/>
      <c r="CM10" s="15"/>
    </row>
    <row r="11" spans="1:93" s="14" customFormat="1" ht="16" customHeight="1">
      <c r="A11" s="26" t="s">
        <v>143</v>
      </c>
      <c r="B11" s="27">
        <v>4</v>
      </c>
      <c r="C11" s="29">
        <v>22</v>
      </c>
      <c r="D11" s="27">
        <v>0</v>
      </c>
      <c r="E11" s="27">
        <v>1</v>
      </c>
      <c r="F11" s="27">
        <v>0</v>
      </c>
      <c r="G11" s="27">
        <v>13</v>
      </c>
      <c r="H11" s="27">
        <v>12</v>
      </c>
      <c r="I11" s="30">
        <f t="shared" si="2"/>
        <v>7.6923076923076872E-2</v>
      </c>
      <c r="J11" s="27">
        <v>3</v>
      </c>
      <c r="K11" s="27">
        <v>4</v>
      </c>
      <c r="L11" s="30">
        <f t="shared" si="0"/>
        <v>-0.33333333333333326</v>
      </c>
      <c r="M11" s="27">
        <v>13</v>
      </c>
      <c r="N11" s="27">
        <v>13</v>
      </c>
      <c r="O11" s="30">
        <f t="shared" si="1"/>
        <v>0</v>
      </c>
      <c r="P11" s="31">
        <v>0.8246</v>
      </c>
      <c r="Q11" s="169" t="s">
        <v>143</v>
      </c>
      <c r="R11" s="27" t="s">
        <v>37</v>
      </c>
      <c r="S11" s="28" t="s">
        <v>1</v>
      </c>
      <c r="T11" s="51" t="s">
        <v>222</v>
      </c>
      <c r="U11" s="159" t="s">
        <v>602</v>
      </c>
      <c r="V11" s="28" t="s">
        <v>291</v>
      </c>
      <c r="W11" s="28"/>
      <c r="X11" s="316"/>
      <c r="Y11" s="322"/>
      <c r="Z11" s="324"/>
      <c r="AA11" s="312"/>
      <c r="AB11" s="317"/>
      <c r="AC11" s="35">
        <f t="shared" si="4"/>
        <v>21</v>
      </c>
      <c r="AD11" s="320"/>
      <c r="AE11" s="318"/>
      <c r="AF11" s="25">
        <f t="shared" si="5"/>
        <v>4</v>
      </c>
      <c r="AG11" s="320"/>
      <c r="AH11" s="14">
        <f t="shared" ref="AH11:AH17" si="7">SUM(AW11:BH11,BP11:CO11)</f>
        <v>10</v>
      </c>
      <c r="AI11">
        <f t="shared" si="6"/>
        <v>21</v>
      </c>
      <c r="AJ11" s="25">
        <v>1456</v>
      </c>
      <c r="AK11" s="319"/>
      <c r="AL11" s="326"/>
      <c r="AM11" s="71">
        <f>((AJ11)/($AK$2))*(($AB$2*AC11+$AE$2*AF11)/(($AB$2*$AD$2)+($AE$2*$AG$2)))</f>
        <v>0.22130077615194707</v>
      </c>
      <c r="AN11" s="35" t="str">
        <f>IF(AM11&lt;$AP$2,"low",IF(AM11&lt;2,"medium","high"))</f>
        <v>low</v>
      </c>
      <c r="AO11" s="166">
        <v>4</v>
      </c>
      <c r="AP11" s="315"/>
      <c r="AQ11" s="324"/>
      <c r="AR11" s="324"/>
      <c r="AS11" s="312"/>
      <c r="AT11" s="69"/>
      <c r="AU11" s="51"/>
      <c r="AV11" s="51"/>
      <c r="AW11" s="27"/>
      <c r="AX11" s="27"/>
      <c r="AY11" s="27"/>
      <c r="AZ11" s="27"/>
      <c r="BA11" s="27"/>
      <c r="BB11" s="27"/>
      <c r="BC11" s="27"/>
      <c r="BD11" s="15"/>
      <c r="BE11" s="15"/>
      <c r="BF11" s="15"/>
      <c r="BG11" s="15"/>
      <c r="BH11" s="15"/>
      <c r="BI11" s="15">
        <v>11</v>
      </c>
      <c r="BJ11" s="15"/>
      <c r="BK11" s="15"/>
      <c r="BL11" s="15"/>
      <c r="BM11" s="15"/>
      <c r="BN11" s="15"/>
      <c r="BO11" s="15"/>
      <c r="BP11" s="15">
        <v>6</v>
      </c>
      <c r="BQ11" s="15"/>
      <c r="BR11" s="15"/>
      <c r="BS11" s="15"/>
      <c r="BT11" s="15"/>
      <c r="BU11" s="15"/>
      <c r="BV11" s="15"/>
      <c r="BW11" s="15">
        <v>2</v>
      </c>
      <c r="BX11" s="15">
        <v>2</v>
      </c>
      <c r="BY11" s="15"/>
      <c r="BZ11" s="15"/>
      <c r="CA11" s="15"/>
      <c r="CB11" s="15"/>
      <c r="CC11" s="15"/>
      <c r="CD11" s="15"/>
      <c r="CE11" s="15"/>
      <c r="CF11" s="15"/>
      <c r="CG11" s="15"/>
      <c r="CH11" s="15"/>
      <c r="CI11" s="15"/>
      <c r="CJ11" s="15"/>
      <c r="CK11" s="15"/>
      <c r="CL11" s="15"/>
      <c r="CM11" s="15"/>
    </row>
    <row r="12" spans="1:93" s="14" customFormat="1" ht="16" hidden="1" customHeight="1">
      <c r="A12" s="26" t="s">
        <v>144</v>
      </c>
      <c r="B12" s="27">
        <v>5</v>
      </c>
      <c r="C12" s="29">
        <v>17.399999999999999</v>
      </c>
      <c r="D12" s="27">
        <v>1</v>
      </c>
      <c r="E12" s="27">
        <v>3</v>
      </c>
      <c r="F12" s="27">
        <v>0</v>
      </c>
      <c r="G12" s="27">
        <v>14</v>
      </c>
      <c r="H12" s="27">
        <v>8</v>
      </c>
      <c r="I12" s="30">
        <f t="shared" si="2"/>
        <v>0.4285714285714286</v>
      </c>
      <c r="J12" s="27">
        <v>3</v>
      </c>
      <c r="K12" s="27">
        <v>2</v>
      </c>
      <c r="L12" s="30">
        <f t="shared" si="0"/>
        <v>0.33333333333333337</v>
      </c>
      <c r="M12" s="27">
        <v>14</v>
      </c>
      <c r="N12" s="27">
        <v>8</v>
      </c>
      <c r="O12" s="30">
        <f t="shared" si="1"/>
        <v>0.4285714285714286</v>
      </c>
      <c r="P12" s="31">
        <v>0.75570000000000004</v>
      </c>
      <c r="Q12" s="169" t="s">
        <v>144</v>
      </c>
      <c r="R12" s="27" t="s">
        <v>58</v>
      </c>
      <c r="S12" s="28" t="s">
        <v>1</v>
      </c>
      <c r="T12" s="51" t="s">
        <v>223</v>
      </c>
      <c r="U12" s="160"/>
      <c r="V12" s="28"/>
      <c r="W12" s="28"/>
      <c r="X12" s="316"/>
      <c r="Y12" s="322"/>
      <c r="Z12" s="324"/>
      <c r="AA12" s="312"/>
      <c r="AB12" s="317"/>
      <c r="AC12" s="35">
        <f t="shared" si="4"/>
        <v>0</v>
      </c>
      <c r="AD12" s="320"/>
      <c r="AE12" s="318"/>
      <c r="AF12" s="25">
        <f t="shared" si="5"/>
        <v>0</v>
      </c>
      <c r="AG12" s="320"/>
      <c r="AH12" s="14">
        <f t="shared" si="7"/>
        <v>0</v>
      </c>
      <c r="AI12">
        <f t="shared" si="6"/>
        <v>0</v>
      </c>
      <c r="AJ12" s="25"/>
      <c r="AK12" s="319"/>
      <c r="AL12" s="326"/>
      <c r="AM12" s="71"/>
      <c r="AN12" s="35"/>
      <c r="AO12" s="166"/>
      <c r="AP12" s="315"/>
      <c r="AQ12" s="324"/>
      <c r="AR12" s="324"/>
      <c r="AS12" s="312"/>
      <c r="AT12" s="69"/>
      <c r="AU12" s="51"/>
      <c r="AV12" s="51"/>
      <c r="AW12" s="27"/>
      <c r="AX12" s="27"/>
      <c r="AY12" s="27"/>
      <c r="AZ12" s="27"/>
      <c r="BA12" s="27"/>
      <c r="BB12" s="27"/>
      <c r="BC12" s="27"/>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row>
    <row r="13" spans="1:93" s="14" customFormat="1" ht="16" customHeight="1">
      <c r="A13" s="26" t="s">
        <v>145</v>
      </c>
      <c r="B13" s="27">
        <v>4</v>
      </c>
      <c r="C13" s="29">
        <v>19.75</v>
      </c>
      <c r="D13" s="27">
        <v>0</v>
      </c>
      <c r="E13" s="27">
        <v>1</v>
      </c>
      <c r="F13" s="27">
        <v>0</v>
      </c>
      <c r="G13" s="27">
        <v>11</v>
      </c>
      <c r="H13" s="27">
        <v>8</v>
      </c>
      <c r="I13" s="30">
        <f t="shared" si="2"/>
        <v>0.27272727272727271</v>
      </c>
      <c r="J13" s="27">
        <v>2</v>
      </c>
      <c r="K13" s="27">
        <v>2</v>
      </c>
      <c r="L13" s="30">
        <f t="shared" si="0"/>
        <v>0</v>
      </c>
      <c r="M13" s="27">
        <v>11</v>
      </c>
      <c r="N13" s="27">
        <v>8</v>
      </c>
      <c r="O13" s="30">
        <f t="shared" si="1"/>
        <v>0.27272727272727271</v>
      </c>
      <c r="P13" s="31">
        <v>0.78849999999999998</v>
      </c>
      <c r="Q13" s="169" t="s">
        <v>145</v>
      </c>
      <c r="R13" s="27" t="s">
        <v>38</v>
      </c>
      <c r="S13" s="28" t="s">
        <v>1</v>
      </c>
      <c r="T13" s="51" t="s">
        <v>228</v>
      </c>
      <c r="U13" s="159" t="s">
        <v>602</v>
      </c>
      <c r="V13" s="28" t="s">
        <v>291</v>
      </c>
      <c r="W13" s="28"/>
      <c r="X13" s="316"/>
      <c r="Y13" s="322"/>
      <c r="Z13" s="324"/>
      <c r="AA13" s="312"/>
      <c r="AB13" s="317"/>
      <c r="AC13" s="35">
        <f t="shared" si="4"/>
        <v>14</v>
      </c>
      <c r="AD13" s="320"/>
      <c r="AE13" s="318"/>
      <c r="AF13" s="25">
        <f t="shared" si="5"/>
        <v>7</v>
      </c>
      <c r="AG13" s="320"/>
      <c r="AH13" s="14">
        <f t="shared" si="7"/>
        <v>7</v>
      </c>
      <c r="AI13">
        <f t="shared" si="6"/>
        <v>14</v>
      </c>
      <c r="AJ13" s="25">
        <v>1106</v>
      </c>
      <c r="AK13" s="319"/>
      <c r="AL13" s="326"/>
      <c r="AM13" s="71">
        <f>((AJ13)/($AK$2))*(($AB$2*AC13+$AE$2*AF13)/(($AB$2*$AD$2)+($AE$2*$AG$2)))</f>
        <v>0.15253833769305328</v>
      </c>
      <c r="AN13" s="35" t="str">
        <f>IF(AM13&lt;$AP$2,"low",IF(AM13&lt;2,"medium","high"))</f>
        <v>low</v>
      </c>
      <c r="AO13" s="166">
        <v>3</v>
      </c>
      <c r="AP13" s="315"/>
      <c r="AQ13" s="324"/>
      <c r="AR13" s="324"/>
      <c r="AS13" s="312"/>
      <c r="AT13" s="69"/>
      <c r="AU13" s="51"/>
      <c r="AV13" s="51"/>
      <c r="AW13" s="27"/>
      <c r="AX13" s="27"/>
      <c r="AY13" s="27"/>
      <c r="AZ13" s="27"/>
      <c r="BA13" s="27"/>
      <c r="BB13" s="27"/>
      <c r="BC13" s="27"/>
      <c r="BD13" s="15"/>
      <c r="BE13" s="15"/>
      <c r="BF13" s="15"/>
      <c r="BG13" s="15"/>
      <c r="BH13" s="15"/>
      <c r="BI13" s="15">
        <v>7</v>
      </c>
      <c r="BJ13" s="15"/>
      <c r="BK13" s="15"/>
      <c r="BL13" s="15"/>
      <c r="BM13" s="15"/>
      <c r="BN13" s="15"/>
      <c r="BO13" s="15"/>
      <c r="BP13" s="15">
        <v>2</v>
      </c>
      <c r="BQ13" s="15"/>
      <c r="BR13" s="15"/>
      <c r="BS13" s="15"/>
      <c r="BT13" s="15"/>
      <c r="BU13" s="15"/>
      <c r="BV13" s="15"/>
      <c r="BW13" s="15">
        <v>1</v>
      </c>
      <c r="BX13" s="15"/>
      <c r="BY13" s="15">
        <v>1</v>
      </c>
      <c r="BZ13" s="15"/>
      <c r="CA13" s="15"/>
      <c r="CB13" s="15"/>
      <c r="CC13" s="15">
        <v>1</v>
      </c>
      <c r="CD13" s="15">
        <v>1</v>
      </c>
      <c r="CE13" s="15"/>
      <c r="CF13" s="15"/>
      <c r="CG13" s="15">
        <v>1</v>
      </c>
      <c r="CH13" s="15"/>
      <c r="CI13" s="15"/>
      <c r="CJ13" s="15"/>
      <c r="CK13" s="15"/>
      <c r="CL13" s="15"/>
      <c r="CM13" s="15"/>
    </row>
    <row r="14" spans="1:93" s="14" customFormat="1" ht="16" hidden="1" customHeight="1">
      <c r="A14" s="26" t="s">
        <v>146</v>
      </c>
      <c r="B14" s="27">
        <v>9</v>
      </c>
      <c r="C14" s="29">
        <v>19.329999999999998</v>
      </c>
      <c r="D14" s="27">
        <v>0</v>
      </c>
      <c r="E14" s="27">
        <v>2</v>
      </c>
      <c r="F14" s="27">
        <v>0</v>
      </c>
      <c r="G14" s="27">
        <v>40</v>
      </c>
      <c r="H14" s="27">
        <v>33</v>
      </c>
      <c r="I14" s="30">
        <f t="shared" si="2"/>
        <v>0.17500000000000004</v>
      </c>
      <c r="J14" s="27">
        <v>4</v>
      </c>
      <c r="K14" s="27">
        <v>2</v>
      </c>
      <c r="L14" s="30">
        <f t="shared" si="0"/>
        <v>0.5</v>
      </c>
      <c r="M14" s="27">
        <v>43</v>
      </c>
      <c r="N14" s="27">
        <v>39</v>
      </c>
      <c r="O14" s="30">
        <f t="shared" si="1"/>
        <v>9.3023255813953543E-2</v>
      </c>
      <c r="P14" s="31">
        <v>0.8054</v>
      </c>
      <c r="Q14" s="169" t="s">
        <v>146</v>
      </c>
      <c r="R14" s="41" t="s">
        <v>198</v>
      </c>
      <c r="S14" s="28" t="s">
        <v>1</v>
      </c>
      <c r="T14" s="51" t="s">
        <v>257</v>
      </c>
      <c r="U14" s="160"/>
      <c r="V14" s="28"/>
      <c r="W14" s="28"/>
      <c r="X14" s="316"/>
      <c r="Y14" s="322"/>
      <c r="Z14" s="324"/>
      <c r="AA14" s="312"/>
      <c r="AB14" s="317"/>
      <c r="AC14" s="35">
        <f t="shared" si="4"/>
        <v>0</v>
      </c>
      <c r="AD14" s="320"/>
      <c r="AE14" s="318"/>
      <c r="AF14" s="25">
        <f t="shared" si="5"/>
        <v>0</v>
      </c>
      <c r="AG14" s="320"/>
      <c r="AH14" s="14">
        <f t="shared" si="7"/>
        <v>0</v>
      </c>
      <c r="AI14">
        <f t="shared" si="6"/>
        <v>0</v>
      </c>
      <c r="AJ14" s="25"/>
      <c r="AK14" s="319"/>
      <c r="AL14" s="326"/>
      <c r="AM14" s="71"/>
      <c r="AN14" s="35"/>
      <c r="AO14" s="166"/>
      <c r="AP14" s="315"/>
      <c r="AQ14" s="324"/>
      <c r="AR14" s="324"/>
      <c r="AS14" s="312"/>
      <c r="AT14" s="69"/>
      <c r="AU14" s="51"/>
      <c r="AV14" s="51"/>
      <c r="AW14" s="27"/>
      <c r="AX14" s="27"/>
      <c r="AY14" s="27"/>
      <c r="AZ14" s="27"/>
      <c r="BA14" s="27"/>
      <c r="BB14" s="27"/>
      <c r="BC14" s="27"/>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row>
    <row r="15" spans="1:93" s="14" customFormat="1" ht="16" customHeight="1">
      <c r="A15" s="26" t="s">
        <v>147</v>
      </c>
      <c r="B15" s="27">
        <v>8</v>
      </c>
      <c r="C15" s="29">
        <v>15.25</v>
      </c>
      <c r="D15" s="27">
        <v>0</v>
      </c>
      <c r="E15" s="27">
        <v>3</v>
      </c>
      <c r="F15" s="27">
        <v>0</v>
      </c>
      <c r="G15" s="27">
        <v>20</v>
      </c>
      <c r="H15" s="27">
        <v>12</v>
      </c>
      <c r="I15" s="30">
        <f t="shared" si="2"/>
        <v>0.4</v>
      </c>
      <c r="J15" s="27">
        <v>7</v>
      </c>
      <c r="K15" s="27">
        <v>3</v>
      </c>
      <c r="L15" s="30">
        <f t="shared" si="0"/>
        <v>0.5714285714285714</v>
      </c>
      <c r="M15" s="27">
        <v>22</v>
      </c>
      <c r="N15" s="27">
        <v>12</v>
      </c>
      <c r="O15" s="30">
        <f t="shared" si="1"/>
        <v>0.45454545454545459</v>
      </c>
      <c r="P15" s="31">
        <v>0.74939999999999996</v>
      </c>
      <c r="Q15" s="169" t="s">
        <v>147</v>
      </c>
      <c r="R15" s="27" t="s">
        <v>39</v>
      </c>
      <c r="S15" s="28" t="s">
        <v>1</v>
      </c>
      <c r="T15" s="51" t="s">
        <v>298</v>
      </c>
      <c r="U15" s="159" t="s">
        <v>602</v>
      </c>
      <c r="V15" s="28" t="s">
        <v>291</v>
      </c>
      <c r="W15" s="28"/>
      <c r="X15" s="316"/>
      <c r="Y15" s="322"/>
      <c r="Z15" s="324"/>
      <c r="AA15" s="312"/>
      <c r="AB15" s="317"/>
      <c r="AC15" s="35">
        <f t="shared" si="4"/>
        <v>24</v>
      </c>
      <c r="AD15" s="320"/>
      <c r="AE15" s="318"/>
      <c r="AF15" s="25">
        <f t="shared" si="5"/>
        <v>5</v>
      </c>
      <c r="AG15" s="320"/>
      <c r="AH15" s="14">
        <f t="shared" si="7"/>
        <v>12</v>
      </c>
      <c r="AI15">
        <f t="shared" si="6"/>
        <v>24</v>
      </c>
      <c r="AJ15" s="25">
        <v>1577</v>
      </c>
      <c r="AK15" s="319"/>
      <c r="AL15" s="326"/>
      <c r="AM15" s="71">
        <f>((AJ15)/($AK$2))*(($AB$2*AC15+$AE$2*AF15)/(($AB$2*$AD$2)+($AE$2*$AG$2)))</f>
        <v>0.27964048396764468</v>
      </c>
      <c r="AN15" s="35" t="str">
        <f>IF(AM15&lt;$AP$2,"low",IF(AM15&lt;2,"medium","high"))</f>
        <v>low</v>
      </c>
      <c r="AO15" s="166">
        <v>7</v>
      </c>
      <c r="AP15" s="315"/>
      <c r="AQ15" s="324"/>
      <c r="AR15" s="324"/>
      <c r="AS15" s="312"/>
      <c r="AT15" s="69"/>
      <c r="AU15" s="51"/>
      <c r="AV15" s="51"/>
      <c r="AW15" s="27">
        <v>1</v>
      </c>
      <c r="AX15" s="27"/>
      <c r="AY15" s="27"/>
      <c r="AZ15" s="27"/>
      <c r="BA15" s="27"/>
      <c r="BB15" s="27"/>
      <c r="BC15" s="27"/>
      <c r="BD15" s="15">
        <v>2</v>
      </c>
      <c r="BE15" s="15"/>
      <c r="BF15" s="15"/>
      <c r="BG15" s="15"/>
      <c r="BH15" s="15"/>
      <c r="BI15" s="15">
        <v>12</v>
      </c>
      <c r="BJ15" s="15"/>
      <c r="BK15" s="15"/>
      <c r="BL15" s="15"/>
      <c r="BM15" s="15"/>
      <c r="BN15" s="15"/>
      <c r="BO15" s="15"/>
      <c r="BP15" s="15">
        <v>6</v>
      </c>
      <c r="BQ15" s="15"/>
      <c r="BR15" s="15"/>
      <c r="BS15" s="15"/>
      <c r="BT15" s="15"/>
      <c r="BU15" s="15"/>
      <c r="BV15" s="15"/>
      <c r="BW15" s="15">
        <v>3</v>
      </c>
      <c r="BX15" s="15"/>
      <c r="BY15" s="15"/>
      <c r="BZ15" s="15"/>
      <c r="CA15" s="15"/>
      <c r="CB15" s="15"/>
      <c r="CC15" s="15"/>
      <c r="CD15" s="15"/>
      <c r="CE15" s="15"/>
      <c r="CF15" s="15"/>
      <c r="CG15" s="15"/>
      <c r="CH15" s="15"/>
      <c r="CI15" s="15"/>
      <c r="CJ15" s="15"/>
      <c r="CK15" s="15"/>
      <c r="CL15" s="15"/>
      <c r="CM15" s="15"/>
    </row>
    <row r="16" spans="1:93" s="14" customFormat="1" ht="16" customHeight="1">
      <c r="A16" s="26" t="s">
        <v>148</v>
      </c>
      <c r="B16" s="27">
        <v>5</v>
      </c>
      <c r="C16" s="29">
        <v>19.2</v>
      </c>
      <c r="D16" s="27">
        <v>1</v>
      </c>
      <c r="E16" s="27">
        <v>0</v>
      </c>
      <c r="F16" s="27">
        <v>0</v>
      </c>
      <c r="G16" s="27">
        <v>14</v>
      </c>
      <c r="H16" s="27">
        <v>12</v>
      </c>
      <c r="I16" s="30">
        <f t="shared" si="2"/>
        <v>0.1428571428571429</v>
      </c>
      <c r="J16" s="27">
        <v>0</v>
      </c>
      <c r="K16" s="27">
        <v>0</v>
      </c>
      <c r="L16" s="30">
        <f>IF(AND(K16=0,J16=0),0,1-(K16/J16))</f>
        <v>0</v>
      </c>
      <c r="M16" s="27">
        <v>15</v>
      </c>
      <c r="N16" s="27">
        <v>14</v>
      </c>
      <c r="O16" s="30">
        <f t="shared" si="1"/>
        <v>6.6666666666666652E-2</v>
      </c>
      <c r="P16" s="31">
        <v>0.85519999999999996</v>
      </c>
      <c r="Q16" s="169" t="s">
        <v>148</v>
      </c>
      <c r="R16" s="27" t="s">
        <v>40</v>
      </c>
      <c r="S16" s="28" t="s">
        <v>1</v>
      </c>
      <c r="T16" s="162" t="s">
        <v>604</v>
      </c>
      <c r="U16" s="159" t="s">
        <v>602</v>
      </c>
      <c r="V16" s="28"/>
      <c r="W16" s="28" t="s">
        <v>291</v>
      </c>
      <c r="X16" s="316"/>
      <c r="Y16" s="322"/>
      <c r="Z16" s="324"/>
      <c r="AA16" s="312"/>
      <c r="AB16" s="317"/>
      <c r="AC16" s="35">
        <f t="shared" si="4"/>
        <v>33</v>
      </c>
      <c r="AD16" s="320"/>
      <c r="AE16" s="318"/>
      <c r="AF16" s="25">
        <f t="shared" si="5"/>
        <v>8</v>
      </c>
      <c r="AG16" s="320"/>
      <c r="AH16" s="14">
        <f t="shared" si="7"/>
        <v>8</v>
      </c>
      <c r="AI16">
        <f t="shared" si="6"/>
        <v>33</v>
      </c>
      <c r="AJ16" s="25">
        <v>2218</v>
      </c>
      <c r="AK16" s="319"/>
      <c r="AL16" s="326"/>
      <c r="AM16" s="71">
        <f>((AJ16)/($AK$2))*(($AB$2*AC16+$AE$2*AF16)/(($AB$2*$AD$2)+($AE$2*$AG$2)))</f>
        <v>0.56186483688761291</v>
      </c>
      <c r="AN16" s="35" t="str">
        <f>IF(AM16&lt;$AP$2,"low",IF(AM16&lt;2,"medium","high"))</f>
        <v>low</v>
      </c>
      <c r="AO16" s="166">
        <v>14</v>
      </c>
      <c r="AP16" s="315"/>
      <c r="AQ16" s="324"/>
      <c r="AR16" s="324"/>
      <c r="AS16" s="312"/>
      <c r="AT16" s="69"/>
      <c r="AU16" s="51"/>
      <c r="AV16" s="51">
        <v>1</v>
      </c>
      <c r="AW16" s="27">
        <v>1</v>
      </c>
      <c r="AX16" s="27"/>
      <c r="AY16" s="27"/>
      <c r="AZ16" s="27"/>
      <c r="BA16" s="27"/>
      <c r="BB16" s="27"/>
      <c r="BC16" s="27"/>
      <c r="BD16" s="15">
        <v>1</v>
      </c>
      <c r="BE16" s="15"/>
      <c r="BF16" s="15"/>
      <c r="BG16" s="15"/>
      <c r="BH16" s="15"/>
      <c r="BI16" s="15">
        <v>7</v>
      </c>
      <c r="BJ16" s="15"/>
      <c r="BK16" s="15">
        <v>10</v>
      </c>
      <c r="BL16" s="15"/>
      <c r="BM16" s="15">
        <v>5</v>
      </c>
      <c r="BN16" s="15"/>
      <c r="BO16" s="15">
        <v>2</v>
      </c>
      <c r="BP16" s="15">
        <v>6</v>
      </c>
      <c r="BQ16" s="15"/>
      <c r="BR16" s="15"/>
      <c r="BS16" s="15"/>
      <c r="BT16" s="15"/>
      <c r="BU16" s="15"/>
      <c r="BV16" s="15"/>
      <c r="BW16" s="15"/>
      <c r="BX16" s="15"/>
      <c r="BY16" s="15"/>
      <c r="BZ16" s="15"/>
      <c r="CA16" s="15"/>
      <c r="CB16" s="15"/>
      <c r="CC16" s="15"/>
      <c r="CD16" s="15"/>
      <c r="CE16" s="15"/>
      <c r="CF16" s="15"/>
      <c r="CG16" s="15"/>
      <c r="CH16" s="15"/>
      <c r="CI16" s="15"/>
      <c r="CJ16" s="15"/>
      <c r="CK16" s="15"/>
      <c r="CL16" s="15"/>
      <c r="CM16" s="15"/>
    </row>
    <row r="17" spans="1:91" s="14" customFormat="1" ht="16" customHeight="1">
      <c r="A17" s="26" t="s">
        <v>149</v>
      </c>
      <c r="B17" s="27">
        <v>7</v>
      </c>
      <c r="C17" s="29">
        <v>16.29</v>
      </c>
      <c r="D17" s="27">
        <v>2</v>
      </c>
      <c r="E17" s="27">
        <v>0</v>
      </c>
      <c r="F17" s="27">
        <v>0</v>
      </c>
      <c r="G17" s="27">
        <v>23</v>
      </c>
      <c r="H17" s="27">
        <v>17</v>
      </c>
      <c r="I17" s="30">
        <f t="shared" si="2"/>
        <v>0.26086956521739135</v>
      </c>
      <c r="J17" s="27">
        <v>2</v>
      </c>
      <c r="K17" s="27">
        <v>2</v>
      </c>
      <c r="L17" s="30">
        <f t="shared" si="0"/>
        <v>0</v>
      </c>
      <c r="M17" s="27">
        <v>20</v>
      </c>
      <c r="N17" s="27">
        <v>16</v>
      </c>
      <c r="O17" s="30">
        <f t="shared" si="1"/>
        <v>0.19999999999999996</v>
      </c>
      <c r="P17" s="31">
        <v>0.80510000000000004</v>
      </c>
      <c r="Q17" s="169" t="s">
        <v>149</v>
      </c>
      <c r="R17" s="27" t="s">
        <v>41</v>
      </c>
      <c r="S17" s="28" t="s">
        <v>1</v>
      </c>
      <c r="T17" s="162" t="s">
        <v>605</v>
      </c>
      <c r="U17" s="159" t="s">
        <v>628</v>
      </c>
      <c r="V17" s="28"/>
      <c r="W17" s="28" t="s">
        <v>291</v>
      </c>
      <c r="X17" s="316"/>
      <c r="Y17" s="322"/>
      <c r="Z17" s="324"/>
      <c r="AA17" s="312"/>
      <c r="AB17" s="317"/>
      <c r="AC17" s="35">
        <f t="shared" si="4"/>
        <v>33</v>
      </c>
      <c r="AD17" s="320"/>
      <c r="AE17" s="318"/>
      <c r="AF17" s="25">
        <f t="shared" si="5"/>
        <v>8</v>
      </c>
      <c r="AG17" s="320"/>
      <c r="AH17" s="14">
        <f t="shared" si="7"/>
        <v>12</v>
      </c>
      <c r="AI17">
        <f t="shared" si="6"/>
        <v>28</v>
      </c>
      <c r="AJ17" s="25">
        <v>2317</v>
      </c>
      <c r="AK17" s="319"/>
      <c r="AL17" s="326"/>
      <c r="AM17" s="71">
        <f>((AJ17)/($AK$2))*(($AB$2*AC17+$AE$2*AF17)/(($AB$2*$AD$2)+($AE$2*$AG$2)))</f>
        <v>0.58694356495428268</v>
      </c>
      <c r="AN17" s="35" t="str">
        <f>IF(AM17&lt;$AP$2,"low",IF(AM17&lt;2,"medium","high"))</f>
        <v>low</v>
      </c>
      <c r="AO17" s="166">
        <v>15</v>
      </c>
      <c r="AP17" s="315"/>
      <c r="AQ17" s="324"/>
      <c r="AR17" s="324"/>
      <c r="AS17" s="312"/>
      <c r="AT17" s="69">
        <v>3</v>
      </c>
      <c r="AU17" s="51">
        <v>2</v>
      </c>
      <c r="AV17" s="51"/>
      <c r="AW17" s="27">
        <v>1</v>
      </c>
      <c r="AX17" s="27"/>
      <c r="AY17" s="27"/>
      <c r="AZ17" s="27"/>
      <c r="BA17" s="27"/>
      <c r="BB17" s="27"/>
      <c r="BC17" s="27"/>
      <c r="BD17" s="51">
        <v>1</v>
      </c>
      <c r="BE17" s="51"/>
      <c r="BF17" s="51"/>
      <c r="BG17" s="51"/>
      <c r="BH17" s="15"/>
      <c r="BI17" s="15">
        <v>12</v>
      </c>
      <c r="BJ17" s="15">
        <v>4</v>
      </c>
      <c r="BK17" s="15"/>
      <c r="BL17" s="15"/>
      <c r="BM17" s="15"/>
      <c r="BN17" s="15"/>
      <c r="BO17" s="15"/>
      <c r="BP17" s="15">
        <v>8</v>
      </c>
      <c r="BQ17" s="15"/>
      <c r="BR17" s="15"/>
      <c r="BS17" s="15"/>
      <c r="BT17" s="15"/>
      <c r="BU17" s="15"/>
      <c r="BV17" s="15"/>
      <c r="BW17" s="15">
        <v>2</v>
      </c>
      <c r="BX17" s="15"/>
      <c r="BY17" s="15"/>
      <c r="BZ17" s="15"/>
      <c r="CA17" s="15"/>
      <c r="CB17" s="15"/>
      <c r="CC17" s="15"/>
      <c r="CD17" s="15"/>
      <c r="CE17" s="15"/>
      <c r="CF17" s="15"/>
      <c r="CG17" s="15"/>
      <c r="CH17" s="15"/>
      <c r="CI17" s="15"/>
      <c r="CJ17" s="15"/>
      <c r="CK17" s="15"/>
      <c r="CL17" s="15"/>
      <c r="CM17" s="15"/>
    </row>
    <row r="18" spans="1:91" s="25" customFormat="1" ht="16" customHeight="1">
      <c r="A18" s="32" t="s">
        <v>185</v>
      </c>
      <c r="B18" s="36">
        <f>AVERAGE(B10:B17)</f>
        <v>6.125</v>
      </c>
      <c r="C18" s="36">
        <f>AVERAGE(C10:C17)</f>
        <v>18.258749999999999</v>
      </c>
      <c r="D18" s="36">
        <f>AVERAGE(D10:D17)</f>
        <v>0.5</v>
      </c>
      <c r="E18" s="36">
        <f>AVERAGE(E10:E17)</f>
        <v>1.375</v>
      </c>
      <c r="F18" s="36">
        <f>AVERAGE(F10:F17)</f>
        <v>0</v>
      </c>
      <c r="G18" s="36">
        <f>SUBTOTAL(1,G10:G17)</f>
        <v>20.25</v>
      </c>
      <c r="H18" s="36">
        <f>SUBTOTAL(1,H10:H17)</f>
        <v>14.875</v>
      </c>
      <c r="I18" s="37">
        <f t="shared" si="2"/>
        <v>0.26543209876543206</v>
      </c>
      <c r="J18" s="36">
        <f>SUBTOTAL(1,J10:J17)</f>
        <v>2.625</v>
      </c>
      <c r="K18" s="36">
        <f>SUBTOTAL(1,K10:K17)</f>
        <v>1.875</v>
      </c>
      <c r="L18" s="37">
        <f t="shared" si="0"/>
        <v>0.2857142857142857</v>
      </c>
      <c r="M18" s="36">
        <f>SUBTOTAL(1,M10:M17)</f>
        <v>20.125</v>
      </c>
      <c r="N18" s="36">
        <f>SUBTOTAL(1,N10:N17)</f>
        <v>16</v>
      </c>
      <c r="O18" s="37">
        <f t="shared" si="1"/>
        <v>0.20496894409937894</v>
      </c>
      <c r="P18" s="37">
        <f>SUBTOTAL(1,P10:P17)</f>
        <v>0.78780000000000006</v>
      </c>
      <c r="Q18" s="170" t="s">
        <v>185</v>
      </c>
      <c r="R18" s="33" t="s">
        <v>49</v>
      </c>
      <c r="S18" s="35" t="s">
        <v>1</v>
      </c>
      <c r="T18" s="51"/>
      <c r="U18" s="161"/>
      <c r="V18" s="35"/>
      <c r="W18" s="35"/>
      <c r="X18" s="316"/>
      <c r="Y18" s="322"/>
      <c r="Z18" s="324"/>
      <c r="AA18" s="312"/>
      <c r="AB18" s="317"/>
      <c r="AC18" s="35"/>
      <c r="AD18" s="320"/>
      <c r="AE18" s="318"/>
      <c r="AF18" s="25">
        <f t="shared" si="5"/>
        <v>0</v>
      </c>
      <c r="AG18" s="320"/>
      <c r="AH18"/>
      <c r="AI18"/>
      <c r="AK18" s="319"/>
      <c r="AL18" s="326"/>
      <c r="AM18" s="71"/>
      <c r="AN18" s="35"/>
      <c r="AO18" s="168"/>
      <c r="AP18" s="315"/>
      <c r="AQ18" s="324"/>
      <c r="AR18" s="324"/>
      <c r="AS18" s="312"/>
      <c r="AT18" s="69"/>
      <c r="AU18" s="51"/>
      <c r="AV18" s="51"/>
      <c r="AW18" s="27"/>
      <c r="AX18" s="27"/>
      <c r="AY18" s="27"/>
      <c r="AZ18" s="27"/>
      <c r="BA18" s="27"/>
      <c r="BB18" s="27"/>
      <c r="BC18" s="27"/>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row>
    <row r="19" spans="1:91" s="15" customFormat="1" ht="16" customHeight="1">
      <c r="A19" s="26" t="s">
        <v>150</v>
      </c>
      <c r="B19" s="27">
        <v>40</v>
      </c>
      <c r="C19" s="29">
        <v>18.45</v>
      </c>
      <c r="D19" s="27">
        <v>8</v>
      </c>
      <c r="E19" s="27">
        <v>4</v>
      </c>
      <c r="F19" s="27">
        <v>1</v>
      </c>
      <c r="G19" s="27">
        <v>63</v>
      </c>
      <c r="H19" s="27">
        <v>38</v>
      </c>
      <c r="I19" s="30">
        <f t="shared" si="2"/>
        <v>0.39682539682539686</v>
      </c>
      <c r="J19" s="27">
        <v>1</v>
      </c>
      <c r="K19" s="27">
        <v>8</v>
      </c>
      <c r="L19" s="30">
        <f t="shared" si="0"/>
        <v>-7</v>
      </c>
      <c r="M19" s="27">
        <v>52</v>
      </c>
      <c r="N19" s="27">
        <v>37</v>
      </c>
      <c r="O19" s="30">
        <f t="shared" si="1"/>
        <v>0.28846153846153844</v>
      </c>
      <c r="P19" s="31">
        <v>0.41539999999999999</v>
      </c>
      <c r="Q19" s="169" t="s">
        <v>150</v>
      </c>
      <c r="R19" s="27" t="s">
        <v>57</v>
      </c>
      <c r="S19" s="28" t="s">
        <v>1</v>
      </c>
      <c r="T19" s="51" t="s">
        <v>231</v>
      </c>
      <c r="U19" s="159" t="s">
        <v>628</v>
      </c>
      <c r="V19" s="28" t="s">
        <v>291</v>
      </c>
      <c r="W19" s="28"/>
      <c r="X19" s="316"/>
      <c r="Y19" s="322"/>
      <c r="Z19" s="324"/>
      <c r="AA19" s="312"/>
      <c r="AB19" s="317"/>
      <c r="AC19" s="35">
        <f>SUM(AT19:CO19)</f>
        <v>75</v>
      </c>
      <c r="AD19" s="320"/>
      <c r="AE19" s="318"/>
      <c r="AF19" s="25">
        <f t="shared" si="5"/>
        <v>12</v>
      </c>
      <c r="AG19" s="320"/>
      <c r="AH19" s="14">
        <f>SUM(AW19:BH19,BP19:CO19)</f>
        <v>31</v>
      </c>
      <c r="AI19">
        <f>SUM(AV19:CO19)</f>
        <v>68</v>
      </c>
      <c r="AJ19" s="25">
        <v>5337</v>
      </c>
      <c r="AK19" s="319"/>
      <c r="AL19" s="326"/>
      <c r="AM19" s="71">
        <f>((AJ19)/($AK$2))*(($AB$2*AC19+$AE$2*AF19)/(($AB$2*$AD$2)+($AE$2*$AG$2)))</f>
        <v>2.794074291209645</v>
      </c>
      <c r="AN19" s="35" t="str">
        <f>IF(AM19&lt;$AP$2,"low",IF(AM19&lt;2,"medium","high"))</f>
        <v>high</v>
      </c>
      <c r="AO19" s="167">
        <v>30</v>
      </c>
      <c r="AP19" s="315"/>
      <c r="AQ19" s="324"/>
      <c r="AR19" s="324"/>
      <c r="AS19" s="312"/>
      <c r="AT19" s="69">
        <v>2</v>
      </c>
      <c r="AU19" s="51">
        <v>5</v>
      </c>
      <c r="AV19" s="51"/>
      <c r="AW19" s="27"/>
      <c r="AX19" s="27">
        <v>1</v>
      </c>
      <c r="AY19" s="27"/>
      <c r="AZ19" s="27"/>
      <c r="BA19" s="27"/>
      <c r="BB19" s="27"/>
      <c r="BC19" s="27"/>
      <c r="BD19" s="51">
        <v>1</v>
      </c>
      <c r="BE19" s="51"/>
      <c r="BF19" s="51"/>
      <c r="BG19" s="51"/>
      <c r="BI19" s="15">
        <v>34</v>
      </c>
      <c r="BJ19" s="15">
        <v>3</v>
      </c>
      <c r="BP19" s="15">
        <v>17</v>
      </c>
      <c r="BQ19" s="15">
        <v>1</v>
      </c>
      <c r="BR19" s="15">
        <v>1</v>
      </c>
      <c r="BW19" s="15">
        <v>4</v>
      </c>
      <c r="BX19" s="15">
        <v>4</v>
      </c>
      <c r="CC19" s="15">
        <v>2</v>
      </c>
    </row>
    <row r="20" spans="1:91" s="25" customFormat="1" ht="16" customHeight="1">
      <c r="A20" s="32" t="s">
        <v>186</v>
      </c>
      <c r="B20" s="36">
        <f>AVERAGE(B19)</f>
        <v>40</v>
      </c>
      <c r="C20" s="36">
        <f>AVERAGE(C19)</f>
        <v>18.45</v>
      </c>
      <c r="D20" s="36">
        <f>AVERAGE(D19)</f>
        <v>8</v>
      </c>
      <c r="E20" s="36">
        <f>AVERAGE(E19)</f>
        <v>4</v>
      </c>
      <c r="F20" s="36">
        <f>AVERAGE(F19)</f>
        <v>1</v>
      </c>
      <c r="G20" s="36">
        <f>SUBTOTAL(1,G19)</f>
        <v>63</v>
      </c>
      <c r="H20" s="36">
        <f>SUBTOTAL(1,H19)</f>
        <v>38</v>
      </c>
      <c r="I20" s="37">
        <f t="shared" si="2"/>
        <v>0.39682539682539686</v>
      </c>
      <c r="J20" s="36">
        <f>SUBTOTAL(1,J19)</f>
        <v>1</v>
      </c>
      <c r="K20" s="36">
        <f>SUBTOTAL(1,K19)</f>
        <v>8</v>
      </c>
      <c r="L20" s="37">
        <f t="shared" si="0"/>
        <v>-7</v>
      </c>
      <c r="M20" s="36">
        <f>SUBTOTAL(1,M19)</f>
        <v>52</v>
      </c>
      <c r="N20" s="36">
        <f>SUBTOTAL(1,N19)</f>
        <v>37</v>
      </c>
      <c r="O20" s="37">
        <f t="shared" si="1"/>
        <v>0.28846153846153844</v>
      </c>
      <c r="P20" s="37">
        <f>SUBTOTAL(1,P19)</f>
        <v>0.41539999999999999</v>
      </c>
      <c r="Q20" s="170" t="s">
        <v>186</v>
      </c>
      <c r="R20" s="33" t="s">
        <v>62</v>
      </c>
      <c r="S20" s="35" t="s">
        <v>1</v>
      </c>
      <c r="T20" s="51"/>
      <c r="U20" s="161"/>
      <c r="V20" s="35"/>
      <c r="W20" s="35"/>
      <c r="X20" s="316"/>
      <c r="Y20" s="322"/>
      <c r="Z20" s="324"/>
      <c r="AA20" s="312"/>
      <c r="AB20" s="317"/>
      <c r="AC20" s="35"/>
      <c r="AD20" s="320"/>
      <c r="AE20" s="318"/>
      <c r="AG20" s="320"/>
      <c r="AH20"/>
      <c r="AI20"/>
      <c r="AK20" s="319"/>
      <c r="AL20" s="326"/>
      <c r="AM20" s="71"/>
      <c r="AN20" s="35"/>
      <c r="AO20" s="168"/>
      <c r="AP20" s="315"/>
      <c r="AQ20" s="324"/>
      <c r="AR20" s="324"/>
      <c r="AS20" s="312"/>
      <c r="AT20" s="69"/>
      <c r="AU20" s="51"/>
      <c r="AV20" s="51"/>
      <c r="AW20" s="27"/>
      <c r="AX20" s="27"/>
      <c r="AY20" s="27"/>
      <c r="AZ20" s="27"/>
      <c r="BA20" s="27"/>
      <c r="BB20" s="27"/>
      <c r="BC20" s="27"/>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row>
    <row r="21" spans="1:91" s="14" customFormat="1" ht="16" customHeight="1">
      <c r="A21" s="26" t="s">
        <v>151</v>
      </c>
      <c r="B21" s="27">
        <v>6</v>
      </c>
      <c r="C21" s="29">
        <v>15.5</v>
      </c>
      <c r="D21" s="27">
        <v>1</v>
      </c>
      <c r="E21" s="27">
        <v>0</v>
      </c>
      <c r="F21" s="27">
        <v>0</v>
      </c>
      <c r="G21" s="27">
        <v>15</v>
      </c>
      <c r="H21" s="27">
        <v>7</v>
      </c>
      <c r="I21" s="30">
        <f t="shared" si="2"/>
        <v>0.53333333333333333</v>
      </c>
      <c r="J21" s="27">
        <v>3</v>
      </c>
      <c r="K21" s="27">
        <v>1</v>
      </c>
      <c r="L21" s="30">
        <f t="shared" si="0"/>
        <v>0.66666666666666674</v>
      </c>
      <c r="M21" s="27">
        <v>15</v>
      </c>
      <c r="N21" s="27">
        <v>6</v>
      </c>
      <c r="O21" s="30">
        <f t="shared" si="1"/>
        <v>0.6</v>
      </c>
      <c r="P21" s="31">
        <v>0.3765</v>
      </c>
      <c r="Q21" s="169" t="s">
        <v>151</v>
      </c>
      <c r="R21" s="27" t="s">
        <v>8</v>
      </c>
      <c r="S21" s="28" t="s">
        <v>2</v>
      </c>
      <c r="T21" s="158" t="s">
        <v>606</v>
      </c>
      <c r="U21" s="159" t="s">
        <v>662</v>
      </c>
      <c r="V21" s="28"/>
      <c r="W21" s="28" t="s">
        <v>291</v>
      </c>
      <c r="X21" s="316"/>
      <c r="Y21" s="322"/>
      <c r="Z21" s="324"/>
      <c r="AA21" s="312"/>
      <c r="AB21" s="317"/>
      <c r="AC21" s="35">
        <f>SUM(AT21:CO21)</f>
        <v>13</v>
      </c>
      <c r="AD21" s="320"/>
      <c r="AE21" s="318"/>
      <c r="AF21" s="25">
        <f>COUNT(AT21:CO21)</f>
        <v>6</v>
      </c>
      <c r="AG21" s="320"/>
      <c r="AH21">
        <f>SUM(AW21:BH21,BP21:CO21)</f>
        <v>7</v>
      </c>
      <c r="AI21">
        <f>SUM(AV21:CO21)</f>
        <v>13</v>
      </c>
      <c r="AJ21" s="25">
        <v>1059</v>
      </c>
      <c r="AK21" s="319"/>
      <c r="AL21" s="326"/>
      <c r="AM21" s="71">
        <f>((AJ21)/($AK$2))*(($AB$2*AC21+$AE$2*AF21)/(($AB$2*$AD$2)+($AE$2*$AG$2)))</f>
        <v>0.13115245937088071</v>
      </c>
      <c r="AN21" s="35" t="str">
        <f>IF(AM21&lt;$AP$2,"low",IF(AM21&lt;2,"medium","high"))</f>
        <v>low</v>
      </c>
      <c r="AO21" s="166">
        <v>2</v>
      </c>
      <c r="AP21" s="315"/>
      <c r="AQ21" s="324"/>
      <c r="AR21" s="324"/>
      <c r="AS21" s="312"/>
      <c r="AT21" s="69"/>
      <c r="AU21" s="51"/>
      <c r="AV21" s="51"/>
      <c r="AW21" s="27"/>
      <c r="AX21" s="27">
        <v>1</v>
      </c>
      <c r="AY21" s="27"/>
      <c r="AZ21" s="27"/>
      <c r="BA21" s="27"/>
      <c r="BB21" s="27"/>
      <c r="BC21" s="27"/>
      <c r="BD21" s="15"/>
      <c r="BE21" s="15">
        <v>3</v>
      </c>
      <c r="BF21" s="15"/>
      <c r="BG21" s="15"/>
      <c r="BH21" s="15"/>
      <c r="BI21" s="15">
        <v>5</v>
      </c>
      <c r="BJ21" s="15"/>
      <c r="BK21" s="15"/>
      <c r="BL21" s="15">
        <v>1</v>
      </c>
      <c r="BM21" s="15"/>
      <c r="BN21" s="15"/>
      <c r="BO21" s="15"/>
      <c r="BP21" s="15"/>
      <c r="BQ21" s="15"/>
      <c r="BR21" s="15"/>
      <c r="BS21" s="15">
        <v>2</v>
      </c>
      <c r="BT21" s="15"/>
      <c r="BU21" s="15"/>
      <c r="BV21" s="15"/>
      <c r="BW21" s="15">
        <v>1</v>
      </c>
      <c r="BX21" s="15"/>
      <c r="BY21" s="15"/>
      <c r="BZ21" s="15"/>
      <c r="CA21" s="15"/>
      <c r="CB21" s="15"/>
      <c r="CC21" s="15"/>
      <c r="CD21" s="15"/>
      <c r="CE21" s="15"/>
      <c r="CF21" s="15"/>
      <c r="CG21" s="15"/>
      <c r="CH21" s="15"/>
      <c r="CI21" s="15"/>
      <c r="CJ21" s="15"/>
      <c r="CK21" s="15"/>
      <c r="CL21" s="15"/>
      <c r="CM21" s="15"/>
    </row>
    <row r="22" spans="1:91" s="14" customFormat="1" ht="16" customHeight="1">
      <c r="A22" s="26" t="s">
        <v>152</v>
      </c>
      <c r="B22" s="27">
        <v>5</v>
      </c>
      <c r="C22" s="29">
        <v>18</v>
      </c>
      <c r="D22" s="27">
        <v>1</v>
      </c>
      <c r="E22" s="27">
        <v>0</v>
      </c>
      <c r="F22" s="27">
        <v>2</v>
      </c>
      <c r="G22" s="27">
        <v>14</v>
      </c>
      <c r="H22" s="27">
        <v>12</v>
      </c>
      <c r="I22" s="30">
        <f t="shared" si="2"/>
        <v>0.1428571428571429</v>
      </c>
      <c r="J22" s="27">
        <v>1</v>
      </c>
      <c r="K22" s="27">
        <v>1</v>
      </c>
      <c r="L22" s="30">
        <f t="shared" si="0"/>
        <v>0</v>
      </c>
      <c r="M22" s="27">
        <v>10</v>
      </c>
      <c r="N22" s="27">
        <v>8</v>
      </c>
      <c r="O22" s="30">
        <f t="shared" si="1"/>
        <v>0.19999999999999996</v>
      </c>
      <c r="P22" s="31">
        <v>0.80249999999999999</v>
      </c>
      <c r="Q22" s="169" t="s">
        <v>152</v>
      </c>
      <c r="R22" s="27" t="s">
        <v>10</v>
      </c>
      <c r="S22" s="28" t="s">
        <v>2</v>
      </c>
      <c r="T22" s="162" t="s">
        <v>607</v>
      </c>
      <c r="U22" s="159" t="s">
        <v>601</v>
      </c>
      <c r="V22" s="28"/>
      <c r="W22" s="28" t="s">
        <v>291</v>
      </c>
      <c r="X22" s="316"/>
      <c r="Y22" s="322"/>
      <c r="Z22" s="324"/>
      <c r="AA22" s="312"/>
      <c r="AB22" s="317"/>
      <c r="AC22" s="35">
        <f>SUM(AT22:CO22)</f>
        <v>20</v>
      </c>
      <c r="AD22" s="320"/>
      <c r="AE22" s="318"/>
      <c r="AF22" s="25">
        <f>COUNT(AT22:CO22)</f>
        <v>8</v>
      </c>
      <c r="AG22" s="320"/>
      <c r="AH22">
        <f>SUM(AW22:BH22,BP22:CO22)</f>
        <v>8</v>
      </c>
      <c r="AI22">
        <f>SUM(AV22:CO22)</f>
        <v>16</v>
      </c>
      <c r="AJ22" s="25">
        <v>1550</v>
      </c>
      <c r="AK22" s="319"/>
      <c r="AL22" s="326"/>
      <c r="AM22" s="71">
        <f>((AJ22)/($AK$2))*(($AB$2*AC22+$AE$2*AF22)/(($AB$2*$AD$2)+($AE$2*$AG$2)))</f>
        <v>0.27921546848638013</v>
      </c>
      <c r="AN22" s="35" t="str">
        <f>IF(AM22&lt;$AP$2,"low",IF(AM22&lt;2,"medium","high"))</f>
        <v>low</v>
      </c>
      <c r="AO22" s="166">
        <v>6</v>
      </c>
      <c r="AP22" s="315"/>
      <c r="AQ22" s="324"/>
      <c r="AR22" s="324"/>
      <c r="AS22" s="312"/>
      <c r="AT22" s="69">
        <v>1</v>
      </c>
      <c r="AU22" s="51">
        <v>3</v>
      </c>
      <c r="AV22" s="51"/>
      <c r="AW22" s="27">
        <v>1</v>
      </c>
      <c r="AX22" s="27"/>
      <c r="AY22" s="27"/>
      <c r="AZ22" s="27"/>
      <c r="BA22" s="27"/>
      <c r="BB22" s="27"/>
      <c r="BC22" s="27"/>
      <c r="BD22" s="15">
        <v>1</v>
      </c>
      <c r="BE22" s="15"/>
      <c r="BF22" s="15"/>
      <c r="BG22" s="15"/>
      <c r="BH22" s="15"/>
      <c r="BI22" s="15">
        <v>8</v>
      </c>
      <c r="BJ22" s="15"/>
      <c r="BK22" s="15"/>
      <c r="BL22" s="15"/>
      <c r="BM22" s="15"/>
      <c r="BN22" s="15"/>
      <c r="BO22" s="15"/>
      <c r="BP22" s="15">
        <v>4</v>
      </c>
      <c r="BQ22" s="15"/>
      <c r="BR22" s="15"/>
      <c r="BS22" s="15">
        <v>1</v>
      </c>
      <c r="BT22" s="15"/>
      <c r="BU22" s="15"/>
      <c r="BV22" s="15"/>
      <c r="BW22" s="15">
        <v>1</v>
      </c>
      <c r="BX22" s="15"/>
      <c r="BY22" s="15"/>
      <c r="BZ22" s="15"/>
      <c r="CA22" s="15"/>
      <c r="CB22" s="15"/>
      <c r="CC22" s="15"/>
      <c r="CD22" s="15"/>
      <c r="CE22" s="15"/>
      <c r="CF22" s="15"/>
      <c r="CG22" s="15"/>
      <c r="CH22" s="15"/>
      <c r="CI22" s="15"/>
      <c r="CJ22" s="15"/>
      <c r="CK22" s="15"/>
      <c r="CL22" s="15"/>
      <c r="CM22" s="15"/>
    </row>
    <row r="23" spans="1:91" s="14" customFormat="1" ht="16" customHeight="1">
      <c r="A23" s="26" t="s">
        <v>153</v>
      </c>
      <c r="B23" s="27">
        <v>10</v>
      </c>
      <c r="C23" s="29">
        <v>21.3</v>
      </c>
      <c r="D23" s="27">
        <v>1</v>
      </c>
      <c r="E23" s="27">
        <v>2</v>
      </c>
      <c r="F23" s="27">
        <v>2</v>
      </c>
      <c r="G23" s="27">
        <v>34</v>
      </c>
      <c r="H23" s="27">
        <v>17</v>
      </c>
      <c r="I23" s="30">
        <f t="shared" si="2"/>
        <v>0.5</v>
      </c>
      <c r="J23" s="27">
        <v>5</v>
      </c>
      <c r="K23" s="27">
        <v>1</v>
      </c>
      <c r="L23" s="30">
        <f t="shared" si="0"/>
        <v>0.8</v>
      </c>
      <c r="M23" s="27">
        <v>31</v>
      </c>
      <c r="N23" s="27">
        <v>13</v>
      </c>
      <c r="O23" s="30">
        <f t="shared" si="1"/>
        <v>0.58064516129032251</v>
      </c>
      <c r="P23" s="31">
        <v>0.64270000000000005</v>
      </c>
      <c r="Q23" s="169" t="s">
        <v>153</v>
      </c>
      <c r="R23" s="27" t="s">
        <v>11</v>
      </c>
      <c r="S23" s="28" t="s">
        <v>2</v>
      </c>
      <c r="T23" s="51" t="s">
        <v>594</v>
      </c>
      <c r="U23" s="159" t="s">
        <v>603</v>
      </c>
      <c r="V23" s="28" t="s">
        <v>291</v>
      </c>
      <c r="W23" s="28"/>
      <c r="X23" s="316"/>
      <c r="Y23" s="322"/>
      <c r="Z23" s="324"/>
      <c r="AA23" s="312"/>
      <c r="AB23" s="317"/>
      <c r="AC23" s="35">
        <f>SUM(AT23:CO23)</f>
        <v>33</v>
      </c>
      <c r="AD23" s="320"/>
      <c r="AE23" s="318"/>
      <c r="AF23" s="25">
        <f>COUNT(AT23:CO23)</f>
        <v>12</v>
      </c>
      <c r="AG23" s="320"/>
      <c r="AH23">
        <f>SUM(AW23:BH23,BP23:CO23)</f>
        <v>15</v>
      </c>
      <c r="AI23">
        <f>SUM(AV23:CO23)</f>
        <v>29</v>
      </c>
      <c r="AJ23" s="25">
        <v>2497</v>
      </c>
      <c r="AK23" s="319"/>
      <c r="AL23" s="326"/>
      <c r="AM23" s="71">
        <f>((AJ23)/($AK$2))*(($AB$2*AC23+$AE$2*AF23)/(($AB$2*$AD$2)+($AE$2*$AG$2)))</f>
        <v>0.71688008599465802</v>
      </c>
      <c r="AN23" s="35" t="str">
        <f>IF(AM23&lt;$AP$2,"low",IF(AM23&lt;2,"medium","high"))</f>
        <v>medium</v>
      </c>
      <c r="AO23" s="166">
        <v>18</v>
      </c>
      <c r="AP23" s="315"/>
      <c r="AQ23" s="324"/>
      <c r="AR23" s="324"/>
      <c r="AS23" s="312"/>
      <c r="AT23" s="69">
        <v>1</v>
      </c>
      <c r="AU23" s="51">
        <v>3</v>
      </c>
      <c r="AV23" s="51"/>
      <c r="AW23" s="27">
        <v>1</v>
      </c>
      <c r="AX23" s="27"/>
      <c r="AY23" s="27"/>
      <c r="AZ23" s="27"/>
      <c r="BA23" s="27"/>
      <c r="BB23" s="27"/>
      <c r="BC23" s="51"/>
      <c r="BD23" s="51">
        <v>2</v>
      </c>
      <c r="BE23" s="15"/>
      <c r="BF23" s="15"/>
      <c r="BG23" s="15"/>
      <c r="BH23" s="15"/>
      <c r="BI23" s="15">
        <v>13</v>
      </c>
      <c r="BJ23" s="15"/>
      <c r="BK23" s="15"/>
      <c r="BL23" s="15">
        <v>1</v>
      </c>
      <c r="BM23" s="15"/>
      <c r="BN23" s="15"/>
      <c r="BO23" s="15"/>
      <c r="BP23" s="15">
        <v>7</v>
      </c>
      <c r="BQ23" s="15"/>
      <c r="BR23" s="15"/>
      <c r="BS23" s="15">
        <v>1</v>
      </c>
      <c r="BT23" s="15"/>
      <c r="BU23" s="15"/>
      <c r="BV23" s="15"/>
      <c r="BW23" s="15">
        <v>1</v>
      </c>
      <c r="BX23" s="15"/>
      <c r="BY23" s="15"/>
      <c r="BZ23" s="15"/>
      <c r="CA23" s="15"/>
      <c r="CB23" s="15"/>
      <c r="CC23" s="15"/>
      <c r="CD23" s="15"/>
      <c r="CE23" s="15"/>
      <c r="CF23" s="15">
        <v>1</v>
      </c>
      <c r="CG23" s="15">
        <v>1</v>
      </c>
      <c r="CH23" s="15"/>
      <c r="CI23" s="15"/>
      <c r="CJ23" s="15"/>
      <c r="CK23" s="15"/>
      <c r="CL23" s="15"/>
      <c r="CM23" s="15">
        <v>1</v>
      </c>
    </row>
    <row r="24" spans="1:91" s="14" customFormat="1" ht="16" hidden="1" customHeight="1">
      <c r="A24" s="26" t="s">
        <v>154</v>
      </c>
      <c r="B24" s="27">
        <v>15</v>
      </c>
      <c r="C24" s="29">
        <v>18</v>
      </c>
      <c r="D24" s="27">
        <v>2</v>
      </c>
      <c r="E24" s="27">
        <v>5</v>
      </c>
      <c r="F24" s="27">
        <v>3</v>
      </c>
      <c r="G24" s="27">
        <v>36</v>
      </c>
      <c r="H24" s="27">
        <v>20</v>
      </c>
      <c r="I24" s="30">
        <f t="shared" si="2"/>
        <v>0.44444444444444442</v>
      </c>
      <c r="J24" s="27">
        <v>8</v>
      </c>
      <c r="K24" s="27">
        <v>6</v>
      </c>
      <c r="L24" s="30">
        <f t="shared" si="0"/>
        <v>0.25</v>
      </c>
      <c r="M24" s="27">
        <v>36</v>
      </c>
      <c r="N24" s="27">
        <v>19</v>
      </c>
      <c r="O24" s="30">
        <f t="shared" si="1"/>
        <v>0.47222222222222221</v>
      </c>
      <c r="P24" s="31">
        <v>0.72330000000000005</v>
      </c>
      <c r="Q24" s="169" t="s">
        <v>154</v>
      </c>
      <c r="R24" s="27" t="s">
        <v>9</v>
      </c>
      <c r="S24" s="28" t="s">
        <v>2</v>
      </c>
      <c r="T24" s="51"/>
      <c r="U24" s="159"/>
      <c r="V24" s="28"/>
      <c r="W24" s="28"/>
      <c r="X24" s="316"/>
      <c r="Y24" s="322"/>
      <c r="Z24" s="324"/>
      <c r="AA24" s="312"/>
      <c r="AB24" s="317"/>
      <c r="AC24" s="35">
        <f>SUM(AT24:CO24)</f>
        <v>0</v>
      </c>
      <c r="AD24" s="320"/>
      <c r="AE24" s="318"/>
      <c r="AF24" s="25">
        <f>COUNT(AT24:CO24)</f>
        <v>0</v>
      </c>
      <c r="AG24" s="320"/>
      <c r="AH24">
        <f>SUM(AW24:BH24,BP24:CO24)</f>
        <v>0</v>
      </c>
      <c r="AI24">
        <f>SUM(AV24:CO24)</f>
        <v>0</v>
      </c>
      <c r="AJ24" s="25"/>
      <c r="AK24" s="319"/>
      <c r="AL24" s="326"/>
      <c r="AM24" s="71"/>
      <c r="AN24" s="35"/>
      <c r="AO24" s="166"/>
      <c r="AP24" s="315"/>
      <c r="AQ24" s="324"/>
      <c r="AR24" s="324"/>
      <c r="AS24" s="312"/>
      <c r="AT24" s="69"/>
      <c r="AU24" s="51"/>
      <c r="AV24" s="51"/>
      <c r="AW24" s="27"/>
      <c r="AX24" s="27"/>
      <c r="AY24" s="27"/>
      <c r="AZ24" s="27"/>
      <c r="BA24" s="27"/>
      <c r="BB24" s="27"/>
      <c r="BC24" s="27"/>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row>
    <row r="25" spans="1:91" s="25" customFormat="1" ht="16" customHeight="1">
      <c r="A25" s="32" t="s">
        <v>187</v>
      </c>
      <c r="B25" s="36">
        <f>AVERAGE(B21:B24)</f>
        <v>9</v>
      </c>
      <c r="C25" s="36">
        <f>AVERAGE(C21:C24)</f>
        <v>18.2</v>
      </c>
      <c r="D25" s="36">
        <f>AVERAGE(D21:D24)</f>
        <v>1.25</v>
      </c>
      <c r="E25" s="36">
        <f>AVERAGE(E21:E24)</f>
        <v>1.75</v>
      </c>
      <c r="F25" s="36">
        <f>AVERAGE(F21:F24)</f>
        <v>1.75</v>
      </c>
      <c r="G25" s="36">
        <f>SUBTOTAL(1,G21:G24)</f>
        <v>24.75</v>
      </c>
      <c r="H25" s="36">
        <f>SUBTOTAL(1,H21:H24)</f>
        <v>14</v>
      </c>
      <c r="I25" s="37">
        <f t="shared" si="2"/>
        <v>0.43434343434343436</v>
      </c>
      <c r="J25" s="36">
        <f>SUBTOTAL(1,J21:J24)</f>
        <v>4.25</v>
      </c>
      <c r="K25" s="36">
        <f>SUBTOTAL(1,K21:K24)</f>
        <v>2.25</v>
      </c>
      <c r="L25" s="37">
        <f t="shared" si="0"/>
        <v>0.47058823529411764</v>
      </c>
      <c r="M25" s="36">
        <f>SUBTOTAL(1,M21:M24)</f>
        <v>23</v>
      </c>
      <c r="N25" s="36">
        <f>SUBTOTAL(1,N21:N24)</f>
        <v>11.5</v>
      </c>
      <c r="O25" s="37">
        <f t="shared" si="1"/>
        <v>0.5</v>
      </c>
      <c r="P25" s="37">
        <f>SUBTOTAL(1,P21:P24)</f>
        <v>0.63624999999999998</v>
      </c>
      <c r="Q25" s="170" t="s">
        <v>187</v>
      </c>
      <c r="R25" s="33" t="s">
        <v>59</v>
      </c>
      <c r="S25" s="35" t="s">
        <v>2</v>
      </c>
      <c r="T25" s="51"/>
      <c r="U25" s="161"/>
      <c r="V25" s="35"/>
      <c r="W25" s="35"/>
      <c r="X25" s="316"/>
      <c r="Y25" s="322"/>
      <c r="Z25" s="324"/>
      <c r="AA25" s="312"/>
      <c r="AB25" s="317"/>
      <c r="AC25" s="35"/>
      <c r="AD25" s="320"/>
      <c r="AE25" s="318"/>
      <c r="AG25" s="320"/>
      <c r="AH25"/>
      <c r="AI25"/>
      <c r="AK25" s="319"/>
      <c r="AL25" s="326"/>
      <c r="AM25" s="71"/>
      <c r="AN25" s="35"/>
      <c r="AO25" s="168"/>
      <c r="AP25" s="315"/>
      <c r="AQ25" s="324"/>
      <c r="AR25" s="324"/>
      <c r="AS25" s="312"/>
      <c r="AT25" s="69"/>
      <c r="AU25" s="51"/>
      <c r="AV25" s="51"/>
      <c r="AW25" s="27"/>
      <c r="AX25" s="27"/>
      <c r="AY25" s="27"/>
      <c r="AZ25" s="27"/>
      <c r="BA25" s="27"/>
      <c r="BB25" s="27"/>
      <c r="BC25" s="27"/>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row>
    <row r="26" spans="1:91" s="14" customFormat="1" ht="16" customHeight="1">
      <c r="A26" s="26" t="s">
        <v>155</v>
      </c>
      <c r="B26" s="27">
        <v>18</v>
      </c>
      <c r="C26" s="29">
        <v>26.16</v>
      </c>
      <c r="D26" s="27">
        <v>2</v>
      </c>
      <c r="E26" s="27">
        <v>12</v>
      </c>
      <c r="F26" s="27">
        <v>1</v>
      </c>
      <c r="G26" s="27">
        <v>48</v>
      </c>
      <c r="H26" s="27">
        <v>36</v>
      </c>
      <c r="I26" s="30">
        <f t="shared" si="2"/>
        <v>0.25</v>
      </c>
      <c r="J26" s="27">
        <v>2</v>
      </c>
      <c r="K26" s="27">
        <v>6</v>
      </c>
      <c r="L26" s="30">
        <f t="shared" si="0"/>
        <v>-2</v>
      </c>
      <c r="M26" s="27">
        <v>40</v>
      </c>
      <c r="N26" s="27">
        <v>37</v>
      </c>
      <c r="O26" s="30">
        <f t="shared" si="1"/>
        <v>7.4999999999999956E-2</v>
      </c>
      <c r="P26" s="31">
        <v>0.42509999999999998</v>
      </c>
      <c r="Q26" s="169" t="s">
        <v>155</v>
      </c>
      <c r="R26" s="27" t="s">
        <v>12</v>
      </c>
      <c r="S26" s="28" t="s">
        <v>2</v>
      </c>
      <c r="T26" s="51" t="s">
        <v>388</v>
      </c>
      <c r="U26" s="159" t="s">
        <v>628</v>
      </c>
      <c r="V26" s="28" t="s">
        <v>291</v>
      </c>
      <c r="W26" s="28"/>
      <c r="X26" s="316"/>
      <c r="Y26" s="322"/>
      <c r="Z26" s="324"/>
      <c r="AA26" s="312"/>
      <c r="AB26" s="317"/>
      <c r="AC26" s="35">
        <f>SUM(AT26:CO26)</f>
        <v>72</v>
      </c>
      <c r="AD26" s="320"/>
      <c r="AE26" s="318"/>
      <c r="AF26" s="25">
        <f>COUNT(AT26:CO26)</f>
        <v>11</v>
      </c>
      <c r="AG26" s="320"/>
      <c r="AH26" s="14">
        <f>SUM(AW26:BH26,BP26:CO26)</f>
        <v>25</v>
      </c>
      <c r="AI26">
        <f>SUM(AV26:CO26)</f>
        <v>63</v>
      </c>
      <c r="AJ26" s="25">
        <v>5013</v>
      </c>
      <c r="AK26" s="319"/>
      <c r="AL26" s="326"/>
      <c r="AM26" s="71">
        <f>((AJ26)/($AK$2))*(($AB$2*AC26+$AE$2*AF26)/(($AB$2*$AD$2)+($AE$2*$AG$2)))</f>
        <v>2.4974613347120318</v>
      </c>
      <c r="AN26" s="35" t="str">
        <f>IF(AM26&lt;$AP$2,"low",IF(AM26&lt;2,"medium","high"))</f>
        <v>high</v>
      </c>
      <c r="AO26" s="166">
        <v>29</v>
      </c>
      <c r="AP26" s="315"/>
      <c r="AQ26" s="324"/>
      <c r="AR26" s="324"/>
      <c r="AS26" s="312"/>
      <c r="AT26" s="69">
        <v>3</v>
      </c>
      <c r="AU26" s="51">
        <v>6</v>
      </c>
      <c r="AV26" s="51"/>
      <c r="AW26" s="27"/>
      <c r="AX26" s="27">
        <v>1</v>
      </c>
      <c r="AY26" s="27"/>
      <c r="AZ26" s="27"/>
      <c r="BA26" s="27"/>
      <c r="BB26" s="27"/>
      <c r="BC26" s="27"/>
      <c r="BD26" s="15">
        <v>1</v>
      </c>
      <c r="BE26" s="15"/>
      <c r="BF26" s="15"/>
      <c r="BG26" s="15"/>
      <c r="BH26" s="15"/>
      <c r="BI26" s="15">
        <v>27</v>
      </c>
      <c r="BJ26" s="15">
        <v>9</v>
      </c>
      <c r="BK26" s="15"/>
      <c r="BL26" s="15">
        <v>2</v>
      </c>
      <c r="BM26" s="15"/>
      <c r="BN26" s="15"/>
      <c r="BO26" s="15"/>
      <c r="BP26" s="15">
        <v>13</v>
      </c>
      <c r="BQ26" s="15"/>
      <c r="BR26" s="15"/>
      <c r="BS26" s="15"/>
      <c r="BT26" s="15"/>
      <c r="BU26" s="15"/>
      <c r="BV26" s="15"/>
      <c r="BW26" s="15">
        <v>6</v>
      </c>
      <c r="BX26" s="15"/>
      <c r="BY26" s="15"/>
      <c r="BZ26" s="15"/>
      <c r="CA26" s="15"/>
      <c r="CB26" s="15"/>
      <c r="CC26" s="15"/>
      <c r="CD26" s="15"/>
      <c r="CE26" s="15"/>
      <c r="CF26" s="15"/>
      <c r="CG26" s="15"/>
      <c r="CH26" s="15">
        <v>2</v>
      </c>
      <c r="CI26" s="15"/>
      <c r="CJ26" s="15"/>
      <c r="CK26" s="15"/>
      <c r="CL26" s="15"/>
      <c r="CM26" s="15">
        <v>2</v>
      </c>
    </row>
    <row r="27" spans="1:91" s="14" customFormat="1" ht="16" customHeight="1">
      <c r="A27" s="26" t="s">
        <v>156</v>
      </c>
      <c r="B27" s="27">
        <v>5</v>
      </c>
      <c r="C27" s="29">
        <v>13.2</v>
      </c>
      <c r="D27" s="27">
        <v>1</v>
      </c>
      <c r="E27" s="27">
        <v>0</v>
      </c>
      <c r="F27" s="27">
        <v>0</v>
      </c>
      <c r="G27" s="27">
        <v>10</v>
      </c>
      <c r="H27" s="27">
        <v>10</v>
      </c>
      <c r="I27" s="30">
        <f t="shared" si="2"/>
        <v>0</v>
      </c>
      <c r="J27" s="27">
        <v>0</v>
      </c>
      <c r="K27" s="27">
        <v>0</v>
      </c>
      <c r="L27" s="30">
        <f>IF(AND(K27=0,J27=0),0,1-(K27/J27))</f>
        <v>0</v>
      </c>
      <c r="M27" s="27">
        <v>8</v>
      </c>
      <c r="N27" s="27">
        <v>6</v>
      </c>
      <c r="O27" s="30">
        <f t="shared" si="1"/>
        <v>0.25</v>
      </c>
      <c r="P27" s="31">
        <v>0.78779999999999994</v>
      </c>
      <c r="Q27" s="169" t="s">
        <v>156</v>
      </c>
      <c r="R27" s="27" t="s">
        <v>54</v>
      </c>
      <c r="S27" s="28" t="s">
        <v>2</v>
      </c>
      <c r="T27" s="162" t="s">
        <v>608</v>
      </c>
      <c r="U27" s="159" t="s">
        <v>663</v>
      </c>
      <c r="V27" s="28"/>
      <c r="W27" s="28" t="s">
        <v>291</v>
      </c>
      <c r="X27" s="316"/>
      <c r="Y27" s="322"/>
      <c r="Z27" s="324"/>
      <c r="AA27" s="312"/>
      <c r="AB27" s="317"/>
      <c r="AC27" s="35">
        <f>SUM(AT27:CO27)</f>
        <v>14</v>
      </c>
      <c r="AD27" s="320"/>
      <c r="AE27" s="318"/>
      <c r="AF27" s="25">
        <f>COUNT(AT27:CO27)</f>
        <v>6</v>
      </c>
      <c r="AG27" s="320"/>
      <c r="AH27" s="14">
        <f>SUM(AW27:BH27,BP27:CO27)</f>
        <v>6</v>
      </c>
      <c r="AI27">
        <f>SUM(AV27:CO27)</f>
        <v>12</v>
      </c>
      <c r="AJ27" s="25">
        <v>949</v>
      </c>
      <c r="AK27" s="319"/>
      <c r="AL27" s="326"/>
      <c r="AM27" s="71">
        <f>((AJ27)/($AK$2))*(($AB$2*AC27+$AE$2*AF27)/(($AB$2*$AD$2)+($AE$2*$AG$2)))</f>
        <v>0.12287169416637536</v>
      </c>
      <c r="AN27" s="35" t="str">
        <f>IF(AM27&lt;$AP$2,"low",IF(AM27&lt;2,"medium","high"))</f>
        <v>low</v>
      </c>
      <c r="AO27" s="166">
        <v>1</v>
      </c>
      <c r="AP27" s="315"/>
      <c r="AQ27" s="324"/>
      <c r="AR27" s="324"/>
      <c r="AS27" s="312"/>
      <c r="AT27" s="69">
        <v>2</v>
      </c>
      <c r="AU27" s="51"/>
      <c r="AV27" s="51"/>
      <c r="AW27" s="27"/>
      <c r="AX27" s="27"/>
      <c r="AY27" s="27">
        <v>1</v>
      </c>
      <c r="AZ27" s="27"/>
      <c r="BA27" s="27"/>
      <c r="BB27" s="27"/>
      <c r="BC27" s="27"/>
      <c r="BD27" s="15">
        <v>1</v>
      </c>
      <c r="BE27" s="15"/>
      <c r="BF27" s="15"/>
      <c r="BG27" s="15"/>
      <c r="BH27" s="15"/>
      <c r="BI27" s="15">
        <v>4</v>
      </c>
      <c r="BJ27" s="15">
        <v>2</v>
      </c>
      <c r="BK27" s="15"/>
      <c r="BL27" s="15"/>
      <c r="BM27" s="15"/>
      <c r="BN27" s="15"/>
      <c r="BO27" s="15"/>
      <c r="BP27" s="15">
        <v>4</v>
      </c>
      <c r="BQ27" s="15"/>
      <c r="BR27" s="15"/>
      <c r="BS27" s="15"/>
      <c r="BT27" s="15"/>
      <c r="BU27" s="15"/>
      <c r="BV27" s="15"/>
      <c r="BW27" s="15"/>
      <c r="BX27" s="15"/>
      <c r="BY27" s="15"/>
      <c r="BZ27" s="15"/>
      <c r="CA27" s="15"/>
      <c r="CB27" s="15"/>
      <c r="CC27" s="15"/>
      <c r="CD27" s="15"/>
      <c r="CE27" s="15"/>
      <c r="CF27" s="15"/>
      <c r="CG27" s="15"/>
      <c r="CH27" s="15"/>
      <c r="CI27" s="15"/>
      <c r="CJ27" s="15"/>
      <c r="CK27" s="15"/>
      <c r="CL27" s="15"/>
      <c r="CM27" s="15"/>
    </row>
    <row r="28" spans="1:91" s="14" customFormat="1" ht="16" customHeight="1">
      <c r="A28" s="26" t="s">
        <v>157</v>
      </c>
      <c r="B28" s="27">
        <v>9</v>
      </c>
      <c r="C28" s="29">
        <v>19.88</v>
      </c>
      <c r="D28" s="27">
        <v>3</v>
      </c>
      <c r="E28" s="27">
        <v>7</v>
      </c>
      <c r="F28" s="27">
        <v>0</v>
      </c>
      <c r="G28" s="27">
        <v>25</v>
      </c>
      <c r="H28" s="27">
        <v>14</v>
      </c>
      <c r="I28" s="30">
        <f t="shared" si="2"/>
        <v>0.43999999999999995</v>
      </c>
      <c r="J28" s="27">
        <v>1</v>
      </c>
      <c r="K28" s="27">
        <v>2</v>
      </c>
      <c r="L28" s="30">
        <f t="shared" ref="L28:L65" si="8">IF(AND(K28=0,J28=0),0,1-(K28/J28))</f>
        <v>-1</v>
      </c>
      <c r="M28" s="27">
        <v>21</v>
      </c>
      <c r="N28" s="27">
        <v>10</v>
      </c>
      <c r="O28" s="30">
        <f t="shared" si="1"/>
        <v>0.52380952380952384</v>
      </c>
      <c r="P28" s="31">
        <v>0.3574</v>
      </c>
      <c r="Q28" s="169" t="s">
        <v>157</v>
      </c>
      <c r="R28" s="27" t="s">
        <v>56</v>
      </c>
      <c r="S28" s="28" t="s">
        <v>2</v>
      </c>
      <c r="T28" s="51" t="s">
        <v>241</v>
      </c>
      <c r="U28" s="159" t="s">
        <v>600</v>
      </c>
      <c r="V28" s="28" t="s">
        <v>291</v>
      </c>
      <c r="W28" s="28"/>
      <c r="X28" s="316"/>
      <c r="Y28" s="322"/>
      <c r="Z28" s="324"/>
      <c r="AA28" s="312"/>
      <c r="AB28" s="317"/>
      <c r="AC28" s="35">
        <f>SUM(AT28:CO28)</f>
        <v>24</v>
      </c>
      <c r="AD28" s="320"/>
      <c r="AE28" s="318"/>
      <c r="AF28" s="25">
        <f>COUNT(AT28:CO28)</f>
        <v>8</v>
      </c>
      <c r="AG28" s="320"/>
      <c r="AH28" s="14">
        <f>SUM(AW28:BH28,BP28:CO28)</f>
        <v>10</v>
      </c>
      <c r="AI28">
        <f>SUM(AV28:CO28)</f>
        <v>20</v>
      </c>
      <c r="AJ28" s="25">
        <v>1854</v>
      </c>
      <c r="AK28" s="319"/>
      <c r="AL28" s="326"/>
      <c r="AM28" s="71">
        <f>((AJ28)/($AK$2))*(($AB$2*AC28+$AE$2*AF28)/(($AB$2*$AD$2)+($AE$2*$AG$2)))</f>
        <v>0.37572494412610796</v>
      </c>
      <c r="AN28" s="35" t="str">
        <f>IF(AM28&lt;$AP$2,"low",IF(AM28&lt;2,"medium","high"))</f>
        <v>low</v>
      </c>
      <c r="AO28" s="166">
        <v>10</v>
      </c>
      <c r="AP28" s="315"/>
      <c r="AQ28" s="324"/>
      <c r="AR28" s="324"/>
      <c r="AS28" s="312"/>
      <c r="AT28" s="69">
        <v>1</v>
      </c>
      <c r="AU28" s="51">
        <v>3</v>
      </c>
      <c r="AV28" s="51"/>
      <c r="AW28" s="27">
        <v>1</v>
      </c>
      <c r="AX28" s="27"/>
      <c r="AY28" s="27"/>
      <c r="AZ28" s="27"/>
      <c r="BA28" s="27"/>
      <c r="BB28" s="27"/>
      <c r="BC28" s="27"/>
      <c r="BD28" s="15">
        <v>1</v>
      </c>
      <c r="BE28" s="15"/>
      <c r="BF28" s="15"/>
      <c r="BG28" s="15"/>
      <c r="BH28" s="15"/>
      <c r="BI28" s="15">
        <v>10</v>
      </c>
      <c r="BJ28" s="15"/>
      <c r="BK28" s="15"/>
      <c r="BL28" s="15"/>
      <c r="BM28" s="15"/>
      <c r="BN28" s="15"/>
      <c r="BO28" s="15"/>
      <c r="BP28" s="15">
        <v>5</v>
      </c>
      <c r="BQ28" s="15"/>
      <c r="BR28" s="15"/>
      <c r="BS28" s="15"/>
      <c r="BT28" s="15"/>
      <c r="BU28" s="15"/>
      <c r="BV28" s="15"/>
      <c r="BW28" s="15">
        <v>2</v>
      </c>
      <c r="BX28" s="15"/>
      <c r="BY28" s="15"/>
      <c r="BZ28" s="15"/>
      <c r="CA28" s="15"/>
      <c r="CB28" s="15">
        <v>1</v>
      </c>
      <c r="CC28" s="15"/>
      <c r="CD28" s="15"/>
      <c r="CE28" s="15"/>
      <c r="CF28" s="15"/>
      <c r="CG28" s="15"/>
      <c r="CH28" s="15"/>
      <c r="CI28" s="15"/>
      <c r="CJ28" s="15"/>
      <c r="CK28" s="15"/>
      <c r="CL28" s="15"/>
      <c r="CM28" s="15"/>
    </row>
    <row r="29" spans="1:91" s="14" customFormat="1" ht="16" customHeight="1">
      <c r="A29" s="26" t="s">
        <v>158</v>
      </c>
      <c r="B29" s="27">
        <v>14</v>
      </c>
      <c r="C29" s="29">
        <v>14.28</v>
      </c>
      <c r="D29" s="27">
        <v>3</v>
      </c>
      <c r="E29" s="27">
        <v>13</v>
      </c>
      <c r="F29" s="27">
        <v>1</v>
      </c>
      <c r="G29" s="27">
        <v>36</v>
      </c>
      <c r="H29" s="27">
        <v>36</v>
      </c>
      <c r="I29" s="30">
        <f t="shared" si="2"/>
        <v>0</v>
      </c>
      <c r="J29" s="27">
        <v>8</v>
      </c>
      <c r="K29" s="27">
        <v>9</v>
      </c>
      <c r="L29" s="30">
        <f t="shared" si="8"/>
        <v>-0.125</v>
      </c>
      <c r="M29" s="27">
        <v>32</v>
      </c>
      <c r="N29" s="27">
        <v>32</v>
      </c>
      <c r="O29" s="30">
        <f t="shared" si="1"/>
        <v>0</v>
      </c>
      <c r="P29" s="31">
        <v>0.86699999999999999</v>
      </c>
      <c r="Q29" s="169" t="s">
        <v>158</v>
      </c>
      <c r="R29" s="27" t="s">
        <v>55</v>
      </c>
      <c r="S29" s="28" t="s">
        <v>2</v>
      </c>
      <c r="T29" s="51" t="s">
        <v>242</v>
      </c>
      <c r="U29" s="159" t="s">
        <v>603</v>
      </c>
      <c r="V29" s="28" t="s">
        <v>291</v>
      </c>
      <c r="W29" s="28"/>
      <c r="X29" s="316"/>
      <c r="Y29" s="322"/>
      <c r="Z29" s="324"/>
      <c r="AA29" s="312"/>
      <c r="AB29" s="317"/>
      <c r="AC29" s="35">
        <f>SUM(AT29:CO29)</f>
        <v>67</v>
      </c>
      <c r="AD29" s="320"/>
      <c r="AE29" s="318"/>
      <c r="AF29" s="25">
        <f>COUNT(AT29:CO29)</f>
        <v>15</v>
      </c>
      <c r="AG29" s="320"/>
      <c r="AH29" s="14">
        <f>SUM(AW29:BH29,BP29:CO29)</f>
        <v>30</v>
      </c>
      <c r="AI29">
        <f>SUM(AV29:CO29)</f>
        <v>61</v>
      </c>
      <c r="AJ29" s="25">
        <v>4884</v>
      </c>
      <c r="AK29" s="319"/>
      <c r="AL29" s="326"/>
      <c r="AM29" s="71">
        <f>((AJ29)/($AK$2))*(($AB$2*AC29+$AE$2*AF29)/(($AB$2*$AD$2)+($AE$2*$AG$2)))</f>
        <v>2.4606876442304331</v>
      </c>
      <c r="AN29" s="35" t="str">
        <f>IF(AM29&lt;$AP$2,"low",IF(AM29&lt;2,"medium","high"))</f>
        <v>high</v>
      </c>
      <c r="AO29" s="166">
        <v>28</v>
      </c>
      <c r="AP29" s="315"/>
      <c r="AQ29" s="324"/>
      <c r="AR29" s="324"/>
      <c r="AS29" s="312"/>
      <c r="AT29" s="69">
        <v>1</v>
      </c>
      <c r="AU29" s="51">
        <v>5</v>
      </c>
      <c r="AV29" s="51"/>
      <c r="AW29" s="27">
        <v>2</v>
      </c>
      <c r="AX29" s="27"/>
      <c r="AY29" s="27"/>
      <c r="AZ29" s="27"/>
      <c r="BA29" s="27"/>
      <c r="BB29" s="27"/>
      <c r="BC29" s="27"/>
      <c r="BD29" s="15">
        <v>4</v>
      </c>
      <c r="BE29" s="15"/>
      <c r="BF29" s="15"/>
      <c r="BG29" s="15"/>
      <c r="BH29" s="15"/>
      <c r="BI29" s="15">
        <v>31</v>
      </c>
      <c r="BJ29" s="15"/>
      <c r="BK29" s="15"/>
      <c r="BL29" s="15"/>
      <c r="BM29" s="15"/>
      <c r="BN29" s="15"/>
      <c r="BO29" s="15"/>
      <c r="BP29" s="15"/>
      <c r="BQ29" s="15"/>
      <c r="BR29" s="15"/>
      <c r="BS29" s="15">
        <v>1</v>
      </c>
      <c r="BT29" s="15">
        <v>3</v>
      </c>
      <c r="BU29" s="15">
        <v>5</v>
      </c>
      <c r="BV29" s="15">
        <v>1</v>
      </c>
      <c r="BW29" s="15">
        <v>8</v>
      </c>
      <c r="BX29" s="15"/>
      <c r="BY29" s="15">
        <v>1</v>
      </c>
      <c r="BZ29" s="15"/>
      <c r="CA29" s="15"/>
      <c r="CB29" s="15"/>
      <c r="CC29" s="15">
        <v>1</v>
      </c>
      <c r="CD29" s="15">
        <v>1</v>
      </c>
      <c r="CE29" s="15"/>
      <c r="CF29" s="15"/>
      <c r="CG29" s="15">
        <v>2</v>
      </c>
      <c r="CH29" s="15"/>
      <c r="CI29" s="15"/>
      <c r="CJ29" s="15"/>
      <c r="CK29" s="15"/>
      <c r="CL29" s="15"/>
      <c r="CM29" s="15">
        <v>1</v>
      </c>
    </row>
    <row r="30" spans="1:91" s="25" customFormat="1" ht="16" customHeight="1">
      <c r="A30" s="32" t="s">
        <v>188</v>
      </c>
      <c r="B30" s="36">
        <f>AVERAGE(B26:B29)</f>
        <v>11.5</v>
      </c>
      <c r="C30" s="36">
        <f>AVERAGE(C26:C29)</f>
        <v>18.38</v>
      </c>
      <c r="D30" s="36">
        <f>AVERAGE(D26:D29)</f>
        <v>2.25</v>
      </c>
      <c r="E30" s="36">
        <f>AVERAGE(E26:E29)</f>
        <v>8</v>
      </c>
      <c r="F30" s="36">
        <f>AVERAGE(F26:F29)</f>
        <v>0.5</v>
      </c>
      <c r="G30" s="36">
        <f>SUBTOTAL(1,G26:G29)</f>
        <v>29.75</v>
      </c>
      <c r="H30" s="36">
        <f>SUBTOTAL(1,H26:H29)</f>
        <v>24</v>
      </c>
      <c r="I30" s="37">
        <f t="shared" si="2"/>
        <v>0.19327731092436973</v>
      </c>
      <c r="J30" s="36">
        <f>SUBTOTAL(1,J26:J29)</f>
        <v>2.75</v>
      </c>
      <c r="K30" s="36">
        <f>SUBTOTAL(1,K26:K29)</f>
        <v>4.25</v>
      </c>
      <c r="L30" s="37">
        <f t="shared" si="8"/>
        <v>-0.54545454545454541</v>
      </c>
      <c r="M30" s="36">
        <f>SUBTOTAL(1,M26:M29)</f>
        <v>25.25</v>
      </c>
      <c r="N30" s="36">
        <f>SUBTOTAL(1,N26:N29)</f>
        <v>21.25</v>
      </c>
      <c r="O30" s="37">
        <f t="shared" si="1"/>
        <v>0.15841584158415845</v>
      </c>
      <c r="P30" s="37">
        <f>SUBTOTAL(1,P26:P29)</f>
        <v>0.60932499999999989</v>
      </c>
      <c r="Q30" s="170" t="s">
        <v>188</v>
      </c>
      <c r="R30" s="33" t="s">
        <v>60</v>
      </c>
      <c r="S30" s="35" t="s">
        <v>2</v>
      </c>
      <c r="T30" s="51"/>
      <c r="U30" s="161"/>
      <c r="V30" s="35"/>
      <c r="W30" s="35"/>
      <c r="X30" s="316"/>
      <c r="Y30" s="322"/>
      <c r="Z30" s="324"/>
      <c r="AA30" s="312"/>
      <c r="AB30" s="317"/>
      <c r="AC30" s="35"/>
      <c r="AD30" s="320"/>
      <c r="AE30" s="318"/>
      <c r="AG30" s="320"/>
      <c r="AH30"/>
      <c r="AI30"/>
      <c r="AK30" s="319"/>
      <c r="AL30" s="326"/>
      <c r="AM30" s="71"/>
      <c r="AN30" s="35"/>
      <c r="AO30" s="168"/>
      <c r="AP30" s="315"/>
      <c r="AQ30" s="324"/>
      <c r="AR30" s="324"/>
      <c r="AS30" s="312"/>
      <c r="AT30" s="69"/>
      <c r="AU30" s="51"/>
      <c r="AV30" s="51"/>
      <c r="AW30" s="27"/>
      <c r="AX30" s="27"/>
      <c r="AY30" s="27"/>
      <c r="AZ30" s="27"/>
      <c r="BA30" s="27"/>
      <c r="BB30" s="27"/>
      <c r="BC30" s="27"/>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row>
    <row r="31" spans="1:91" s="14" customFormat="1" ht="16" customHeight="1">
      <c r="A31" s="26" t="s">
        <v>159</v>
      </c>
      <c r="B31" s="27">
        <v>7</v>
      </c>
      <c r="C31" s="29">
        <v>9.7100000000000009</v>
      </c>
      <c r="D31" s="27">
        <v>0</v>
      </c>
      <c r="E31" s="27">
        <v>5</v>
      </c>
      <c r="F31" s="27">
        <v>0</v>
      </c>
      <c r="G31" s="27">
        <v>14</v>
      </c>
      <c r="H31" s="27">
        <v>13</v>
      </c>
      <c r="I31" s="30">
        <f t="shared" si="2"/>
        <v>7.1428571428571397E-2</v>
      </c>
      <c r="J31" s="27">
        <v>2</v>
      </c>
      <c r="K31" s="27">
        <v>1</v>
      </c>
      <c r="L31" s="30">
        <f t="shared" si="8"/>
        <v>0.5</v>
      </c>
      <c r="M31" s="27">
        <v>11</v>
      </c>
      <c r="N31" s="27">
        <v>9</v>
      </c>
      <c r="O31" s="30">
        <f t="shared" si="1"/>
        <v>0.18181818181818177</v>
      </c>
      <c r="P31" s="31">
        <v>0.74350000000000005</v>
      </c>
      <c r="Q31" s="169" t="s">
        <v>159</v>
      </c>
      <c r="R31" s="27" t="s">
        <v>53</v>
      </c>
      <c r="S31" s="28" t="s">
        <v>2</v>
      </c>
      <c r="T31" s="51" t="s">
        <v>245</v>
      </c>
      <c r="U31" s="159" t="s">
        <v>600</v>
      </c>
      <c r="V31" s="28" t="s">
        <v>291</v>
      </c>
      <c r="W31" s="28"/>
      <c r="X31" s="316"/>
      <c r="Y31" s="322"/>
      <c r="Z31" s="324"/>
      <c r="AA31" s="312"/>
      <c r="AB31" s="317"/>
      <c r="AC31" s="35">
        <f>SUM(AT31:CO31)</f>
        <v>21</v>
      </c>
      <c r="AD31" s="320"/>
      <c r="AE31" s="318"/>
      <c r="AF31" s="25">
        <f>COUNT(AT31:CO31)</f>
        <v>9</v>
      </c>
      <c r="AG31" s="320"/>
      <c r="AH31" s="14">
        <f>SUM(AW31:BH31,BP31:CO31)</f>
        <v>8</v>
      </c>
      <c r="AI31">
        <f>SUM(AV31:CO31)</f>
        <v>18</v>
      </c>
      <c r="AJ31" s="25">
        <v>1706</v>
      </c>
      <c r="AK31" s="319"/>
      <c r="AL31" s="326"/>
      <c r="AM31" s="71">
        <f>((AJ31)/($AK$2))*(($AB$2*AC31+$AE$2*AF31)/(($AB$2*$AD$2)+($AE$2*$AG$2)))</f>
        <v>0.33132630703029992</v>
      </c>
      <c r="AN31" s="35" t="str">
        <f>IF(AM31&lt;$AP$2,"low",IF(AM31&lt;2,"medium","high"))</f>
        <v>low</v>
      </c>
      <c r="AO31" s="166">
        <v>9</v>
      </c>
      <c r="AP31" s="315"/>
      <c r="AQ31" s="324"/>
      <c r="AR31" s="324"/>
      <c r="AS31" s="312"/>
      <c r="AT31" s="69">
        <v>1</v>
      </c>
      <c r="AU31" s="51">
        <v>2</v>
      </c>
      <c r="AV31" s="51"/>
      <c r="AW31" s="27"/>
      <c r="AX31" s="27"/>
      <c r="AY31" s="27">
        <v>1</v>
      </c>
      <c r="AZ31" s="27"/>
      <c r="BA31" s="27"/>
      <c r="BB31" s="27"/>
      <c r="BC31" s="27"/>
      <c r="BD31" s="15">
        <v>2</v>
      </c>
      <c r="BE31" s="15"/>
      <c r="BF31" s="15"/>
      <c r="BG31" s="15"/>
      <c r="BH31" s="15"/>
      <c r="BI31" s="15">
        <v>8</v>
      </c>
      <c r="BJ31" s="15"/>
      <c r="BK31" s="15">
        <v>1</v>
      </c>
      <c r="BL31" s="15"/>
      <c r="BM31" s="15"/>
      <c r="BN31" s="15">
        <v>1</v>
      </c>
      <c r="BO31" s="15"/>
      <c r="BP31" s="15">
        <v>4</v>
      </c>
      <c r="BQ31" s="15"/>
      <c r="BR31" s="15"/>
      <c r="BS31" s="15"/>
      <c r="BT31" s="15"/>
      <c r="BU31" s="15"/>
      <c r="BV31" s="15"/>
      <c r="BW31" s="15"/>
      <c r="BX31" s="15"/>
      <c r="BY31" s="15"/>
      <c r="BZ31" s="15">
        <v>1</v>
      </c>
      <c r="CA31" s="15"/>
      <c r="CB31" s="15"/>
      <c r="CC31" s="15"/>
      <c r="CD31" s="15"/>
      <c r="CE31" s="15"/>
      <c r="CF31" s="15"/>
      <c r="CG31" s="15"/>
      <c r="CH31" s="15"/>
      <c r="CI31" s="15"/>
      <c r="CJ31" s="15"/>
      <c r="CK31" s="15"/>
      <c r="CL31" s="15"/>
      <c r="CM31" s="15"/>
    </row>
    <row r="32" spans="1:91" s="25" customFormat="1" ht="16" customHeight="1">
      <c r="A32" s="32" t="s">
        <v>189</v>
      </c>
      <c r="B32" s="36">
        <f>AVERAGE(B31)</f>
        <v>7</v>
      </c>
      <c r="C32" s="36">
        <f>AVERAGE(C31)</f>
        <v>9.7100000000000009</v>
      </c>
      <c r="D32" s="36">
        <f>AVERAGE(D31)</f>
        <v>0</v>
      </c>
      <c r="E32" s="36">
        <f>AVERAGE(E31)</f>
        <v>5</v>
      </c>
      <c r="F32" s="36">
        <f>AVERAGE(F31)</f>
        <v>0</v>
      </c>
      <c r="G32" s="36">
        <f>SUBTOTAL(1,G31)</f>
        <v>14</v>
      </c>
      <c r="H32" s="36">
        <f>SUBTOTAL(1,H31)</f>
        <v>13</v>
      </c>
      <c r="I32" s="37">
        <f t="shared" si="2"/>
        <v>7.1428571428571397E-2</v>
      </c>
      <c r="J32" s="36">
        <f>SUBTOTAL(1,J31)</f>
        <v>2</v>
      </c>
      <c r="K32" s="36">
        <f>SUBTOTAL(1,K31)</f>
        <v>1</v>
      </c>
      <c r="L32" s="37">
        <f t="shared" si="8"/>
        <v>0.5</v>
      </c>
      <c r="M32" s="36">
        <f>SUBTOTAL(1,M31)</f>
        <v>11</v>
      </c>
      <c r="N32" s="36">
        <f>SUBTOTAL(1,N31)</f>
        <v>9</v>
      </c>
      <c r="O32" s="37">
        <f t="shared" si="1"/>
        <v>0.18181818181818177</v>
      </c>
      <c r="P32" s="37">
        <f>SUBTOTAL(1,P31)</f>
        <v>0.74350000000000005</v>
      </c>
      <c r="Q32" s="170" t="s">
        <v>189</v>
      </c>
      <c r="R32" s="33" t="s">
        <v>61</v>
      </c>
      <c r="S32" s="35" t="s">
        <v>2</v>
      </c>
      <c r="T32" s="53"/>
      <c r="U32" s="161"/>
      <c r="V32" s="35"/>
      <c r="W32" s="35"/>
      <c r="X32" s="316"/>
      <c r="Y32" s="322"/>
      <c r="Z32" s="324"/>
      <c r="AA32" s="312"/>
      <c r="AB32" s="317"/>
      <c r="AC32" s="35"/>
      <c r="AD32" s="320"/>
      <c r="AE32" s="318"/>
      <c r="AG32" s="320"/>
      <c r="AH32"/>
      <c r="AI32"/>
      <c r="AK32" s="319"/>
      <c r="AL32" s="326"/>
      <c r="AM32" s="71"/>
      <c r="AN32" s="35"/>
      <c r="AO32" s="168"/>
      <c r="AP32" s="315"/>
      <c r="AQ32" s="324"/>
      <c r="AR32" s="324"/>
      <c r="AS32" s="312"/>
      <c r="AT32" s="66"/>
      <c r="AU32" s="53"/>
      <c r="AV32" s="53"/>
      <c r="AW32" s="33"/>
      <c r="AX32" s="33"/>
      <c r="AY32" s="33"/>
      <c r="AZ32" s="33"/>
      <c r="BA32" s="33"/>
      <c r="BB32" s="33"/>
      <c r="BC32" s="33"/>
    </row>
    <row r="33" spans="1:93" s="14" customFormat="1" ht="16" customHeight="1">
      <c r="A33" s="26" t="s">
        <v>160</v>
      </c>
      <c r="B33" s="27">
        <v>3</v>
      </c>
      <c r="C33" s="29">
        <v>17.670000000000002</v>
      </c>
      <c r="D33" s="27">
        <v>0</v>
      </c>
      <c r="E33" s="27">
        <v>0</v>
      </c>
      <c r="F33" s="27">
        <v>1</v>
      </c>
      <c r="G33" s="27">
        <v>10</v>
      </c>
      <c r="H33" s="27">
        <v>13</v>
      </c>
      <c r="I33" s="30">
        <f t="shared" si="2"/>
        <v>-0.30000000000000004</v>
      </c>
      <c r="J33" s="27">
        <v>0</v>
      </c>
      <c r="K33" s="27">
        <v>0</v>
      </c>
      <c r="L33" s="30">
        <f t="shared" si="8"/>
        <v>0</v>
      </c>
      <c r="M33" s="27">
        <v>6</v>
      </c>
      <c r="N33" s="27">
        <v>7</v>
      </c>
      <c r="O33" s="30">
        <f t="shared" si="1"/>
        <v>-0.16666666666666674</v>
      </c>
      <c r="P33" s="31">
        <v>0.85209999999999997</v>
      </c>
      <c r="Q33" s="169" t="s">
        <v>160</v>
      </c>
      <c r="R33" s="27" t="s">
        <v>51</v>
      </c>
      <c r="S33" s="28" t="s">
        <v>42</v>
      </c>
      <c r="T33" s="51" t="s">
        <v>299</v>
      </c>
      <c r="U33" s="159" t="s">
        <v>600</v>
      </c>
      <c r="V33" s="28" t="s">
        <v>291</v>
      </c>
      <c r="W33" s="28"/>
      <c r="X33" s="316"/>
      <c r="Y33" s="322"/>
      <c r="Z33" s="324"/>
      <c r="AA33" s="312"/>
      <c r="AB33" s="317"/>
      <c r="AC33" s="35">
        <f>SUM(AT33:CO33)</f>
        <v>20</v>
      </c>
      <c r="AD33" s="320"/>
      <c r="AE33" s="318"/>
      <c r="AF33" s="25">
        <f>COUNT(AT33:CO33)</f>
        <v>8</v>
      </c>
      <c r="AG33" s="320"/>
      <c r="AH33" s="14">
        <f>SUM(AW33:BH33,BP33:CO33)</f>
        <v>7</v>
      </c>
      <c r="AI33">
        <f>SUM(AV33:CO33)</f>
        <v>15</v>
      </c>
      <c r="AJ33" s="25">
        <v>1668</v>
      </c>
      <c r="AK33" s="319"/>
      <c r="AL33" s="326"/>
      <c r="AM33" s="71">
        <f>((AJ33)/($AK$2))*(($AB$2*AC33+$AE$2*AF33)/(($AB$2*$AD$2)+($AE$2*$AG$2)))</f>
        <v>0.30047187189373031</v>
      </c>
      <c r="AN33" s="35" t="str">
        <f>IF(AM33&lt;$AP$2,"low",IF(AM33&lt;2,"medium","high"))</f>
        <v>low</v>
      </c>
      <c r="AO33" s="166">
        <v>8</v>
      </c>
      <c r="AP33" s="315"/>
      <c r="AQ33" s="324"/>
      <c r="AR33" s="324"/>
      <c r="AS33" s="312"/>
      <c r="AT33" s="69">
        <v>2</v>
      </c>
      <c r="AU33" s="51">
        <v>3</v>
      </c>
      <c r="AV33" s="51"/>
      <c r="AW33" s="41"/>
      <c r="AX33" s="41"/>
      <c r="AY33" s="41"/>
      <c r="AZ33" s="41">
        <v>1</v>
      </c>
      <c r="BA33" s="41"/>
      <c r="BB33" s="41"/>
      <c r="BC33" s="41"/>
      <c r="BD33" s="15">
        <v>1</v>
      </c>
      <c r="BI33" s="15">
        <v>6</v>
      </c>
      <c r="BK33" s="14">
        <v>1</v>
      </c>
      <c r="BO33" s="14">
        <v>1</v>
      </c>
      <c r="BP33" s="14">
        <v>5</v>
      </c>
    </row>
    <row r="34" spans="1:93" s="14" customFormat="1" ht="16" customHeight="1">
      <c r="A34" s="26" t="s">
        <v>161</v>
      </c>
      <c r="B34" s="27">
        <v>6</v>
      </c>
      <c r="C34" s="29">
        <v>15.83</v>
      </c>
      <c r="D34" s="27">
        <v>0</v>
      </c>
      <c r="E34" s="27">
        <v>8</v>
      </c>
      <c r="F34" s="27">
        <v>0</v>
      </c>
      <c r="G34" s="29">
        <v>17</v>
      </c>
      <c r="H34" s="29">
        <v>13</v>
      </c>
      <c r="I34" s="30">
        <f t="shared" si="2"/>
        <v>0.23529411764705888</v>
      </c>
      <c r="J34" s="29">
        <v>1</v>
      </c>
      <c r="K34" s="29">
        <v>2</v>
      </c>
      <c r="L34" s="30">
        <f t="shared" si="8"/>
        <v>-1</v>
      </c>
      <c r="M34" s="29">
        <v>14</v>
      </c>
      <c r="N34" s="29">
        <v>19</v>
      </c>
      <c r="O34" s="30">
        <f t="shared" si="1"/>
        <v>-0.35714285714285721</v>
      </c>
      <c r="P34" s="31">
        <v>0.68420000000000003</v>
      </c>
      <c r="Q34" s="169" t="s">
        <v>161</v>
      </c>
      <c r="R34" s="27" t="s">
        <v>13</v>
      </c>
      <c r="S34" s="28" t="s">
        <v>42</v>
      </c>
      <c r="T34" s="162" t="s">
        <v>609</v>
      </c>
      <c r="U34" s="159" t="s">
        <v>601</v>
      </c>
      <c r="V34" s="28"/>
      <c r="W34" s="28" t="s">
        <v>291</v>
      </c>
      <c r="X34" s="316"/>
      <c r="Y34" s="322"/>
      <c r="Z34" s="324"/>
      <c r="AA34" s="312"/>
      <c r="AB34" s="317"/>
      <c r="AC34" s="35">
        <f>SUM(AT34:CO34)</f>
        <v>32</v>
      </c>
      <c r="AD34" s="320"/>
      <c r="AE34" s="318"/>
      <c r="AF34" s="25">
        <f>COUNT(AT34:CO34)</f>
        <v>9</v>
      </c>
      <c r="AG34" s="320"/>
      <c r="AH34" s="14">
        <f>SUM(AW34:BH34,BP34:CO34)</f>
        <v>11</v>
      </c>
      <c r="AI34">
        <f>SUM(AV34:CO34)</f>
        <v>30</v>
      </c>
      <c r="AJ34" s="25">
        <v>2037</v>
      </c>
      <c r="AK34" s="319"/>
      <c r="AL34" s="326"/>
      <c r="AM34" s="71">
        <f>((AJ34)/($AK$2))*(($AB$2*AC34+$AE$2*AF34)/(($AB$2*$AD$2)+($AE$2*$AG$2)))</f>
        <v>0.52174731599712521</v>
      </c>
      <c r="AN34" s="35" t="str">
        <f>IF(AM34&lt;$AP$2,"low",IF(AM34&lt;2,"medium","high"))</f>
        <v>low</v>
      </c>
      <c r="AO34" s="166">
        <v>13</v>
      </c>
      <c r="AP34" s="315"/>
      <c r="AQ34" s="324"/>
      <c r="AR34" s="324"/>
      <c r="AS34" s="312"/>
      <c r="AT34" s="69">
        <v>2</v>
      </c>
      <c r="AU34" s="51"/>
      <c r="AV34" s="51"/>
      <c r="AW34" s="41"/>
      <c r="AX34" s="41">
        <v>1</v>
      </c>
      <c r="AY34" s="41"/>
      <c r="AZ34" s="41"/>
      <c r="BA34" s="41"/>
      <c r="BB34" s="41"/>
      <c r="BC34" s="41"/>
      <c r="BD34" s="15">
        <v>1</v>
      </c>
      <c r="BI34" s="15">
        <v>12</v>
      </c>
      <c r="BJ34" s="14">
        <v>7</v>
      </c>
      <c r="BP34" s="14">
        <v>5</v>
      </c>
      <c r="BW34" s="14">
        <v>1</v>
      </c>
      <c r="BY34" s="14">
        <v>1</v>
      </c>
      <c r="CD34" s="14">
        <v>2</v>
      </c>
    </row>
    <row r="35" spans="1:93" s="14" customFormat="1" ht="16" customHeight="1">
      <c r="A35" s="26" t="s">
        <v>162</v>
      </c>
      <c r="B35" s="27">
        <v>5</v>
      </c>
      <c r="C35" s="29">
        <v>17.600000000000001</v>
      </c>
      <c r="D35" s="27">
        <v>0</v>
      </c>
      <c r="E35" s="27">
        <v>7</v>
      </c>
      <c r="F35" s="27">
        <v>0</v>
      </c>
      <c r="G35" s="27">
        <v>13</v>
      </c>
      <c r="H35" s="27">
        <v>13</v>
      </c>
      <c r="I35" s="30">
        <f t="shared" si="2"/>
        <v>0</v>
      </c>
      <c r="J35" s="27">
        <v>2</v>
      </c>
      <c r="K35" s="27">
        <v>2</v>
      </c>
      <c r="L35" s="30">
        <f t="shared" si="8"/>
        <v>0</v>
      </c>
      <c r="M35" s="27">
        <v>11</v>
      </c>
      <c r="N35" s="27">
        <v>18</v>
      </c>
      <c r="O35" s="30">
        <f t="shared" si="1"/>
        <v>-0.63636363636363646</v>
      </c>
      <c r="P35" s="31">
        <v>0.78839999999999999</v>
      </c>
      <c r="Q35" s="169" t="s">
        <v>162</v>
      </c>
      <c r="R35" s="27" t="s">
        <v>52</v>
      </c>
      <c r="S35" s="28" t="s">
        <v>42</v>
      </c>
      <c r="T35" s="51" t="s">
        <v>247</v>
      </c>
      <c r="U35" s="159" t="s">
        <v>599</v>
      </c>
      <c r="V35" s="28" t="s">
        <v>291</v>
      </c>
      <c r="W35" s="28"/>
      <c r="X35" s="316"/>
      <c r="Y35" s="322"/>
      <c r="Z35" s="324"/>
      <c r="AA35" s="312"/>
      <c r="AB35" s="317"/>
      <c r="AC35" s="35">
        <f>SUM(AT35:CO35)</f>
        <v>31</v>
      </c>
      <c r="AD35" s="320"/>
      <c r="AE35" s="318"/>
      <c r="AF35" s="25">
        <f>COUNT(AT35:CO35)</f>
        <v>9</v>
      </c>
      <c r="AG35" s="320"/>
      <c r="AH35" s="14">
        <f>SUM(AW35:BH35,BP35:CO35)</f>
        <v>11</v>
      </c>
      <c r="AI35">
        <f>SUM(AV35:CO35)</f>
        <v>29</v>
      </c>
      <c r="AJ35" s="25">
        <v>2021</v>
      </c>
      <c r="AK35" s="319"/>
      <c r="AL35" s="326"/>
      <c r="AM35" s="71">
        <f>((AJ35)/($AK$2))*(($AB$2*AC35+$AE$2*AF35)/(($AB$2*$AD$2)+($AE$2*$AG$2)))</f>
        <v>0.50627224900379741</v>
      </c>
      <c r="AN35" s="35" t="str">
        <f>IF(AM35&lt;$AP$2,"low",IF(AM35&lt;2,"medium","high"))</f>
        <v>low</v>
      </c>
      <c r="AO35" s="166">
        <v>12</v>
      </c>
      <c r="AP35" s="315"/>
      <c r="AQ35" s="324"/>
      <c r="AR35" s="324"/>
      <c r="AS35" s="312"/>
      <c r="AT35" s="69">
        <v>2</v>
      </c>
      <c r="AU35" s="51"/>
      <c r="AV35" s="51"/>
      <c r="AW35" s="41"/>
      <c r="AX35" s="41"/>
      <c r="AY35" s="41"/>
      <c r="AZ35" s="41">
        <v>1</v>
      </c>
      <c r="BA35" s="41"/>
      <c r="BB35" s="41"/>
      <c r="BC35" s="41"/>
      <c r="BD35" s="15">
        <v>1</v>
      </c>
      <c r="BI35" s="15">
        <v>12</v>
      </c>
      <c r="BJ35" s="14">
        <v>6</v>
      </c>
      <c r="BP35" s="14">
        <v>5</v>
      </c>
      <c r="BW35" s="14">
        <v>1</v>
      </c>
      <c r="BY35" s="14">
        <v>1</v>
      </c>
      <c r="CD35" s="14">
        <v>2</v>
      </c>
    </row>
    <row r="36" spans="1:93" s="14" customFormat="1" ht="16" customHeight="1">
      <c r="A36" s="26"/>
      <c r="B36" s="27"/>
      <c r="C36" s="29"/>
      <c r="D36" s="27"/>
      <c r="E36" s="27"/>
      <c r="F36" s="27"/>
      <c r="G36" s="27"/>
      <c r="H36" s="27"/>
      <c r="I36" s="30"/>
      <c r="J36" s="27"/>
      <c r="K36" s="27"/>
      <c r="L36" s="30"/>
      <c r="M36" s="27"/>
      <c r="N36" s="27"/>
      <c r="O36" s="30"/>
      <c r="P36" s="31"/>
      <c r="Q36" s="169"/>
      <c r="R36" s="27"/>
      <c r="S36" s="28"/>
      <c r="T36" s="51"/>
      <c r="U36" s="159"/>
      <c r="V36" s="28"/>
      <c r="W36" s="28"/>
      <c r="X36" s="316"/>
      <c r="Y36" s="322"/>
      <c r="Z36" s="324"/>
      <c r="AA36" s="312"/>
      <c r="AB36" s="317"/>
      <c r="AC36" s="35"/>
      <c r="AD36" s="320"/>
      <c r="AE36" s="318"/>
      <c r="AF36" s="25"/>
      <c r="AG36" s="320"/>
      <c r="AH36"/>
      <c r="AI36"/>
      <c r="AJ36" s="25"/>
      <c r="AK36" s="319"/>
      <c r="AL36" s="326"/>
      <c r="AM36" s="71"/>
      <c r="AN36" s="35"/>
      <c r="AO36" s="166"/>
      <c r="AP36" s="315"/>
      <c r="AQ36" s="324"/>
      <c r="AR36" s="324"/>
      <c r="AS36" s="312"/>
      <c r="AT36" s="69"/>
      <c r="AU36" s="51"/>
      <c r="AV36" s="51"/>
      <c r="AW36" s="41"/>
      <c r="AX36" s="41"/>
      <c r="AY36" s="41"/>
      <c r="AZ36" s="41"/>
      <c r="BA36" s="41"/>
      <c r="BB36" s="41"/>
      <c r="BC36" s="41"/>
      <c r="BD36" s="15"/>
      <c r="BI36" s="15"/>
    </row>
    <row r="37" spans="1:93" s="14" customFormat="1" ht="16" customHeight="1">
      <c r="A37" s="26"/>
      <c r="B37" s="27"/>
      <c r="C37" s="29"/>
      <c r="D37" s="27"/>
      <c r="E37" s="27"/>
      <c r="F37" s="27"/>
      <c r="G37" s="27"/>
      <c r="H37" s="27"/>
      <c r="I37" s="30"/>
      <c r="J37" s="27"/>
      <c r="K37" s="27"/>
      <c r="L37" s="30"/>
      <c r="M37" s="27"/>
      <c r="N37" s="27"/>
      <c r="O37" s="30"/>
      <c r="P37" s="31"/>
      <c r="Q37" s="169" t="s">
        <v>283</v>
      </c>
      <c r="R37" s="27" t="s">
        <v>288</v>
      </c>
      <c r="S37" s="28" t="s">
        <v>3</v>
      </c>
      <c r="T37" s="51"/>
      <c r="U37" s="159" t="s">
        <v>600</v>
      </c>
      <c r="V37" s="28" t="s">
        <v>291</v>
      </c>
      <c r="W37" s="28"/>
      <c r="X37" s="316"/>
      <c r="Y37" s="322"/>
      <c r="Z37" s="324"/>
      <c r="AA37" s="312"/>
      <c r="AB37" s="317"/>
      <c r="AC37" s="35">
        <f>SUM(AT37:CO37)</f>
        <v>110</v>
      </c>
      <c r="AD37" s="320"/>
      <c r="AE37" s="318"/>
      <c r="AF37" s="25">
        <f>COUNT(AT37:CO37)</f>
        <v>13</v>
      </c>
      <c r="AG37" s="320"/>
      <c r="AH37" s="14">
        <f>SUM(AW37:BH37,BP37:CO37)</f>
        <v>48</v>
      </c>
      <c r="AI37">
        <f>SUM(AV37:CO37)</f>
        <v>104</v>
      </c>
      <c r="AJ37" s="25">
        <v>8607</v>
      </c>
      <c r="AK37" s="319"/>
      <c r="AL37" s="326"/>
      <c r="AM37" s="71">
        <f>((AJ37)/($AK$2))*(($AB$2*AC37+$AE$2*AF37)/(($AB$2*$AD$2)+($AE$2*$AG$2)))</f>
        <v>6.2745035499085571</v>
      </c>
      <c r="AN37" s="35" t="str">
        <f>IF(AM37&lt;$AP$2,"low",IF(AM37&lt;2,"medium","high"))</f>
        <v>high</v>
      </c>
      <c r="AO37" s="166">
        <v>35</v>
      </c>
      <c r="AP37" s="315"/>
      <c r="AQ37" s="324"/>
      <c r="AR37" s="324"/>
      <c r="AS37" s="312"/>
      <c r="AT37" s="69">
        <v>1</v>
      </c>
      <c r="AU37" s="51">
        <v>5</v>
      </c>
      <c r="AV37" s="51"/>
      <c r="AW37" s="41">
        <v>1</v>
      </c>
      <c r="AX37" s="41"/>
      <c r="AY37" s="41"/>
      <c r="AZ37" s="41"/>
      <c r="BA37" s="41"/>
      <c r="BB37" s="41"/>
      <c r="BC37" s="41"/>
      <c r="BD37" s="15">
        <v>1</v>
      </c>
      <c r="BI37" s="15">
        <v>54</v>
      </c>
      <c r="BK37" s="14">
        <v>1</v>
      </c>
      <c r="BO37" s="14">
        <v>1</v>
      </c>
      <c r="BP37" s="14">
        <v>10</v>
      </c>
      <c r="BT37" s="14">
        <v>14</v>
      </c>
      <c r="BW37" s="14">
        <v>8</v>
      </c>
      <c r="BX37" s="14">
        <v>6</v>
      </c>
      <c r="CA37" s="14">
        <v>1</v>
      </c>
      <c r="CD37" s="14">
        <v>7</v>
      </c>
    </row>
    <row r="38" spans="1:93" s="14" customFormat="1" ht="16" customHeight="1">
      <c r="A38" s="26"/>
      <c r="B38" s="27"/>
      <c r="C38" s="29"/>
      <c r="D38" s="27"/>
      <c r="E38" s="27"/>
      <c r="F38" s="27"/>
      <c r="G38" s="27"/>
      <c r="H38" s="27"/>
      <c r="I38" s="30"/>
      <c r="J38" s="27"/>
      <c r="K38" s="27"/>
      <c r="L38" s="30"/>
      <c r="M38" s="27"/>
      <c r="N38" s="27"/>
      <c r="O38" s="30"/>
      <c r="P38" s="31"/>
      <c r="Q38" s="169" t="s">
        <v>286</v>
      </c>
      <c r="R38" s="27" t="s">
        <v>287</v>
      </c>
      <c r="S38" s="28" t="s">
        <v>3</v>
      </c>
      <c r="T38" s="51"/>
      <c r="U38" s="159" t="s">
        <v>600</v>
      </c>
      <c r="V38" s="28" t="s">
        <v>291</v>
      </c>
      <c r="W38" s="28"/>
      <c r="X38" s="316"/>
      <c r="Y38" s="322"/>
      <c r="Z38" s="324"/>
      <c r="AA38" s="312"/>
      <c r="AB38" s="317"/>
      <c r="AC38" s="35">
        <f>SUM(AT38:CO38)</f>
        <v>109</v>
      </c>
      <c r="AD38" s="320"/>
      <c r="AE38" s="318"/>
      <c r="AF38" s="25">
        <f>COUNT(AT38:CO38)</f>
        <v>11</v>
      </c>
      <c r="AG38" s="320"/>
      <c r="AH38" s="14">
        <f>SUM(AW38:BH38,BP38:CO38)</f>
        <v>49</v>
      </c>
      <c r="AI38">
        <f>SUM(AV38:CO38)</f>
        <v>103</v>
      </c>
      <c r="AJ38" s="25">
        <v>8634</v>
      </c>
      <c r="AK38" s="319"/>
      <c r="AL38" s="326"/>
      <c r="AM38" s="71">
        <f>((AJ38)/($AK$2))*(($AB$2*AC38+$AE$2*AF38)/(($AB$2*$AD$2)+($AE$2*$AG$2)))</f>
        <v>6.0997715230117224</v>
      </c>
      <c r="AN38" s="35" t="str">
        <f>IF(AM38&lt;$AP$2,"low",IF(AM38&lt;2,"medium","high"))</f>
        <v>high</v>
      </c>
      <c r="AO38" s="166">
        <v>34</v>
      </c>
      <c r="AP38" s="315"/>
      <c r="AQ38" s="324"/>
      <c r="AR38" s="324"/>
      <c r="AS38" s="312"/>
      <c r="AT38" s="69">
        <v>1</v>
      </c>
      <c r="AU38" s="51">
        <v>5</v>
      </c>
      <c r="AV38" s="51"/>
      <c r="AW38" s="41">
        <v>1</v>
      </c>
      <c r="AX38" s="41"/>
      <c r="AY38" s="41"/>
      <c r="AZ38" s="41"/>
      <c r="BA38" s="41"/>
      <c r="BB38" s="41"/>
      <c r="BC38" s="41"/>
      <c r="BD38" s="15">
        <v>5</v>
      </c>
      <c r="BI38" s="15">
        <v>54</v>
      </c>
      <c r="BP38" s="14">
        <v>10</v>
      </c>
      <c r="BT38" s="14">
        <v>11</v>
      </c>
      <c r="BW38" s="14">
        <v>14</v>
      </c>
      <c r="BX38" s="14">
        <v>2</v>
      </c>
      <c r="CA38" s="14">
        <v>1</v>
      </c>
      <c r="CD38" s="14">
        <v>5</v>
      </c>
    </row>
    <row r="39" spans="1:93" s="14" customFormat="1" ht="16" customHeight="1">
      <c r="A39" s="26"/>
      <c r="B39" s="27"/>
      <c r="C39" s="29"/>
      <c r="D39" s="27"/>
      <c r="E39" s="27"/>
      <c r="F39" s="27"/>
      <c r="G39" s="27"/>
      <c r="H39" s="27"/>
      <c r="I39" s="30"/>
      <c r="J39" s="27"/>
      <c r="K39" s="27"/>
      <c r="L39" s="30"/>
      <c r="M39" s="27"/>
      <c r="N39" s="27"/>
      <c r="O39" s="30"/>
      <c r="P39" s="31"/>
      <c r="Q39" s="169" t="s">
        <v>284</v>
      </c>
      <c r="R39" s="27" t="s">
        <v>294</v>
      </c>
      <c r="S39" s="28" t="s">
        <v>3</v>
      </c>
      <c r="T39" s="56" t="s">
        <v>295</v>
      </c>
      <c r="U39" s="159" t="s">
        <v>625</v>
      </c>
      <c r="V39" s="28" t="s">
        <v>291</v>
      </c>
      <c r="W39" s="28"/>
      <c r="X39" s="316"/>
      <c r="Y39" s="322"/>
      <c r="Z39" s="324"/>
      <c r="AA39" s="312"/>
      <c r="AB39" s="317"/>
      <c r="AC39" s="35">
        <f>SUM(AT39:CO39)</f>
        <v>78</v>
      </c>
      <c r="AD39" s="320"/>
      <c r="AE39" s="318"/>
      <c r="AF39" s="25">
        <f>COUNT(AT39:CO39)</f>
        <v>12</v>
      </c>
      <c r="AG39" s="320"/>
      <c r="AH39" s="14">
        <f>SUM(AW39:BH39,BP39:CO39)</f>
        <v>33</v>
      </c>
      <c r="AI39">
        <f>SUM(AV39:CO39)</f>
        <v>74</v>
      </c>
      <c r="AJ39" s="25">
        <v>6082</v>
      </c>
      <c r="AK39" s="319"/>
      <c r="AL39" s="326"/>
      <c r="AM39" s="71">
        <f>((AJ39)/($AK$2))*(($AB$2*AC39+$AE$2*AF39)/(($AB$2*$AD$2)+($AE$2*$AG$2)))</f>
        <v>3.2868164116145109</v>
      </c>
      <c r="AN39" s="35" t="str">
        <f>IF(AM39&lt;$AP$2,"low",IF(AM39&lt;2,"medium","high"))</f>
        <v>high</v>
      </c>
      <c r="AO39" s="166">
        <v>32</v>
      </c>
      <c r="AP39" s="315"/>
      <c r="AQ39" s="324"/>
      <c r="AR39" s="324"/>
      <c r="AS39" s="312"/>
      <c r="AT39" s="69">
        <v>1</v>
      </c>
      <c r="AU39" s="51">
        <v>3</v>
      </c>
      <c r="AV39" s="51"/>
      <c r="AW39" s="41">
        <v>1</v>
      </c>
      <c r="AX39" s="41"/>
      <c r="AY39" s="41"/>
      <c r="AZ39" s="41"/>
      <c r="BA39" s="41"/>
      <c r="BB39" s="41"/>
      <c r="BC39" s="41"/>
      <c r="BD39" s="15">
        <v>2</v>
      </c>
      <c r="BI39" s="15">
        <v>37</v>
      </c>
      <c r="BK39" s="14">
        <v>2</v>
      </c>
      <c r="BO39" s="14">
        <v>2</v>
      </c>
      <c r="BP39" s="14">
        <v>3</v>
      </c>
      <c r="BT39" s="14">
        <v>14</v>
      </c>
      <c r="BW39" s="14">
        <v>9</v>
      </c>
      <c r="BX39" s="14">
        <v>2</v>
      </c>
      <c r="CD39" s="14">
        <v>2</v>
      </c>
    </row>
    <row r="40" spans="1:93" s="14" customFormat="1" ht="16" customHeight="1">
      <c r="A40" s="26"/>
      <c r="B40" s="27"/>
      <c r="C40" s="29"/>
      <c r="D40" s="27"/>
      <c r="E40" s="27"/>
      <c r="F40" s="27"/>
      <c r="G40" s="27"/>
      <c r="H40" s="27"/>
      <c r="I40" s="30"/>
      <c r="J40" s="27"/>
      <c r="K40" s="27"/>
      <c r="L40" s="30"/>
      <c r="M40" s="27"/>
      <c r="N40" s="27"/>
      <c r="O40" s="30"/>
      <c r="P40" s="31"/>
      <c r="Q40" s="169" t="s">
        <v>398</v>
      </c>
      <c r="R40" s="27" t="s">
        <v>399</v>
      </c>
      <c r="S40" s="28" t="s">
        <v>3</v>
      </c>
      <c r="T40" s="56"/>
      <c r="U40" s="159" t="s">
        <v>625</v>
      </c>
      <c r="V40" s="28" t="s">
        <v>291</v>
      </c>
      <c r="W40" s="28"/>
      <c r="X40" s="316"/>
      <c r="Y40" s="322"/>
      <c r="Z40" s="324"/>
      <c r="AA40" s="312"/>
      <c r="AB40" s="317"/>
      <c r="AC40" s="35">
        <f>SUM(AT40:CO40)</f>
        <v>77</v>
      </c>
      <c r="AD40" s="320"/>
      <c r="AE40" s="318"/>
      <c r="AF40" s="25">
        <f>COUNT(AT40:CO40)</f>
        <v>11</v>
      </c>
      <c r="AG40" s="320"/>
      <c r="AH40" s="14">
        <f>SUM(AW40:BH40,BP40:CO40)</f>
        <v>33</v>
      </c>
      <c r="AI40">
        <f>SUM(AV40:CO40)</f>
        <v>72</v>
      </c>
      <c r="AJ40" s="15">
        <v>6105</v>
      </c>
      <c r="AK40" s="319"/>
      <c r="AL40" s="326"/>
      <c r="AM40" s="71">
        <f>((AJ40)/($AK$2))*(($AB$2*AC40+$AE$2*AF40)/(($AB$2*$AD$2)+($AE$2*$AG$2)))</f>
        <v>3.2133281387646022</v>
      </c>
      <c r="AN40" s="35" t="str">
        <f>IF(AM40&lt;$AP$2,"low",IF(AM40&lt;2,"medium","high"))</f>
        <v>high</v>
      </c>
      <c r="AO40" s="166">
        <v>31</v>
      </c>
      <c r="AP40" s="315"/>
      <c r="AQ40" s="324"/>
      <c r="AR40" s="324"/>
      <c r="AS40" s="312"/>
      <c r="AT40" s="69">
        <v>1</v>
      </c>
      <c r="AU40" s="51">
        <v>4</v>
      </c>
      <c r="AV40" s="51"/>
      <c r="AW40" s="41">
        <v>1</v>
      </c>
      <c r="AX40" s="41"/>
      <c r="AY40" s="41"/>
      <c r="AZ40" s="41"/>
      <c r="BA40" s="41"/>
      <c r="BB40" s="41"/>
      <c r="BC40" s="41"/>
      <c r="BD40" s="15">
        <v>3</v>
      </c>
      <c r="BI40" s="15">
        <v>35</v>
      </c>
      <c r="BK40" s="14">
        <v>2</v>
      </c>
      <c r="BO40" s="14">
        <v>2</v>
      </c>
      <c r="BP40" s="14">
        <v>8</v>
      </c>
      <c r="BT40" s="14">
        <v>8</v>
      </c>
      <c r="BW40" s="14">
        <v>6</v>
      </c>
      <c r="CD40" s="14">
        <v>7</v>
      </c>
    </row>
    <row r="41" spans="1:93" s="14" customFormat="1" ht="16" customHeight="1">
      <c r="A41" s="26"/>
      <c r="B41" s="27"/>
      <c r="C41" s="29"/>
      <c r="D41" s="27"/>
      <c r="E41" s="27"/>
      <c r="F41" s="27"/>
      <c r="G41" s="27"/>
      <c r="H41" s="27"/>
      <c r="I41" s="30"/>
      <c r="J41" s="27"/>
      <c r="K41" s="27"/>
      <c r="L41" s="30"/>
      <c r="M41" s="27"/>
      <c r="N41" s="27"/>
      <c r="O41" s="30"/>
      <c r="P41" s="31"/>
      <c r="Q41" s="170" t="s">
        <v>285</v>
      </c>
      <c r="R41" s="27"/>
      <c r="S41" s="28"/>
      <c r="T41" s="51"/>
      <c r="U41" s="159"/>
      <c r="V41" s="28"/>
      <c r="W41" s="28"/>
      <c r="X41" s="316"/>
      <c r="Y41" s="322"/>
      <c r="Z41" s="324"/>
      <c r="AA41" s="312"/>
      <c r="AB41" s="317"/>
      <c r="AC41" s="35"/>
      <c r="AD41" s="320"/>
      <c r="AE41" s="318"/>
      <c r="AF41" s="25"/>
      <c r="AG41" s="320"/>
      <c r="AH41"/>
      <c r="AI41"/>
      <c r="AJ41" s="25"/>
      <c r="AK41" s="319"/>
      <c r="AL41" s="326"/>
      <c r="AM41" s="71"/>
      <c r="AN41" s="35"/>
      <c r="AO41" s="166"/>
      <c r="AP41" s="315"/>
      <c r="AQ41" s="324"/>
      <c r="AR41" s="324"/>
      <c r="AS41" s="312"/>
      <c r="AT41" s="69"/>
      <c r="AU41" s="51"/>
      <c r="AV41" s="51"/>
      <c r="AW41" s="41"/>
      <c r="AX41" s="41"/>
      <c r="AY41" s="41"/>
      <c r="AZ41" s="41"/>
      <c r="BA41" s="41"/>
      <c r="BB41" s="41"/>
      <c r="BC41" s="41"/>
      <c r="BD41" s="15"/>
      <c r="BI41" s="15"/>
    </row>
    <row r="42" spans="1:93" s="25" customFormat="1" ht="16" customHeight="1">
      <c r="A42" s="32" t="s">
        <v>190</v>
      </c>
      <c r="B42" s="36">
        <f>AVERAGE(B33:B35)</f>
        <v>4.666666666666667</v>
      </c>
      <c r="C42" s="36">
        <f>AVERAGE(C33:C35)</f>
        <v>17.033333333333335</v>
      </c>
      <c r="D42" s="36">
        <f>AVERAGE(D33:D35)</f>
        <v>0</v>
      </c>
      <c r="E42" s="36">
        <f>AVERAGE(E33:E35)</f>
        <v>5</v>
      </c>
      <c r="F42" s="36">
        <f>AVERAGE(F33:F35)</f>
        <v>0.33333333333333331</v>
      </c>
      <c r="G42" s="36">
        <f>SUBTOTAL(1,G33:G35)</f>
        <v>13.333333333333334</v>
      </c>
      <c r="H42" s="36">
        <f>SUBTOTAL(1,H33:H35)</f>
        <v>13</v>
      </c>
      <c r="I42" s="37">
        <f t="shared" si="2"/>
        <v>2.5000000000000022E-2</v>
      </c>
      <c r="J42" s="36">
        <f>SUBTOTAL(1,J33:J35)</f>
        <v>1</v>
      </c>
      <c r="K42" s="36">
        <f>SUBTOTAL(1,K33:K35)</f>
        <v>1.3333333333333333</v>
      </c>
      <c r="L42" s="37">
        <f t="shared" si="8"/>
        <v>-0.33333333333333326</v>
      </c>
      <c r="M42" s="36">
        <f>SUBTOTAL(1,M33:M35)</f>
        <v>10.333333333333334</v>
      </c>
      <c r="N42" s="36">
        <f>SUBTOTAL(1,N33:N35)</f>
        <v>14.666666666666666</v>
      </c>
      <c r="O42" s="37">
        <f t="shared" si="1"/>
        <v>-0.41935483870967727</v>
      </c>
      <c r="P42" s="37">
        <f>SUBTOTAL(1,P33:P35)</f>
        <v>0.77490000000000003</v>
      </c>
      <c r="Q42" s="170" t="s">
        <v>190</v>
      </c>
      <c r="R42" s="33" t="s">
        <v>197</v>
      </c>
      <c r="S42" s="35" t="s">
        <v>42</v>
      </c>
      <c r="T42" s="53"/>
      <c r="U42" s="161"/>
      <c r="V42" s="35"/>
      <c r="W42" s="35"/>
      <c r="X42" s="316"/>
      <c r="Y42" s="322"/>
      <c r="Z42" s="324"/>
      <c r="AA42" s="312"/>
      <c r="AB42" s="317"/>
      <c r="AC42" s="35"/>
      <c r="AD42" s="320"/>
      <c r="AE42" s="318"/>
      <c r="AG42" s="320"/>
      <c r="AH42"/>
      <c r="AI42"/>
      <c r="AK42" s="319"/>
      <c r="AL42" s="326"/>
      <c r="AM42" s="71"/>
      <c r="AN42" s="35"/>
      <c r="AO42" s="168"/>
      <c r="AP42" s="315"/>
      <c r="AQ42" s="324"/>
      <c r="AR42" s="324"/>
      <c r="AS42" s="312"/>
      <c r="AT42" s="66"/>
      <c r="AU42" s="53"/>
      <c r="AV42" s="53"/>
      <c r="AW42" s="33"/>
      <c r="AX42" s="33"/>
      <c r="AY42" s="33"/>
      <c r="AZ42" s="33"/>
      <c r="BA42" s="33"/>
      <c r="BB42" s="33"/>
      <c r="BC42" s="33"/>
    </row>
    <row r="43" spans="1:93" s="14" customFormat="1" ht="16" customHeight="1">
      <c r="A43" s="26" t="s">
        <v>163</v>
      </c>
      <c r="B43" s="27">
        <v>8</v>
      </c>
      <c r="C43" s="29">
        <v>20.75</v>
      </c>
      <c r="D43" s="27">
        <v>1</v>
      </c>
      <c r="E43" s="27">
        <v>4</v>
      </c>
      <c r="F43" s="27">
        <v>1</v>
      </c>
      <c r="G43" s="27">
        <v>24</v>
      </c>
      <c r="H43" s="27">
        <v>29</v>
      </c>
      <c r="I43" s="30">
        <f t="shared" si="2"/>
        <v>-0.20833333333333326</v>
      </c>
      <c r="J43" s="27">
        <v>5</v>
      </c>
      <c r="K43" s="27">
        <v>3</v>
      </c>
      <c r="L43" s="30">
        <f t="shared" si="8"/>
        <v>0.4</v>
      </c>
      <c r="M43" s="27">
        <v>25</v>
      </c>
      <c r="N43" s="27">
        <v>25</v>
      </c>
      <c r="O43" s="30">
        <f t="shared" si="1"/>
        <v>0</v>
      </c>
      <c r="P43" s="31">
        <v>0.70030000000000003</v>
      </c>
      <c r="Q43" s="169" t="s">
        <v>163</v>
      </c>
      <c r="R43" s="27" t="s">
        <v>14</v>
      </c>
      <c r="S43" s="28" t="s">
        <v>42</v>
      </c>
      <c r="T43" s="51" t="s">
        <v>250</v>
      </c>
      <c r="U43" s="159" t="s">
        <v>602</v>
      </c>
      <c r="V43" s="28" t="s">
        <v>291</v>
      </c>
      <c r="W43" s="28"/>
      <c r="X43" s="316"/>
      <c r="Y43" s="322"/>
      <c r="Z43" s="324"/>
      <c r="AA43" s="312"/>
      <c r="AB43" s="317"/>
      <c r="AC43" s="35">
        <f t="shared" ref="AC43:AC48" si="9">SUM(AT43:CO43)</f>
        <v>55</v>
      </c>
      <c r="AD43" s="320"/>
      <c r="AE43" s="318"/>
      <c r="AF43" s="25">
        <f t="shared" ref="AF43:AF48" si="10">COUNT(AT43:CO43)</f>
        <v>10</v>
      </c>
      <c r="AG43" s="320"/>
      <c r="AH43">
        <f t="shared" ref="AH43:AH48" si="11">SUM(AW43:BH43,BP43:CO43)</f>
        <v>30</v>
      </c>
      <c r="AI43">
        <f t="shared" ref="AI43:AI48" si="12">SUM(AV43:CO43)</f>
        <v>55</v>
      </c>
      <c r="AJ43" s="25">
        <v>3380</v>
      </c>
      <c r="AK43" s="319"/>
      <c r="AL43" s="326"/>
      <c r="AM43" s="71">
        <f>((AJ43)/($AK$2))*(($AB$2*AC43+$AE$2*AF43)/(($AB$2*$AD$2)+($AE$2*$AG$2)))</f>
        <v>1.3319028194330147</v>
      </c>
      <c r="AN43" s="35" t="str">
        <f>IF(AM43&lt;$AP$2,"low",IF(AM43&lt;2,"medium","high"))</f>
        <v>medium</v>
      </c>
      <c r="AO43" s="166">
        <v>25</v>
      </c>
      <c r="AP43" s="315"/>
      <c r="AQ43" s="324"/>
      <c r="AR43" s="324"/>
      <c r="AS43" s="312"/>
      <c r="AT43" s="69"/>
      <c r="AU43" s="51"/>
      <c r="AV43" s="51"/>
      <c r="AW43" s="41">
        <v>3</v>
      </c>
      <c r="AX43" s="41"/>
      <c r="AY43" s="41">
        <v>1</v>
      </c>
      <c r="AZ43" s="41"/>
      <c r="BA43" s="41"/>
      <c r="BB43" s="41"/>
      <c r="BC43" s="41"/>
      <c r="BD43" s="15">
        <v>9</v>
      </c>
      <c r="BI43" s="15">
        <v>25</v>
      </c>
      <c r="BP43" s="14">
        <v>8</v>
      </c>
      <c r="BW43" s="14">
        <v>3</v>
      </c>
      <c r="CC43" s="14">
        <v>2</v>
      </c>
      <c r="CL43" s="14">
        <v>2</v>
      </c>
      <c r="CN43" s="14">
        <v>1</v>
      </c>
      <c r="CO43" s="14">
        <v>1</v>
      </c>
    </row>
    <row r="44" spans="1:93" s="15" customFormat="1" ht="16" customHeight="1">
      <c r="A44" s="26" t="s">
        <v>164</v>
      </c>
      <c r="B44" s="27">
        <v>5</v>
      </c>
      <c r="C44" s="29">
        <v>21</v>
      </c>
      <c r="D44" s="27">
        <v>0</v>
      </c>
      <c r="E44" s="27">
        <v>0</v>
      </c>
      <c r="F44" s="27">
        <v>1</v>
      </c>
      <c r="G44" s="27">
        <v>21</v>
      </c>
      <c r="H44" s="27">
        <v>21</v>
      </c>
      <c r="I44" s="30">
        <f t="shared" si="2"/>
        <v>0</v>
      </c>
      <c r="J44" s="27">
        <v>3</v>
      </c>
      <c r="K44" s="27">
        <v>2</v>
      </c>
      <c r="L44" s="30">
        <f t="shared" si="8"/>
        <v>0.33333333333333337</v>
      </c>
      <c r="M44" s="27">
        <v>18</v>
      </c>
      <c r="N44" s="27">
        <v>17</v>
      </c>
      <c r="O44" s="30">
        <f t="shared" si="1"/>
        <v>5.555555555555558E-2</v>
      </c>
      <c r="P44" s="31">
        <v>0.80879999999999996</v>
      </c>
      <c r="Q44" s="169" t="s">
        <v>164</v>
      </c>
      <c r="R44" s="27" t="s">
        <v>15</v>
      </c>
      <c r="S44" s="28" t="s">
        <v>42</v>
      </c>
      <c r="T44" s="51" t="s">
        <v>252</v>
      </c>
      <c r="U44" s="159" t="s">
        <v>597</v>
      </c>
      <c r="V44" s="28" t="s">
        <v>291</v>
      </c>
      <c r="W44" s="28"/>
      <c r="X44" s="316"/>
      <c r="Y44" s="322"/>
      <c r="Z44" s="324"/>
      <c r="AA44" s="312"/>
      <c r="AB44" s="317"/>
      <c r="AC44" s="35">
        <f t="shared" si="9"/>
        <v>36</v>
      </c>
      <c r="AD44" s="320"/>
      <c r="AE44" s="318"/>
      <c r="AF44" s="25">
        <f t="shared" si="10"/>
        <v>15</v>
      </c>
      <c r="AG44" s="320"/>
      <c r="AH44">
        <f t="shared" si="11"/>
        <v>16</v>
      </c>
      <c r="AI44">
        <f t="shared" si="12"/>
        <v>33</v>
      </c>
      <c r="AJ44" s="25">
        <v>3049</v>
      </c>
      <c r="AK44" s="319"/>
      <c r="AL44" s="326"/>
      <c r="AM44" s="126">
        <f>((AJ44)/($AK$2))*(($AB$2*AC44+$AE$2*AF44)/(($AB$2*$AD$2)+($AE$2*$AG$2)))</f>
        <v>1.0040864084632239</v>
      </c>
      <c r="AN44" s="35" t="str">
        <f>IF(AM44&lt;$AP$2,"low",IF(AM44&lt;2,"medium","high"))</f>
        <v>medium</v>
      </c>
      <c r="AO44" s="167">
        <v>22</v>
      </c>
      <c r="AP44" s="315"/>
      <c r="AQ44" s="324"/>
      <c r="AR44" s="324"/>
      <c r="AS44" s="312"/>
      <c r="AT44" s="69">
        <v>1</v>
      </c>
      <c r="AU44" s="51">
        <v>2</v>
      </c>
      <c r="AV44" s="51">
        <v>1</v>
      </c>
      <c r="AW44" s="27"/>
      <c r="AX44" s="27"/>
      <c r="AY44" s="27"/>
      <c r="AZ44" s="27"/>
      <c r="BA44" s="27">
        <v>1</v>
      </c>
      <c r="BB44" s="27"/>
      <c r="BC44" s="27"/>
      <c r="BD44" s="15">
        <v>1</v>
      </c>
      <c r="BF44" s="15">
        <v>1</v>
      </c>
      <c r="BG44" s="15">
        <v>1</v>
      </c>
      <c r="BI44" s="15">
        <v>16</v>
      </c>
      <c r="BP44" s="15">
        <v>2</v>
      </c>
      <c r="BW44" s="15">
        <v>1</v>
      </c>
      <c r="BY44" s="15">
        <v>1</v>
      </c>
      <c r="CC44" s="15">
        <v>1</v>
      </c>
      <c r="CD44" s="15">
        <v>3</v>
      </c>
      <c r="CJ44" s="15">
        <v>1</v>
      </c>
      <c r="CM44" s="15">
        <v>3</v>
      </c>
    </row>
    <row r="45" spans="1:93" s="14" customFormat="1" ht="16" customHeight="1">
      <c r="A45" s="26" t="s">
        <v>165</v>
      </c>
      <c r="B45" s="27">
        <v>4</v>
      </c>
      <c r="C45" s="29">
        <v>21.75</v>
      </c>
      <c r="D45" s="27">
        <v>0</v>
      </c>
      <c r="E45" s="27">
        <v>0</v>
      </c>
      <c r="F45" s="27">
        <v>0</v>
      </c>
      <c r="G45" s="27">
        <v>13</v>
      </c>
      <c r="H45" s="27">
        <v>20</v>
      </c>
      <c r="I45" s="30">
        <f t="shared" si="2"/>
        <v>-0.53846153846153855</v>
      </c>
      <c r="J45" s="27">
        <v>0</v>
      </c>
      <c r="K45" s="27">
        <v>0</v>
      </c>
      <c r="L45" s="30">
        <f t="shared" si="8"/>
        <v>0</v>
      </c>
      <c r="M45" s="27">
        <v>9</v>
      </c>
      <c r="N45" s="27">
        <v>16</v>
      </c>
      <c r="O45" s="30">
        <f t="shared" si="1"/>
        <v>-0.77777777777777768</v>
      </c>
      <c r="P45" s="31">
        <v>0.70750000000000002</v>
      </c>
      <c r="Q45" s="169" t="s">
        <v>165</v>
      </c>
      <c r="R45" s="27" t="s">
        <v>16</v>
      </c>
      <c r="S45" s="28" t="s">
        <v>42</v>
      </c>
      <c r="T45" s="51" t="s">
        <v>300</v>
      </c>
      <c r="U45" s="159" t="s">
        <v>601</v>
      </c>
      <c r="V45" s="28" t="s">
        <v>291</v>
      </c>
      <c r="W45" s="28"/>
      <c r="X45" s="316"/>
      <c r="Y45" s="322"/>
      <c r="Z45" s="324"/>
      <c r="AA45" s="312"/>
      <c r="AB45" s="317"/>
      <c r="AC45" s="35">
        <f t="shared" si="9"/>
        <v>36</v>
      </c>
      <c r="AD45" s="320"/>
      <c r="AE45" s="318"/>
      <c r="AF45" s="25">
        <f t="shared" si="10"/>
        <v>11</v>
      </c>
      <c r="AG45" s="320"/>
      <c r="AH45">
        <f t="shared" si="11"/>
        <v>16</v>
      </c>
      <c r="AI45">
        <f t="shared" si="12"/>
        <v>32</v>
      </c>
      <c r="AJ45" s="25">
        <v>2600</v>
      </c>
      <c r="AK45" s="319"/>
      <c r="AL45" s="326"/>
      <c r="AM45" s="71">
        <f>((AJ45)/($AK$2))*(($AB$2*AC45+$AE$2*AF45)/(($AB$2*$AD$2)+($AE$2*$AG$2)))</f>
        <v>0.76840547274981619</v>
      </c>
      <c r="AN45" s="35" t="str">
        <f>IF(AM45&lt;$AP$2,"low",IF(AM45&lt;2,"medium","high"))</f>
        <v>medium</v>
      </c>
      <c r="AO45" s="166">
        <v>19</v>
      </c>
      <c r="AP45" s="315"/>
      <c r="AQ45" s="324"/>
      <c r="AR45" s="324"/>
      <c r="AS45" s="312"/>
      <c r="AT45" s="69">
        <v>2</v>
      </c>
      <c r="AU45" s="51">
        <v>2</v>
      </c>
      <c r="AV45" s="51"/>
      <c r="AW45" s="41">
        <v>1</v>
      </c>
      <c r="AX45" s="41"/>
      <c r="AY45" s="41">
        <v>1</v>
      </c>
      <c r="AZ45" s="41"/>
      <c r="BA45" s="41"/>
      <c r="BB45" s="41"/>
      <c r="BC45" s="41"/>
      <c r="BD45" s="15">
        <v>2</v>
      </c>
      <c r="BI45" s="15">
        <v>13</v>
      </c>
      <c r="BJ45" s="14">
        <v>3</v>
      </c>
      <c r="BP45" s="15">
        <v>6</v>
      </c>
      <c r="CD45" s="14">
        <v>2</v>
      </c>
      <c r="CE45" s="14">
        <v>3</v>
      </c>
      <c r="CO45" s="14">
        <v>1</v>
      </c>
    </row>
    <row r="46" spans="1:93" s="14" customFormat="1" ht="16" customHeight="1">
      <c r="A46" s="26" t="s">
        <v>166</v>
      </c>
      <c r="B46" s="27">
        <v>5</v>
      </c>
      <c r="C46" s="29">
        <v>21.8</v>
      </c>
      <c r="D46" s="27">
        <v>0</v>
      </c>
      <c r="E46" s="27">
        <v>0</v>
      </c>
      <c r="F46" s="27">
        <v>0</v>
      </c>
      <c r="G46" s="27">
        <v>18</v>
      </c>
      <c r="H46" s="27">
        <v>22</v>
      </c>
      <c r="I46" s="30">
        <f t="shared" si="2"/>
        <v>-0.22222222222222232</v>
      </c>
      <c r="J46" s="27">
        <v>0</v>
      </c>
      <c r="K46" s="27">
        <v>0</v>
      </c>
      <c r="L46" s="30">
        <f t="shared" si="8"/>
        <v>0</v>
      </c>
      <c r="M46" s="27">
        <v>13</v>
      </c>
      <c r="N46" s="27">
        <v>17</v>
      </c>
      <c r="O46" s="30">
        <f t="shared" si="1"/>
        <v>-0.30769230769230771</v>
      </c>
      <c r="P46" s="31">
        <v>0.75180000000000002</v>
      </c>
      <c r="Q46" s="169" t="s">
        <v>166</v>
      </c>
      <c r="R46" s="27" t="s">
        <v>17</v>
      </c>
      <c r="S46" s="28" t="s">
        <v>42</v>
      </c>
      <c r="T46" s="56" t="s">
        <v>595</v>
      </c>
      <c r="U46" s="159" t="s">
        <v>598</v>
      </c>
      <c r="V46" s="28"/>
      <c r="W46" s="28"/>
      <c r="X46" s="316"/>
      <c r="Y46" s="322"/>
      <c r="Z46" s="324"/>
      <c r="AA46" s="312"/>
      <c r="AB46" s="317"/>
      <c r="AC46" s="35">
        <f t="shared" si="9"/>
        <v>39</v>
      </c>
      <c r="AD46" s="320"/>
      <c r="AE46" s="318"/>
      <c r="AF46" s="25">
        <f t="shared" si="10"/>
        <v>13</v>
      </c>
      <c r="AG46" s="320"/>
      <c r="AH46">
        <f t="shared" si="11"/>
        <v>17</v>
      </c>
      <c r="AI46">
        <f t="shared" si="12"/>
        <v>35</v>
      </c>
      <c r="AJ46" s="25">
        <v>2961</v>
      </c>
      <c r="AK46" s="319"/>
      <c r="AL46" s="326"/>
      <c r="AM46" s="71">
        <f>((AJ46)/($AK$2))*(($AB$2*AC46+$AE$2*AF46)/(($AB$2*$AD$2)+($AE$2*$AG$2)))</f>
        <v>0.97510654491951687</v>
      </c>
      <c r="AN46" s="35" t="str">
        <f>IF(AM46&lt;$AP$2,"low",IF(AM46&lt;2,"medium","high"))</f>
        <v>medium</v>
      </c>
      <c r="AO46" s="166">
        <v>21</v>
      </c>
      <c r="AP46" s="315"/>
      <c r="AQ46" s="324"/>
      <c r="AR46" s="324"/>
      <c r="AS46" s="312"/>
      <c r="AT46" s="69">
        <v>2</v>
      </c>
      <c r="AU46" s="51">
        <v>2</v>
      </c>
      <c r="AV46" s="51">
        <v>1</v>
      </c>
      <c r="AW46" s="41"/>
      <c r="AX46" s="41"/>
      <c r="AY46" s="51">
        <v>1</v>
      </c>
      <c r="AZ46" s="41"/>
      <c r="BA46" s="41"/>
      <c r="BB46" s="41"/>
      <c r="BC46" s="41"/>
      <c r="BD46" s="15">
        <v>2</v>
      </c>
      <c r="BI46" s="15">
        <v>15</v>
      </c>
      <c r="BJ46" s="14">
        <v>2</v>
      </c>
      <c r="BP46" s="14">
        <v>7</v>
      </c>
      <c r="CB46" s="14">
        <v>1</v>
      </c>
      <c r="CC46" s="14">
        <v>1</v>
      </c>
      <c r="CD46" s="14">
        <v>2</v>
      </c>
      <c r="CE46" s="14">
        <v>2</v>
      </c>
      <c r="CJ46" s="14">
        <v>1</v>
      </c>
    </row>
    <row r="47" spans="1:93" s="14" customFormat="1" ht="16" hidden="1" customHeight="1">
      <c r="A47" s="26" t="s">
        <v>167</v>
      </c>
      <c r="B47" s="27">
        <v>7</v>
      </c>
      <c r="C47" s="29">
        <v>19.29</v>
      </c>
      <c r="D47" s="27">
        <v>0</v>
      </c>
      <c r="E47" s="27">
        <v>0</v>
      </c>
      <c r="F47" s="27">
        <v>0</v>
      </c>
      <c r="G47" s="27">
        <v>24</v>
      </c>
      <c r="H47" s="27">
        <v>15</v>
      </c>
      <c r="I47" s="30">
        <f t="shared" si="2"/>
        <v>0.375</v>
      </c>
      <c r="J47" s="27">
        <v>4</v>
      </c>
      <c r="K47" s="27">
        <v>3</v>
      </c>
      <c r="L47" s="30">
        <f t="shared" si="8"/>
        <v>0.25</v>
      </c>
      <c r="M47" s="27">
        <v>24</v>
      </c>
      <c r="N47" s="27">
        <v>18</v>
      </c>
      <c r="O47" s="30">
        <f t="shared" si="1"/>
        <v>0.25</v>
      </c>
      <c r="P47" s="31">
        <v>0.69899999999999995</v>
      </c>
      <c r="Q47" s="171" t="s">
        <v>167</v>
      </c>
      <c r="R47" s="27" t="s">
        <v>18</v>
      </c>
      <c r="S47" s="28" t="s">
        <v>42</v>
      </c>
      <c r="T47" s="51"/>
      <c r="U47" s="160"/>
      <c r="V47" s="28"/>
      <c r="W47" s="28"/>
      <c r="X47" s="316"/>
      <c r="Y47" s="322"/>
      <c r="Z47" s="324"/>
      <c r="AA47" s="312"/>
      <c r="AB47" s="317"/>
      <c r="AC47" s="35">
        <f t="shared" si="9"/>
        <v>0</v>
      </c>
      <c r="AD47" s="320"/>
      <c r="AE47" s="318"/>
      <c r="AF47" s="25">
        <f t="shared" si="10"/>
        <v>0</v>
      </c>
      <c r="AG47" s="320"/>
      <c r="AH47">
        <f t="shared" si="11"/>
        <v>0</v>
      </c>
      <c r="AI47">
        <f t="shared" si="12"/>
        <v>0</v>
      </c>
      <c r="AJ47" s="25"/>
      <c r="AK47" s="319"/>
      <c r="AL47" s="326"/>
      <c r="AM47" s="71"/>
      <c r="AN47" s="35"/>
      <c r="AO47" s="166"/>
      <c r="AP47" s="315"/>
      <c r="AQ47" s="324"/>
      <c r="AR47" s="324"/>
      <c r="AS47" s="312"/>
      <c r="AT47" s="69"/>
      <c r="AU47" s="51"/>
      <c r="AV47" s="51"/>
      <c r="AW47" s="41"/>
      <c r="AX47" s="41"/>
      <c r="AY47" s="41"/>
      <c r="AZ47" s="41"/>
      <c r="BA47" s="41"/>
      <c r="BB47" s="41"/>
      <c r="BC47" s="41"/>
    </row>
    <row r="48" spans="1:93" s="14" customFormat="1" ht="16" hidden="1" customHeight="1">
      <c r="A48" s="26" t="s">
        <v>168</v>
      </c>
      <c r="B48" s="27">
        <v>13</v>
      </c>
      <c r="C48" s="29">
        <v>20</v>
      </c>
      <c r="D48" s="27">
        <v>4</v>
      </c>
      <c r="E48" s="27">
        <v>5</v>
      </c>
      <c r="F48" s="27">
        <v>0</v>
      </c>
      <c r="G48" s="27">
        <v>34</v>
      </c>
      <c r="H48" s="27">
        <v>36</v>
      </c>
      <c r="I48" s="30">
        <f t="shared" si="2"/>
        <v>-5.8823529411764719E-2</v>
      </c>
      <c r="J48" s="27">
        <v>8</v>
      </c>
      <c r="K48" s="27">
        <v>10</v>
      </c>
      <c r="L48" s="30">
        <f t="shared" si="8"/>
        <v>-0.25</v>
      </c>
      <c r="M48" s="27">
        <v>36</v>
      </c>
      <c r="N48" s="27">
        <v>49</v>
      </c>
      <c r="O48" s="30">
        <f t="shared" si="1"/>
        <v>-0.36111111111111116</v>
      </c>
      <c r="P48" s="31">
        <v>0.63900000000000001</v>
      </c>
      <c r="Q48" s="171" t="s">
        <v>168</v>
      </c>
      <c r="R48" s="27" t="s">
        <v>19</v>
      </c>
      <c r="S48" s="28" t="s">
        <v>42</v>
      </c>
      <c r="U48" s="160"/>
      <c r="V48" s="28"/>
      <c r="W48" s="28"/>
      <c r="X48" s="316"/>
      <c r="Y48" s="322"/>
      <c r="Z48" s="324"/>
      <c r="AA48" s="312"/>
      <c r="AB48" s="317"/>
      <c r="AC48" s="35">
        <f t="shared" si="9"/>
        <v>0</v>
      </c>
      <c r="AD48" s="320"/>
      <c r="AE48" s="318"/>
      <c r="AF48" s="25">
        <f t="shared" si="10"/>
        <v>0</v>
      </c>
      <c r="AG48" s="320"/>
      <c r="AH48">
        <f t="shared" si="11"/>
        <v>0</v>
      </c>
      <c r="AI48">
        <f t="shared" si="12"/>
        <v>0</v>
      </c>
      <c r="AJ48" s="25"/>
      <c r="AK48" s="319"/>
      <c r="AL48" s="326"/>
      <c r="AM48" s="71"/>
      <c r="AN48" s="35"/>
      <c r="AO48" s="166"/>
      <c r="AP48" s="315"/>
      <c r="AQ48" s="324"/>
      <c r="AR48" s="324"/>
      <c r="AS48" s="312"/>
      <c r="AT48" s="69"/>
      <c r="AU48" s="51"/>
      <c r="AV48" s="51"/>
      <c r="AW48" s="41"/>
      <c r="AX48" s="41"/>
      <c r="AY48" s="41"/>
      <c r="AZ48" s="41"/>
      <c r="BA48" s="41"/>
      <c r="BB48" s="41"/>
      <c r="BC48" s="41"/>
    </row>
    <row r="49" spans="1:83" s="25" customFormat="1" ht="16" customHeight="1">
      <c r="A49" s="32" t="s">
        <v>191</v>
      </c>
      <c r="B49" s="36">
        <f>AVERAGE(B43:B48)</f>
        <v>7</v>
      </c>
      <c r="C49" s="36">
        <f>AVERAGE(C43:C48)</f>
        <v>20.765000000000001</v>
      </c>
      <c r="D49" s="36">
        <f>AVERAGE(D43:D48)</f>
        <v>0.83333333333333337</v>
      </c>
      <c r="E49" s="36">
        <f>AVERAGE(E43:E48)</f>
        <v>1.5</v>
      </c>
      <c r="F49" s="36">
        <f>AVERAGE(F43:F48)</f>
        <v>0.33333333333333331</v>
      </c>
      <c r="G49" s="36">
        <f>SUBTOTAL(1,G43:G48)</f>
        <v>22.333333333333332</v>
      </c>
      <c r="H49" s="36">
        <f>SUBTOTAL(1,H43:H48)</f>
        <v>23.833333333333332</v>
      </c>
      <c r="I49" s="37">
        <f t="shared" si="2"/>
        <v>-6.7164179104477695E-2</v>
      </c>
      <c r="J49" s="36">
        <f>SUBTOTAL(1,J43:J48)</f>
        <v>3.3333333333333335</v>
      </c>
      <c r="K49" s="36">
        <f>SUBTOTAL(1,K43:K48)</f>
        <v>3</v>
      </c>
      <c r="L49" s="37">
        <f t="shared" si="8"/>
        <v>0.10000000000000009</v>
      </c>
      <c r="M49" s="36">
        <f>SUBTOTAL(1,M43:M48)</f>
        <v>20.833333333333332</v>
      </c>
      <c r="N49" s="36">
        <f>SUBTOTAL(1,N43:N48)</f>
        <v>23.666666666666668</v>
      </c>
      <c r="O49" s="37">
        <f t="shared" si="1"/>
        <v>-0.13600000000000012</v>
      </c>
      <c r="P49" s="37">
        <f>SUBTOTAL(1,P43:P48)</f>
        <v>0.71773333333333333</v>
      </c>
      <c r="Q49" s="170" t="s">
        <v>191</v>
      </c>
      <c r="R49" s="33" t="s">
        <v>196</v>
      </c>
      <c r="S49" s="35" t="s">
        <v>42</v>
      </c>
      <c r="T49" s="53"/>
      <c r="U49" s="161"/>
      <c r="V49" s="35"/>
      <c r="W49" s="35"/>
      <c r="X49" s="316"/>
      <c r="Y49" s="322"/>
      <c r="Z49" s="324"/>
      <c r="AA49" s="312"/>
      <c r="AB49" s="317"/>
      <c r="AC49" s="35"/>
      <c r="AD49" s="320"/>
      <c r="AE49" s="318"/>
      <c r="AG49" s="320"/>
      <c r="AH49"/>
      <c r="AI49"/>
      <c r="AK49" s="319"/>
      <c r="AL49" s="326"/>
      <c r="AM49" s="71"/>
      <c r="AN49" s="35"/>
      <c r="AO49" s="168"/>
      <c r="AP49" s="315"/>
      <c r="AQ49" s="324"/>
      <c r="AR49" s="324"/>
      <c r="AS49" s="312"/>
      <c r="AT49" s="66"/>
      <c r="AU49" s="53"/>
      <c r="AV49" s="53"/>
      <c r="AW49" s="33"/>
      <c r="AX49" s="33"/>
      <c r="AY49" s="33"/>
      <c r="AZ49" s="33"/>
      <c r="BA49" s="33"/>
      <c r="BB49" s="33"/>
      <c r="BC49" s="33"/>
    </row>
    <row r="50" spans="1:83" s="14" customFormat="1" ht="16" customHeight="1">
      <c r="A50" s="26" t="s">
        <v>169</v>
      </c>
      <c r="B50" s="27">
        <v>3</v>
      </c>
      <c r="C50" s="29">
        <v>10.66</v>
      </c>
      <c r="D50" s="27">
        <v>0</v>
      </c>
      <c r="E50" s="27">
        <v>0</v>
      </c>
      <c r="F50" s="27">
        <v>0</v>
      </c>
      <c r="G50" s="27">
        <v>14</v>
      </c>
      <c r="H50" s="27">
        <v>14</v>
      </c>
      <c r="I50" s="30">
        <f t="shared" si="2"/>
        <v>0</v>
      </c>
      <c r="J50" s="27">
        <v>1</v>
      </c>
      <c r="K50" s="27">
        <v>1</v>
      </c>
      <c r="L50" s="30">
        <f t="shared" si="8"/>
        <v>0</v>
      </c>
      <c r="M50" s="27">
        <v>12</v>
      </c>
      <c r="N50" s="27">
        <v>13</v>
      </c>
      <c r="O50" s="30">
        <f t="shared" si="1"/>
        <v>-8.3333333333333259E-2</v>
      </c>
      <c r="P50" s="31">
        <v>0.96009999999999995</v>
      </c>
      <c r="Q50" s="169" t="s">
        <v>169</v>
      </c>
      <c r="R50" s="27" t="s">
        <v>21</v>
      </c>
      <c r="S50" s="28" t="s">
        <v>3</v>
      </c>
      <c r="T50" s="51" t="s">
        <v>301</v>
      </c>
      <c r="U50" s="159" t="s">
        <v>601</v>
      </c>
      <c r="V50" s="28" t="s">
        <v>291</v>
      </c>
      <c r="W50" s="28"/>
      <c r="X50" s="316"/>
      <c r="Y50" s="322"/>
      <c r="Z50" s="324"/>
      <c r="AA50" s="312"/>
      <c r="AB50" s="317"/>
      <c r="AC50" s="35">
        <f t="shared" ref="AC50:AC61" si="13">SUM(AT50:CO50)</f>
        <v>27</v>
      </c>
      <c r="AD50" s="320"/>
      <c r="AE50" s="318"/>
      <c r="AF50" s="25">
        <f t="shared" ref="AF50:AF61" si="14">COUNT(AT50:CO50)</f>
        <v>11</v>
      </c>
      <c r="AG50" s="320"/>
      <c r="AH50">
        <f t="shared" ref="AH50:AH61" si="15">SUM(AW50:BH50,BP50:CO50)</f>
        <v>12</v>
      </c>
      <c r="AI50">
        <f t="shared" ref="AI50:AI61" si="16">SUM(AV50:CO50)</f>
        <v>25</v>
      </c>
      <c r="AJ50" s="25">
        <v>1723</v>
      </c>
      <c r="AK50" s="319"/>
      <c r="AL50" s="326"/>
      <c r="AM50" s="71">
        <f>((AJ50)/($AK$2))*(($AB$2*AC50+$AE$2*AF50)/(($AB$2*$AD$2)+($AE$2*$AG$2)))</f>
        <v>0.42192215666912153</v>
      </c>
      <c r="AN50" s="35" t="str">
        <f>IF(AM50&lt;$AP$2,"low",IF(AM50&lt;2,"medium","high"))</f>
        <v>low</v>
      </c>
      <c r="AO50" s="166">
        <v>11</v>
      </c>
      <c r="AP50" s="315"/>
      <c r="AQ50" s="324"/>
      <c r="AR50" s="324"/>
      <c r="AS50" s="312"/>
      <c r="AT50" s="69">
        <v>2</v>
      </c>
      <c r="AU50" s="51"/>
      <c r="AV50" s="51"/>
      <c r="AW50" s="41">
        <v>1</v>
      </c>
      <c r="AX50" s="41">
        <v>1</v>
      </c>
      <c r="AY50" s="41"/>
      <c r="AZ50" s="41"/>
      <c r="BA50" s="41"/>
      <c r="BB50" s="41"/>
      <c r="BC50" s="41"/>
      <c r="BD50" s="14">
        <v>3</v>
      </c>
      <c r="BI50" s="14">
        <v>10</v>
      </c>
      <c r="BJ50" s="14">
        <v>3</v>
      </c>
      <c r="BP50" s="14">
        <v>2</v>
      </c>
      <c r="BQ50" s="14">
        <v>2</v>
      </c>
      <c r="BW50" s="14">
        <v>1</v>
      </c>
      <c r="CD50" s="14">
        <v>1</v>
      </c>
      <c r="CE50" s="14">
        <v>1</v>
      </c>
    </row>
    <row r="51" spans="1:83" s="14" customFormat="1" ht="16" customHeight="1">
      <c r="A51" s="26" t="s">
        <v>170</v>
      </c>
      <c r="B51" s="27">
        <v>14</v>
      </c>
      <c r="C51" s="29">
        <v>18.29</v>
      </c>
      <c r="D51" s="27">
        <v>0</v>
      </c>
      <c r="E51" s="27">
        <v>0</v>
      </c>
      <c r="F51" s="27">
        <v>1</v>
      </c>
      <c r="G51" s="27">
        <v>61</v>
      </c>
      <c r="H51" s="27">
        <v>55</v>
      </c>
      <c r="I51" s="30">
        <f t="shared" si="2"/>
        <v>9.8360655737704916E-2</v>
      </c>
      <c r="J51" s="27">
        <v>17</v>
      </c>
      <c r="K51" s="27">
        <v>10</v>
      </c>
      <c r="L51" s="30">
        <f t="shared" si="8"/>
        <v>0.41176470588235292</v>
      </c>
      <c r="M51" s="27">
        <v>70</v>
      </c>
      <c r="N51" s="27">
        <v>64</v>
      </c>
      <c r="O51" s="30">
        <f t="shared" si="1"/>
        <v>8.5714285714285743E-2</v>
      </c>
      <c r="P51" s="31">
        <v>0.85609999999999997</v>
      </c>
      <c r="Q51" s="169" t="s">
        <v>170</v>
      </c>
      <c r="R51" s="27" t="s">
        <v>22</v>
      </c>
      <c r="S51" s="28" t="s">
        <v>3</v>
      </c>
      <c r="T51" s="51" t="s">
        <v>259</v>
      </c>
      <c r="U51" s="159" t="s">
        <v>625</v>
      </c>
      <c r="V51" s="28" t="s">
        <v>291</v>
      </c>
      <c r="W51" s="28"/>
      <c r="X51" s="316"/>
      <c r="Y51" s="322"/>
      <c r="Z51" s="324"/>
      <c r="AA51" s="312"/>
      <c r="AB51" s="317"/>
      <c r="AC51" s="35">
        <f t="shared" si="13"/>
        <v>116</v>
      </c>
      <c r="AD51" s="320"/>
      <c r="AE51" s="318"/>
      <c r="AF51" s="25">
        <f t="shared" si="14"/>
        <v>15</v>
      </c>
      <c r="AG51" s="320"/>
      <c r="AH51">
        <f t="shared" si="15"/>
        <v>49</v>
      </c>
      <c r="AI51">
        <f t="shared" si="16"/>
        <v>111</v>
      </c>
      <c r="AJ51" s="25">
        <v>7018</v>
      </c>
      <c r="AK51" s="319"/>
      <c r="AL51" s="326"/>
      <c r="AM51" s="71">
        <f>((AJ51)/($AK$2))*(($AB$2*AC51+$AE$2*AF51)/(($AB$2*$AD$2)+($AE$2*$AG$2)))</f>
        <v>5.4716830818645583</v>
      </c>
      <c r="AN51" s="35" t="str">
        <f>IF(AM51&lt;$AP$2,"low",IF(AM51&lt;2,"medium","high"))</f>
        <v>high</v>
      </c>
      <c r="AO51" s="166">
        <v>33</v>
      </c>
      <c r="AP51" s="315"/>
      <c r="AQ51" s="324"/>
      <c r="AR51" s="324"/>
      <c r="AS51" s="312"/>
      <c r="AT51" s="69">
        <v>5</v>
      </c>
      <c r="AU51" s="51"/>
      <c r="AV51" s="51"/>
      <c r="AW51" s="41">
        <v>1</v>
      </c>
      <c r="AX51" s="41">
        <v>2</v>
      </c>
      <c r="AY51" s="41"/>
      <c r="AZ51" s="41"/>
      <c r="BA51" s="41"/>
      <c r="BB51" s="41"/>
      <c r="BC51" s="41"/>
      <c r="BD51" s="14">
        <v>6</v>
      </c>
      <c r="BI51" s="14">
        <v>50</v>
      </c>
      <c r="BJ51" s="14">
        <v>12</v>
      </c>
      <c r="BP51" s="14">
        <v>11</v>
      </c>
      <c r="BQ51" s="14">
        <v>9</v>
      </c>
      <c r="BW51" s="14">
        <v>3</v>
      </c>
      <c r="BX51" s="14">
        <v>2</v>
      </c>
      <c r="BY51" s="14">
        <v>1</v>
      </c>
      <c r="BZ51" s="14">
        <v>4</v>
      </c>
      <c r="CC51" s="14">
        <v>1</v>
      </c>
      <c r="CD51" s="14">
        <v>6</v>
      </c>
      <c r="CE51" s="14">
        <v>3</v>
      </c>
    </row>
    <row r="52" spans="1:83" s="14" customFormat="1" ht="16" customHeight="1">
      <c r="A52" s="26" t="s">
        <v>171</v>
      </c>
      <c r="B52" s="27">
        <v>11</v>
      </c>
      <c r="C52" s="29">
        <v>12.82</v>
      </c>
      <c r="D52" s="27">
        <v>0</v>
      </c>
      <c r="E52" s="27">
        <v>0</v>
      </c>
      <c r="F52" s="27">
        <v>0</v>
      </c>
      <c r="G52" s="27">
        <v>33</v>
      </c>
      <c r="H52" s="27">
        <v>31</v>
      </c>
      <c r="I52" s="30">
        <f t="shared" si="2"/>
        <v>6.0606060606060552E-2</v>
      </c>
      <c r="J52" s="27">
        <v>5</v>
      </c>
      <c r="K52" s="27">
        <v>5</v>
      </c>
      <c r="L52" s="30">
        <f t="shared" si="8"/>
        <v>0</v>
      </c>
      <c r="M52" s="27">
        <v>39</v>
      </c>
      <c r="N52" s="27">
        <v>33</v>
      </c>
      <c r="O52" s="30">
        <f t="shared" si="1"/>
        <v>0.15384615384615385</v>
      </c>
      <c r="P52" s="31">
        <v>0.9113</v>
      </c>
      <c r="Q52" s="169" t="s">
        <v>171</v>
      </c>
      <c r="R52" s="27" t="s">
        <v>23</v>
      </c>
      <c r="S52" s="28" t="s">
        <v>3</v>
      </c>
      <c r="T52" s="51" t="s">
        <v>263</v>
      </c>
      <c r="U52" s="159" t="s">
        <v>601</v>
      </c>
      <c r="V52" s="28" t="s">
        <v>291</v>
      </c>
      <c r="W52" s="28"/>
      <c r="X52" s="316"/>
      <c r="Y52" s="322"/>
      <c r="Z52" s="324"/>
      <c r="AA52" s="312"/>
      <c r="AB52" s="317"/>
      <c r="AC52" s="35">
        <f t="shared" si="13"/>
        <v>64</v>
      </c>
      <c r="AD52" s="320"/>
      <c r="AE52" s="318"/>
      <c r="AF52" s="25">
        <f t="shared" si="14"/>
        <v>12</v>
      </c>
      <c r="AG52" s="320"/>
      <c r="AH52">
        <f t="shared" si="15"/>
        <v>27</v>
      </c>
      <c r="AI52">
        <f t="shared" si="16"/>
        <v>60</v>
      </c>
      <c r="AJ52" s="25">
        <v>3878</v>
      </c>
      <c r="AK52" s="319"/>
      <c r="AL52" s="326"/>
      <c r="AM52" s="71">
        <f>((AJ52)/($AK$2))*(($AB$2*AC52+$AE$2*AF52)/(($AB$2*$AD$2)+($AE$2*$AG$2)))</f>
        <v>1.790108913645059</v>
      </c>
      <c r="AN52" s="35" t="str">
        <f>IF(AM52&lt;$AP$2,"low",IF(AM52&lt;2,"medium","high"))</f>
        <v>medium</v>
      </c>
      <c r="AO52" s="166">
        <v>27</v>
      </c>
      <c r="AP52" s="315"/>
      <c r="AQ52" s="324"/>
      <c r="AR52" s="324"/>
      <c r="AS52" s="312"/>
      <c r="AT52" s="69">
        <v>4</v>
      </c>
      <c r="AU52" s="51"/>
      <c r="AV52" s="51"/>
      <c r="AW52" s="41">
        <v>1</v>
      </c>
      <c r="AX52" s="41">
        <v>1</v>
      </c>
      <c r="AY52" s="41"/>
      <c r="AZ52" s="41"/>
      <c r="BA52" s="41"/>
      <c r="BB52" s="41"/>
      <c r="BC52" s="41"/>
      <c r="BD52" s="14">
        <v>3</v>
      </c>
      <c r="BI52" s="14">
        <v>27</v>
      </c>
      <c r="BJ52" s="14">
        <v>6</v>
      </c>
      <c r="BP52" s="14">
        <v>8</v>
      </c>
      <c r="BQ52" s="14">
        <v>5</v>
      </c>
      <c r="BW52" s="14">
        <v>3</v>
      </c>
      <c r="BZ52" s="14">
        <v>2</v>
      </c>
      <c r="CD52" s="14">
        <v>3</v>
      </c>
      <c r="CE52" s="14">
        <v>1</v>
      </c>
    </row>
    <row r="53" spans="1:83" s="14" customFormat="1" ht="16" hidden="1" customHeight="1">
      <c r="A53" s="26" t="s">
        <v>172</v>
      </c>
      <c r="B53" s="27">
        <v>9</v>
      </c>
      <c r="C53" s="29">
        <v>14.44</v>
      </c>
      <c r="D53" s="27">
        <v>0</v>
      </c>
      <c r="E53" s="27">
        <v>0</v>
      </c>
      <c r="F53" s="27">
        <v>0</v>
      </c>
      <c r="G53" s="27">
        <v>36</v>
      </c>
      <c r="H53" s="27">
        <v>37</v>
      </c>
      <c r="I53" s="30">
        <f t="shared" si="2"/>
        <v>-2.7777777777777679E-2</v>
      </c>
      <c r="J53" s="27">
        <v>6</v>
      </c>
      <c r="K53" s="27">
        <v>6</v>
      </c>
      <c r="L53" s="30">
        <f t="shared" si="8"/>
        <v>0</v>
      </c>
      <c r="M53" s="27">
        <v>42</v>
      </c>
      <c r="N53" s="27">
        <v>44</v>
      </c>
      <c r="O53" s="30">
        <f t="shared" si="1"/>
        <v>-4.7619047619047672E-2</v>
      </c>
      <c r="P53" s="31">
        <v>0.92879999999999996</v>
      </c>
      <c r="Q53" s="171" t="s">
        <v>172</v>
      </c>
      <c r="R53" s="27" t="s">
        <v>24</v>
      </c>
      <c r="S53" s="28" t="s">
        <v>3</v>
      </c>
      <c r="T53" s="51" t="s">
        <v>264</v>
      </c>
      <c r="U53" s="159"/>
      <c r="V53" s="28"/>
      <c r="W53" s="28"/>
      <c r="X53" s="316"/>
      <c r="Y53" s="322"/>
      <c r="Z53" s="324"/>
      <c r="AA53" s="312"/>
      <c r="AB53" s="317"/>
      <c r="AC53" s="35">
        <f t="shared" si="13"/>
        <v>0</v>
      </c>
      <c r="AD53" s="320"/>
      <c r="AE53" s="318"/>
      <c r="AF53" s="25">
        <f t="shared" si="14"/>
        <v>0</v>
      </c>
      <c r="AG53" s="320"/>
      <c r="AH53">
        <f t="shared" si="15"/>
        <v>0</v>
      </c>
      <c r="AI53">
        <f t="shared" si="16"/>
        <v>0</v>
      </c>
      <c r="AJ53" s="25"/>
      <c r="AK53" s="319"/>
      <c r="AL53" s="326"/>
      <c r="AM53" s="71"/>
      <c r="AN53" s="35"/>
      <c r="AO53" s="166"/>
      <c r="AP53" s="315"/>
      <c r="AQ53" s="324"/>
      <c r="AR53" s="324"/>
      <c r="AS53" s="312"/>
      <c r="AT53" s="69"/>
      <c r="AU53" s="51"/>
      <c r="AV53" s="51"/>
      <c r="AW53" s="41"/>
      <c r="AX53" s="41"/>
      <c r="AY53" s="41"/>
      <c r="AZ53" s="41"/>
      <c r="BA53" s="41"/>
      <c r="BB53" s="41"/>
      <c r="BC53" s="41"/>
    </row>
    <row r="54" spans="1:83" s="14" customFormat="1" ht="16" customHeight="1">
      <c r="A54" s="26" t="s">
        <v>173</v>
      </c>
      <c r="B54" s="27">
        <v>4</v>
      </c>
      <c r="C54" s="29">
        <v>11.75</v>
      </c>
      <c r="D54" s="27">
        <v>0</v>
      </c>
      <c r="E54" s="27">
        <v>0</v>
      </c>
      <c r="F54" s="27">
        <v>0</v>
      </c>
      <c r="G54" s="27">
        <v>11</v>
      </c>
      <c r="H54" s="27">
        <v>10</v>
      </c>
      <c r="I54" s="30">
        <f t="shared" si="2"/>
        <v>9.0909090909090939E-2</v>
      </c>
      <c r="J54" s="27">
        <v>0</v>
      </c>
      <c r="K54" s="27">
        <v>0</v>
      </c>
      <c r="L54" s="30">
        <f t="shared" si="8"/>
        <v>0</v>
      </c>
      <c r="M54" s="27">
        <v>10</v>
      </c>
      <c r="N54" s="27">
        <v>9</v>
      </c>
      <c r="O54" s="30">
        <f t="shared" si="1"/>
        <v>9.9999999999999978E-2</v>
      </c>
      <c r="P54" s="31">
        <v>0.89800000000000002</v>
      </c>
      <c r="Q54" s="169" t="s">
        <v>173</v>
      </c>
      <c r="R54" s="27" t="s">
        <v>25</v>
      </c>
      <c r="S54" s="28" t="s">
        <v>3</v>
      </c>
      <c r="T54" s="51" t="s">
        <v>265</v>
      </c>
      <c r="U54" s="159" t="s">
        <v>601</v>
      </c>
      <c r="V54" s="28" t="s">
        <v>291</v>
      </c>
      <c r="W54" s="28"/>
      <c r="X54" s="316"/>
      <c r="Y54" s="322"/>
      <c r="Z54" s="324"/>
      <c r="AA54" s="312"/>
      <c r="AB54" s="317"/>
      <c r="AC54" s="35">
        <f t="shared" si="13"/>
        <v>19</v>
      </c>
      <c r="AD54" s="320"/>
      <c r="AE54" s="318"/>
      <c r="AF54" s="25">
        <f t="shared" si="14"/>
        <v>9</v>
      </c>
      <c r="AG54" s="320"/>
      <c r="AH54">
        <f t="shared" si="15"/>
        <v>8</v>
      </c>
      <c r="AI54">
        <f t="shared" si="16"/>
        <v>17</v>
      </c>
      <c r="AJ54" s="25">
        <v>1250</v>
      </c>
      <c r="AK54" s="319"/>
      <c r="AL54" s="326"/>
      <c r="AM54" s="71">
        <f>((AJ54)/($AK$2))*(($AB$2*AC54+$AE$2*AF54)/(($AB$2*$AD$2)+($AE$2*$AG$2)))</f>
        <v>0.22869210498506434</v>
      </c>
      <c r="AN54" s="35" t="str">
        <f>IF(AM54&lt;$AP$2,"low",IF(AM54&lt;2,"medium","high"))</f>
        <v>low</v>
      </c>
      <c r="AO54" s="166">
        <v>5</v>
      </c>
      <c r="AP54" s="315"/>
      <c r="AQ54" s="324"/>
      <c r="AR54" s="324"/>
      <c r="AS54" s="312"/>
      <c r="AT54" s="69">
        <v>2</v>
      </c>
      <c r="AU54" s="51"/>
      <c r="AV54" s="51"/>
      <c r="AW54" s="41">
        <v>1</v>
      </c>
      <c r="AX54" s="41">
        <v>1</v>
      </c>
      <c r="AY54" s="41"/>
      <c r="AZ54" s="41"/>
      <c r="BA54" s="41"/>
      <c r="BB54" s="41"/>
      <c r="BC54" s="41"/>
      <c r="BD54" s="14">
        <v>1</v>
      </c>
      <c r="BE54" s="14">
        <v>1</v>
      </c>
      <c r="BI54" s="14">
        <v>6</v>
      </c>
      <c r="BJ54" s="14">
        <v>3</v>
      </c>
      <c r="BQ54" s="14">
        <v>2</v>
      </c>
      <c r="BR54" s="14">
        <v>2</v>
      </c>
    </row>
    <row r="55" spans="1:83" s="14" customFormat="1" ht="16" hidden="1" customHeight="1">
      <c r="A55" s="26" t="s">
        <v>174</v>
      </c>
      <c r="B55" s="27">
        <v>3</v>
      </c>
      <c r="C55" s="29">
        <v>11</v>
      </c>
      <c r="D55" s="27">
        <v>0</v>
      </c>
      <c r="E55" s="27">
        <v>0</v>
      </c>
      <c r="F55" s="27">
        <v>0</v>
      </c>
      <c r="G55" s="27">
        <v>14</v>
      </c>
      <c r="H55" s="27">
        <v>14</v>
      </c>
      <c r="I55" s="30">
        <f t="shared" si="2"/>
        <v>0</v>
      </c>
      <c r="J55" s="27">
        <v>1</v>
      </c>
      <c r="K55" s="27">
        <v>1</v>
      </c>
      <c r="L55" s="30">
        <f t="shared" si="8"/>
        <v>0</v>
      </c>
      <c r="M55" s="27">
        <v>13</v>
      </c>
      <c r="N55" s="27">
        <v>13</v>
      </c>
      <c r="O55" s="30">
        <f t="shared" si="1"/>
        <v>0</v>
      </c>
      <c r="P55" s="31">
        <v>0.96540000000000004</v>
      </c>
      <c r="Q55" s="171" t="s">
        <v>174</v>
      </c>
      <c r="R55" s="27" t="s">
        <v>26</v>
      </c>
      <c r="S55" s="28" t="s">
        <v>3</v>
      </c>
      <c r="T55" s="51" t="s">
        <v>266</v>
      </c>
      <c r="U55" s="159"/>
      <c r="V55" s="28"/>
      <c r="W55" s="28"/>
      <c r="X55" s="316"/>
      <c r="Y55" s="322"/>
      <c r="Z55" s="324"/>
      <c r="AA55" s="312"/>
      <c r="AB55" s="317"/>
      <c r="AC55" s="35">
        <f t="shared" si="13"/>
        <v>0</v>
      </c>
      <c r="AD55" s="320"/>
      <c r="AE55" s="318"/>
      <c r="AF55" s="25">
        <f t="shared" si="14"/>
        <v>0</v>
      </c>
      <c r="AG55" s="320"/>
      <c r="AH55">
        <f t="shared" si="15"/>
        <v>0</v>
      </c>
      <c r="AI55">
        <f t="shared" si="16"/>
        <v>0</v>
      </c>
      <c r="AJ55" s="25"/>
      <c r="AK55" s="319"/>
      <c r="AL55" s="326"/>
      <c r="AM55" s="71"/>
      <c r="AN55" s="35"/>
      <c r="AO55" s="166"/>
      <c r="AP55" s="315"/>
      <c r="AQ55" s="324"/>
      <c r="AR55" s="324"/>
      <c r="AS55" s="312"/>
      <c r="AT55" s="69"/>
      <c r="AU55" s="51"/>
      <c r="AV55" s="51"/>
      <c r="AW55" s="41"/>
      <c r="AX55" s="41"/>
      <c r="AY55" s="41"/>
      <c r="AZ55" s="41"/>
      <c r="BA55" s="41"/>
      <c r="BB55" s="41"/>
      <c r="BC55" s="41"/>
    </row>
    <row r="56" spans="1:83" s="14" customFormat="1" ht="16" hidden="1" customHeight="1">
      <c r="A56" s="26" t="s">
        <v>175</v>
      </c>
      <c r="B56" s="27">
        <v>7</v>
      </c>
      <c r="C56" s="29">
        <v>10.86</v>
      </c>
      <c r="D56" s="27">
        <v>0</v>
      </c>
      <c r="E56" s="27">
        <v>0</v>
      </c>
      <c r="F56" s="27">
        <v>0</v>
      </c>
      <c r="G56" s="27">
        <v>21</v>
      </c>
      <c r="H56" s="27">
        <v>21</v>
      </c>
      <c r="I56" s="30">
        <f t="shared" si="2"/>
        <v>0</v>
      </c>
      <c r="J56" s="27">
        <v>2</v>
      </c>
      <c r="K56" s="27">
        <v>1</v>
      </c>
      <c r="L56" s="30">
        <f t="shared" si="8"/>
        <v>0.5</v>
      </c>
      <c r="M56" s="27">
        <v>22</v>
      </c>
      <c r="N56" s="27">
        <v>20</v>
      </c>
      <c r="O56" s="30">
        <f t="shared" si="1"/>
        <v>9.0909090909090939E-2</v>
      </c>
      <c r="P56" s="31">
        <v>0.91169999999999995</v>
      </c>
      <c r="Q56" s="169" t="s">
        <v>175</v>
      </c>
      <c r="R56" s="27" t="s">
        <v>27</v>
      </c>
      <c r="S56" s="28" t="s">
        <v>3</v>
      </c>
      <c r="T56" s="51"/>
      <c r="U56" s="159"/>
      <c r="V56" s="28"/>
      <c r="W56" s="28"/>
      <c r="X56" s="316"/>
      <c r="Y56" s="322"/>
      <c r="Z56" s="324"/>
      <c r="AA56" s="312"/>
      <c r="AB56" s="317"/>
      <c r="AC56" s="35">
        <f t="shared" si="13"/>
        <v>0</v>
      </c>
      <c r="AD56" s="320"/>
      <c r="AE56" s="318"/>
      <c r="AF56" s="25">
        <f t="shared" si="14"/>
        <v>0</v>
      </c>
      <c r="AG56" s="320"/>
      <c r="AH56">
        <f t="shared" si="15"/>
        <v>0</v>
      </c>
      <c r="AI56">
        <f t="shared" si="16"/>
        <v>0</v>
      </c>
      <c r="AJ56" s="25"/>
      <c r="AK56" s="319"/>
      <c r="AL56" s="326"/>
      <c r="AM56" s="71"/>
      <c r="AN56" s="35"/>
      <c r="AO56" s="166"/>
      <c r="AP56" s="315"/>
      <c r="AQ56" s="324"/>
      <c r="AR56" s="324"/>
      <c r="AS56" s="312"/>
      <c r="AT56" s="69"/>
      <c r="AU56" s="51"/>
      <c r="AV56" s="51"/>
      <c r="AW56" s="41"/>
      <c r="AX56" s="41"/>
      <c r="AY56" s="41"/>
      <c r="AZ56" s="41"/>
      <c r="BA56" s="41"/>
      <c r="BB56" s="41"/>
      <c r="BC56" s="41"/>
    </row>
    <row r="57" spans="1:83" s="14" customFormat="1" ht="16" hidden="1" customHeight="1">
      <c r="A57" s="26" t="s">
        <v>176</v>
      </c>
      <c r="B57" s="27">
        <v>7</v>
      </c>
      <c r="C57" s="29">
        <v>12</v>
      </c>
      <c r="D57" s="27">
        <v>0</v>
      </c>
      <c r="E57" s="27">
        <v>1</v>
      </c>
      <c r="F57" s="27">
        <v>0</v>
      </c>
      <c r="G57" s="27">
        <v>20</v>
      </c>
      <c r="H57" s="27">
        <v>19</v>
      </c>
      <c r="I57" s="30">
        <f t="shared" si="2"/>
        <v>5.0000000000000044E-2</v>
      </c>
      <c r="J57" s="27">
        <v>2</v>
      </c>
      <c r="K57" s="27">
        <v>1</v>
      </c>
      <c r="L57" s="30">
        <f t="shared" si="8"/>
        <v>0.5</v>
      </c>
      <c r="M57" s="27">
        <v>21</v>
      </c>
      <c r="N57" s="27">
        <v>19</v>
      </c>
      <c r="O57" s="30">
        <f t="shared" si="1"/>
        <v>9.5238095238095233E-2</v>
      </c>
      <c r="P57" s="31">
        <v>0.90110000000000001</v>
      </c>
      <c r="Q57" s="169" t="s">
        <v>176</v>
      </c>
      <c r="R57" s="27" t="s">
        <v>28</v>
      </c>
      <c r="S57" s="28" t="s">
        <v>3</v>
      </c>
      <c r="T57" s="51"/>
      <c r="U57" s="159"/>
      <c r="V57" s="28"/>
      <c r="W57" s="28"/>
      <c r="X57" s="316"/>
      <c r="Y57" s="322"/>
      <c r="Z57" s="324"/>
      <c r="AA57" s="312"/>
      <c r="AB57" s="317"/>
      <c r="AC57" s="35">
        <f t="shared" si="13"/>
        <v>0</v>
      </c>
      <c r="AD57" s="320"/>
      <c r="AE57" s="318"/>
      <c r="AF57" s="25">
        <f t="shared" si="14"/>
        <v>0</v>
      </c>
      <c r="AG57" s="320"/>
      <c r="AH57">
        <f t="shared" si="15"/>
        <v>0</v>
      </c>
      <c r="AI57">
        <f t="shared" si="16"/>
        <v>0</v>
      </c>
      <c r="AJ57" s="25"/>
      <c r="AK57" s="319"/>
      <c r="AL57" s="326"/>
      <c r="AM57" s="71"/>
      <c r="AN57" s="35"/>
      <c r="AO57" s="166"/>
      <c r="AP57" s="315"/>
      <c r="AQ57" s="324"/>
      <c r="AR57" s="324"/>
      <c r="AS57" s="312"/>
      <c r="AT57" s="69"/>
      <c r="AU57" s="51"/>
      <c r="AV57" s="51"/>
      <c r="AW57" s="41"/>
      <c r="AX57" s="41"/>
      <c r="AY57" s="41"/>
      <c r="AZ57" s="41"/>
      <c r="BA57" s="41"/>
      <c r="BB57" s="41"/>
      <c r="BC57" s="41"/>
    </row>
    <row r="58" spans="1:83" s="14" customFormat="1" ht="16" hidden="1" customHeight="1">
      <c r="A58" s="26" t="s">
        <v>177</v>
      </c>
      <c r="B58" s="27">
        <v>5</v>
      </c>
      <c r="C58" s="29">
        <v>14.2</v>
      </c>
      <c r="D58" s="27">
        <v>0</v>
      </c>
      <c r="E58" s="27">
        <v>1</v>
      </c>
      <c r="F58" s="27">
        <v>0</v>
      </c>
      <c r="G58" s="27">
        <v>20</v>
      </c>
      <c r="H58" s="27">
        <v>23</v>
      </c>
      <c r="I58" s="30">
        <f t="shared" si="2"/>
        <v>-0.14999999999999991</v>
      </c>
      <c r="J58" s="27">
        <v>3</v>
      </c>
      <c r="K58" s="27">
        <v>4</v>
      </c>
      <c r="L58" s="30">
        <f t="shared" si="8"/>
        <v>-0.33333333333333326</v>
      </c>
      <c r="M58" s="27">
        <v>20</v>
      </c>
      <c r="N58" s="27">
        <v>25</v>
      </c>
      <c r="O58" s="30">
        <f t="shared" si="1"/>
        <v>-0.25</v>
      </c>
      <c r="P58" s="31">
        <v>0.87480000000000002</v>
      </c>
      <c r="Q58" s="172" t="s">
        <v>177</v>
      </c>
      <c r="R58" s="27" t="s">
        <v>29</v>
      </c>
      <c r="S58" s="28" t="s">
        <v>3</v>
      </c>
      <c r="T58" s="51"/>
      <c r="U58" s="159"/>
      <c r="V58" s="28"/>
      <c r="W58" s="28"/>
      <c r="X58" s="316"/>
      <c r="Y58" s="322"/>
      <c r="Z58" s="324"/>
      <c r="AA58" s="312"/>
      <c r="AB58" s="317"/>
      <c r="AC58" s="35">
        <f t="shared" si="13"/>
        <v>0</v>
      </c>
      <c r="AD58" s="320"/>
      <c r="AE58" s="318"/>
      <c r="AF58" s="25">
        <f t="shared" si="14"/>
        <v>0</v>
      </c>
      <c r="AG58" s="320"/>
      <c r="AH58">
        <f t="shared" si="15"/>
        <v>0</v>
      </c>
      <c r="AI58">
        <f t="shared" si="16"/>
        <v>0</v>
      </c>
      <c r="AJ58" s="25"/>
      <c r="AK58" s="319"/>
      <c r="AL58" s="326"/>
      <c r="AM58" s="71"/>
      <c r="AN58" s="35"/>
      <c r="AO58" s="166"/>
      <c r="AP58" s="315"/>
      <c r="AQ58" s="324"/>
      <c r="AR58" s="324"/>
      <c r="AS58" s="312"/>
      <c r="AT58" s="69"/>
      <c r="AU58" s="51"/>
      <c r="AV58" s="51"/>
      <c r="AW58" s="41"/>
      <c r="AX58" s="41"/>
      <c r="AY58" s="41"/>
      <c r="AZ58" s="41"/>
      <c r="BA58" s="41"/>
      <c r="BB58" s="41"/>
      <c r="BC58" s="41"/>
    </row>
    <row r="59" spans="1:83" s="14" customFormat="1" ht="16" hidden="1" customHeight="1">
      <c r="A59" s="26" t="s">
        <v>178</v>
      </c>
      <c r="B59" s="27">
        <v>8</v>
      </c>
      <c r="C59" s="29">
        <v>14.5</v>
      </c>
      <c r="D59" s="27">
        <v>0</v>
      </c>
      <c r="E59" s="27">
        <v>1</v>
      </c>
      <c r="F59" s="27">
        <v>1</v>
      </c>
      <c r="G59" s="27">
        <v>21</v>
      </c>
      <c r="H59" s="27">
        <v>26</v>
      </c>
      <c r="I59" s="30">
        <f t="shared" si="2"/>
        <v>-0.23809523809523814</v>
      </c>
      <c r="J59" s="27">
        <v>1</v>
      </c>
      <c r="K59" s="27">
        <v>3</v>
      </c>
      <c r="L59" s="30">
        <f t="shared" si="8"/>
        <v>-2</v>
      </c>
      <c r="M59" s="27">
        <v>20</v>
      </c>
      <c r="N59" s="27">
        <v>27</v>
      </c>
      <c r="O59" s="30">
        <f t="shared" si="1"/>
        <v>-0.35000000000000009</v>
      </c>
      <c r="P59" s="31">
        <v>0.84140000000000004</v>
      </c>
      <c r="Q59" s="172" t="s">
        <v>178</v>
      </c>
      <c r="R59" s="27" t="s">
        <v>30</v>
      </c>
      <c r="S59" s="28" t="s">
        <v>3</v>
      </c>
      <c r="T59" s="51"/>
      <c r="U59" s="159"/>
      <c r="V59" s="28"/>
      <c r="W59" s="28"/>
      <c r="X59" s="316"/>
      <c r="Y59" s="322"/>
      <c r="Z59" s="324"/>
      <c r="AA59" s="312"/>
      <c r="AB59" s="317"/>
      <c r="AC59" s="35">
        <f t="shared" si="13"/>
        <v>0</v>
      </c>
      <c r="AD59" s="320"/>
      <c r="AE59" s="318"/>
      <c r="AF59" s="25">
        <f t="shared" si="14"/>
        <v>0</v>
      </c>
      <c r="AG59" s="320"/>
      <c r="AH59">
        <f t="shared" si="15"/>
        <v>0</v>
      </c>
      <c r="AI59">
        <f t="shared" si="16"/>
        <v>0</v>
      </c>
      <c r="AJ59" s="25"/>
      <c r="AK59" s="319"/>
      <c r="AL59" s="326"/>
      <c r="AM59" s="71"/>
      <c r="AN59" s="35"/>
      <c r="AO59" s="166"/>
      <c r="AP59" s="315"/>
      <c r="AQ59" s="324"/>
      <c r="AR59" s="324"/>
      <c r="AS59" s="312"/>
      <c r="AT59" s="69"/>
      <c r="AU59" s="51"/>
      <c r="AV59" s="51"/>
      <c r="AW59" s="41"/>
      <c r="AX59" s="41"/>
      <c r="AY59" s="41"/>
      <c r="AZ59" s="41"/>
      <c r="BA59" s="41"/>
      <c r="BB59" s="41"/>
      <c r="BC59" s="41"/>
    </row>
    <row r="60" spans="1:83" s="14" customFormat="1" ht="16" hidden="1" customHeight="1">
      <c r="A60" s="26" t="s">
        <v>179</v>
      </c>
      <c r="B60" s="27">
        <v>7</v>
      </c>
      <c r="C60" s="29">
        <v>11.29</v>
      </c>
      <c r="D60" s="27">
        <v>0</v>
      </c>
      <c r="E60" s="27">
        <v>0</v>
      </c>
      <c r="F60" s="27">
        <v>0</v>
      </c>
      <c r="G60" s="27">
        <v>19</v>
      </c>
      <c r="H60" s="27">
        <v>24</v>
      </c>
      <c r="I60" s="30">
        <f t="shared" si="2"/>
        <v>-0.26315789473684204</v>
      </c>
      <c r="J60" s="27">
        <v>4</v>
      </c>
      <c r="K60" s="27">
        <v>4</v>
      </c>
      <c r="L60" s="30">
        <f t="shared" si="8"/>
        <v>0</v>
      </c>
      <c r="M60" s="27">
        <v>18</v>
      </c>
      <c r="N60" s="27">
        <v>25</v>
      </c>
      <c r="O60" s="30">
        <f t="shared" si="1"/>
        <v>-0.38888888888888884</v>
      </c>
      <c r="P60" s="31">
        <v>0.85289999999999999</v>
      </c>
      <c r="Q60" s="171" t="s">
        <v>179</v>
      </c>
      <c r="R60" s="27" t="s">
        <v>31</v>
      </c>
      <c r="S60" s="28" t="s">
        <v>3</v>
      </c>
      <c r="T60" s="51"/>
      <c r="U60" s="159"/>
      <c r="V60" s="28"/>
      <c r="W60" s="28"/>
      <c r="X60" s="316"/>
      <c r="Y60" s="322"/>
      <c r="Z60" s="324"/>
      <c r="AA60" s="312"/>
      <c r="AB60" s="317"/>
      <c r="AC60" s="35">
        <f t="shared" si="13"/>
        <v>0</v>
      </c>
      <c r="AD60" s="320"/>
      <c r="AE60" s="318"/>
      <c r="AF60" s="25">
        <f t="shared" si="14"/>
        <v>0</v>
      </c>
      <c r="AG60" s="320"/>
      <c r="AH60">
        <f t="shared" si="15"/>
        <v>0</v>
      </c>
      <c r="AI60">
        <f t="shared" si="16"/>
        <v>0</v>
      </c>
      <c r="AJ60" s="25"/>
      <c r="AK60" s="319"/>
      <c r="AL60" s="326"/>
      <c r="AM60" s="71"/>
      <c r="AN60" s="35"/>
      <c r="AO60" s="166"/>
      <c r="AP60" s="315"/>
      <c r="AQ60" s="324"/>
      <c r="AR60" s="324"/>
      <c r="AS60" s="312"/>
      <c r="AT60" s="69"/>
      <c r="AU60" s="51"/>
      <c r="AV60" s="51"/>
      <c r="AW60" s="41"/>
      <c r="AX60" s="41"/>
      <c r="AY60" s="41"/>
      <c r="AZ60" s="41"/>
      <c r="BA60" s="41"/>
      <c r="BB60" s="41"/>
      <c r="BC60" s="41"/>
    </row>
    <row r="61" spans="1:83" s="14" customFormat="1" ht="16" customHeight="1">
      <c r="A61" s="26" t="s">
        <v>180</v>
      </c>
      <c r="B61" s="27">
        <v>4</v>
      </c>
      <c r="C61" s="29">
        <v>13.75</v>
      </c>
      <c r="D61" s="27">
        <v>0</v>
      </c>
      <c r="E61" s="27">
        <v>0</v>
      </c>
      <c r="F61" s="27">
        <v>0</v>
      </c>
      <c r="G61" s="27">
        <v>21</v>
      </c>
      <c r="H61" s="27">
        <v>18</v>
      </c>
      <c r="I61" s="30">
        <f t="shared" si="2"/>
        <v>0.1428571428571429</v>
      </c>
      <c r="J61" s="27">
        <v>2</v>
      </c>
      <c r="K61" s="27">
        <v>1</v>
      </c>
      <c r="L61" s="30">
        <f t="shared" si="8"/>
        <v>0.5</v>
      </c>
      <c r="M61" s="27">
        <v>19</v>
      </c>
      <c r="N61" s="27">
        <v>16</v>
      </c>
      <c r="O61" s="30">
        <f t="shared" si="1"/>
        <v>0.15789473684210531</v>
      </c>
      <c r="P61" s="31">
        <v>0.8972</v>
      </c>
      <c r="Q61" s="169" t="s">
        <v>180</v>
      </c>
      <c r="R61" s="27" t="s">
        <v>32</v>
      </c>
      <c r="S61" s="28" t="s">
        <v>3</v>
      </c>
      <c r="T61" s="51" t="s">
        <v>267</v>
      </c>
      <c r="U61" s="159" t="s">
        <v>601</v>
      </c>
      <c r="V61" s="28" t="s">
        <v>291</v>
      </c>
      <c r="W61" s="28"/>
      <c r="X61" s="316"/>
      <c r="Y61" s="322"/>
      <c r="Z61" s="324"/>
      <c r="AA61" s="312"/>
      <c r="AB61" s="317"/>
      <c r="AC61" s="35">
        <f t="shared" si="13"/>
        <v>34</v>
      </c>
      <c r="AD61" s="320"/>
      <c r="AE61" s="318"/>
      <c r="AF61" s="25">
        <f t="shared" si="14"/>
        <v>12</v>
      </c>
      <c r="AG61" s="320"/>
      <c r="AH61">
        <f t="shared" si="15"/>
        <v>15</v>
      </c>
      <c r="AI61">
        <f t="shared" si="16"/>
        <v>31</v>
      </c>
      <c r="AJ61" s="25">
        <v>2113</v>
      </c>
      <c r="AK61" s="319"/>
      <c r="AL61" s="326"/>
      <c r="AM61" s="71">
        <f>((AJ61)/($AK$2))*(($AB$2*AC61+$AE$2*AF61)/(($AB$2*$AD$2)+($AE$2*$AG$2)))</f>
        <v>0.61852981482680436</v>
      </c>
      <c r="AN61" s="35" t="str">
        <f>IF(AM61&lt;$AP$2,"low",IF(AM61&lt;2,"medium","high"))</f>
        <v>medium</v>
      </c>
      <c r="AO61" s="166">
        <v>16</v>
      </c>
      <c r="AP61" s="315"/>
      <c r="AQ61" s="324"/>
      <c r="AR61" s="324"/>
      <c r="AS61" s="312"/>
      <c r="AT61" s="69">
        <v>3</v>
      </c>
      <c r="AU61" s="51"/>
      <c r="AV61" s="51"/>
      <c r="AW61" s="41">
        <v>1</v>
      </c>
      <c r="AX61" s="41">
        <v>2</v>
      </c>
      <c r="AY61" s="41"/>
      <c r="AZ61" s="41"/>
      <c r="BA61" s="41"/>
      <c r="BB61" s="41"/>
      <c r="BC61" s="41"/>
      <c r="BD61" s="14">
        <v>3</v>
      </c>
      <c r="BE61" s="14">
        <v>1</v>
      </c>
      <c r="BI61" s="14">
        <v>12</v>
      </c>
      <c r="BJ61" s="14">
        <v>4</v>
      </c>
      <c r="BP61" s="14">
        <v>3</v>
      </c>
      <c r="BQ61" s="14">
        <v>2</v>
      </c>
      <c r="BW61" s="14">
        <v>1</v>
      </c>
      <c r="CD61" s="14">
        <v>1</v>
      </c>
      <c r="CE61" s="14">
        <v>1</v>
      </c>
    </row>
    <row r="62" spans="1:83" s="14" customFormat="1" ht="16" hidden="1" customHeight="1">
      <c r="A62" s="26" t="s">
        <v>181</v>
      </c>
      <c r="B62" s="27">
        <v>3</v>
      </c>
      <c r="C62" s="29">
        <v>14.33</v>
      </c>
      <c r="D62" s="27">
        <v>0</v>
      </c>
      <c r="E62" s="27">
        <v>0</v>
      </c>
      <c r="F62" s="27">
        <v>0</v>
      </c>
      <c r="G62" s="27">
        <v>11</v>
      </c>
      <c r="H62" s="27">
        <v>11</v>
      </c>
      <c r="I62" s="30">
        <f t="shared" si="2"/>
        <v>0</v>
      </c>
      <c r="J62" s="27">
        <v>0</v>
      </c>
      <c r="K62" s="27">
        <v>0</v>
      </c>
      <c r="L62" s="30">
        <f t="shared" si="8"/>
        <v>0</v>
      </c>
      <c r="M62" s="27">
        <v>10</v>
      </c>
      <c r="N62" s="27">
        <v>9</v>
      </c>
      <c r="O62" s="30">
        <f t="shared" si="1"/>
        <v>9.9999999999999978E-2</v>
      </c>
      <c r="P62" s="31">
        <v>0.95040000000000002</v>
      </c>
      <c r="Q62" s="172" t="s">
        <v>181</v>
      </c>
      <c r="R62" s="27" t="s">
        <v>33</v>
      </c>
      <c r="S62" s="28" t="s">
        <v>3</v>
      </c>
      <c r="T62" s="51"/>
      <c r="U62" s="160"/>
      <c r="V62" s="28"/>
      <c r="W62" s="28"/>
      <c r="X62" s="316"/>
      <c r="Y62" s="322"/>
      <c r="Z62" s="324"/>
      <c r="AA62" s="312"/>
      <c r="AB62" s="317"/>
      <c r="AC62" s="35"/>
      <c r="AD62" s="320"/>
      <c r="AE62" s="318"/>
      <c r="AF62" s="25"/>
      <c r="AG62" s="320"/>
      <c r="AH62">
        <f>SUM(AW62:BH62,BP62:CN62)</f>
        <v>0</v>
      </c>
      <c r="AI62">
        <f>SUM(AW62:BJ62,BL62,BP62:CN62)</f>
        <v>0</v>
      </c>
      <c r="AJ62" s="25"/>
      <c r="AK62" s="319"/>
      <c r="AL62" s="326"/>
      <c r="AM62" s="71"/>
      <c r="AN62" s="35"/>
      <c r="AO62" s="67"/>
      <c r="AP62" s="315"/>
      <c r="AQ62" s="324"/>
      <c r="AR62" s="324"/>
      <c r="AS62" s="312"/>
      <c r="AT62" s="69"/>
      <c r="AU62" s="51"/>
      <c r="AV62" s="51"/>
      <c r="AW62" s="41"/>
      <c r="AX62" s="41"/>
      <c r="AY62" s="41"/>
      <c r="AZ62" s="41"/>
      <c r="BA62" s="41"/>
      <c r="BB62" s="41"/>
      <c r="BC62" s="41"/>
    </row>
    <row r="63" spans="1:83" s="14" customFormat="1" ht="16" hidden="1" customHeight="1">
      <c r="A63" s="26" t="s">
        <v>182</v>
      </c>
      <c r="B63" s="27">
        <v>5</v>
      </c>
      <c r="C63" s="29">
        <v>25.4</v>
      </c>
      <c r="D63" s="27">
        <v>0</v>
      </c>
      <c r="E63" s="27">
        <v>0</v>
      </c>
      <c r="F63" s="27">
        <v>3</v>
      </c>
      <c r="G63" s="27">
        <v>52</v>
      </c>
      <c r="H63" s="27">
        <v>39</v>
      </c>
      <c r="I63" s="30">
        <f t="shared" si="2"/>
        <v>0.25</v>
      </c>
      <c r="J63" s="27">
        <v>8</v>
      </c>
      <c r="K63" s="27">
        <v>7</v>
      </c>
      <c r="L63" s="30">
        <f t="shared" si="8"/>
        <v>0.125</v>
      </c>
      <c r="M63" s="27">
        <v>66</v>
      </c>
      <c r="N63" s="27">
        <v>46</v>
      </c>
      <c r="O63" s="30">
        <f t="shared" si="1"/>
        <v>0.30303030303030298</v>
      </c>
      <c r="P63" s="31">
        <v>0.82420000000000004</v>
      </c>
      <c r="Q63" s="172" t="s">
        <v>182</v>
      </c>
      <c r="R63" s="27" t="s">
        <v>34</v>
      </c>
      <c r="S63" s="28" t="s">
        <v>3</v>
      </c>
      <c r="T63" s="51"/>
      <c r="U63" s="159"/>
      <c r="V63" s="28"/>
      <c r="W63" s="28"/>
      <c r="X63" s="316"/>
      <c r="Y63" s="322"/>
      <c r="Z63" s="324"/>
      <c r="AA63" s="312"/>
      <c r="AB63" s="317"/>
      <c r="AC63" s="35"/>
      <c r="AD63" s="320"/>
      <c r="AE63" s="318"/>
      <c r="AF63" s="25"/>
      <c r="AG63" s="320"/>
      <c r="AH63">
        <f>SUM(AW63:BH63,BP63:CN63)</f>
        <v>0</v>
      </c>
      <c r="AI63">
        <f>SUM(AW63:BJ63,BL63,BP63:CN63)</f>
        <v>0</v>
      </c>
      <c r="AJ63" s="25"/>
      <c r="AK63" s="319"/>
      <c r="AL63" s="326"/>
      <c r="AM63" s="71"/>
      <c r="AN63" s="35"/>
      <c r="AO63" s="67"/>
      <c r="AP63" s="315"/>
      <c r="AQ63" s="324"/>
      <c r="AR63" s="324"/>
      <c r="AS63" s="312"/>
      <c r="AT63" s="69"/>
      <c r="AU63" s="51"/>
      <c r="AV63" s="51"/>
      <c r="AW63" s="41"/>
      <c r="AX63" s="41"/>
      <c r="AY63" s="41"/>
      <c r="AZ63" s="41"/>
      <c r="BA63" s="41"/>
      <c r="BB63" s="41"/>
      <c r="BC63" s="41"/>
    </row>
    <row r="64" spans="1:83" s="25" customFormat="1" ht="16" customHeight="1">
      <c r="A64" s="33" t="s">
        <v>192</v>
      </c>
      <c r="B64" s="36">
        <f t="shared" ref="B64:H64" si="17">SUBTOTAL(1,B50:B63)</f>
        <v>6.4285714285714288</v>
      </c>
      <c r="C64" s="36">
        <f t="shared" si="17"/>
        <v>13.949285714285713</v>
      </c>
      <c r="D64" s="36">
        <f t="shared" si="17"/>
        <v>0</v>
      </c>
      <c r="E64" s="36">
        <f t="shared" si="17"/>
        <v>0.21428571428571427</v>
      </c>
      <c r="F64" s="36">
        <f t="shared" si="17"/>
        <v>0.35714285714285715</v>
      </c>
      <c r="G64" s="36">
        <f t="shared" si="17"/>
        <v>25.285714285714285</v>
      </c>
      <c r="H64" s="36">
        <f t="shared" si="17"/>
        <v>24.428571428571427</v>
      </c>
      <c r="I64" s="37">
        <f t="shared" si="2"/>
        <v>3.3898305084745783E-2</v>
      </c>
      <c r="J64" s="36">
        <f>SUBTOTAL(1,J50:J63)</f>
        <v>3.7142857142857144</v>
      </c>
      <c r="K64" s="36">
        <f>SUBTOTAL(1,K50:K63)</f>
        <v>3.1428571428571428</v>
      </c>
      <c r="L64" s="37">
        <f t="shared" si="8"/>
        <v>0.15384615384615385</v>
      </c>
      <c r="M64" s="36">
        <f>SUBTOTAL(1,M50:M63)</f>
        <v>27.285714285714285</v>
      </c>
      <c r="N64" s="36">
        <f>SUBTOTAL(1,N50:N63)</f>
        <v>25.928571428571427</v>
      </c>
      <c r="O64" s="37">
        <f t="shared" si="1"/>
        <v>4.9738219895287927E-2</v>
      </c>
      <c r="P64" s="37">
        <f>AVERAGE(P50:P63)</f>
        <v>0.89810000000000001</v>
      </c>
      <c r="Q64" s="170" t="s">
        <v>192</v>
      </c>
      <c r="R64" s="33" t="s">
        <v>50</v>
      </c>
      <c r="S64" s="35" t="s">
        <v>3</v>
      </c>
      <c r="T64" s="53"/>
      <c r="U64" s="161"/>
      <c r="V64" s="35"/>
      <c r="W64" s="35"/>
      <c r="X64" s="316"/>
      <c r="Y64" s="323"/>
      <c r="Z64" s="324"/>
      <c r="AA64" s="312"/>
      <c r="AB64" s="317"/>
      <c r="AC64" s="35"/>
      <c r="AD64" s="320"/>
      <c r="AE64" s="318"/>
      <c r="AG64" s="320"/>
      <c r="AH64"/>
      <c r="AI64"/>
      <c r="AK64" s="319"/>
      <c r="AL64" s="327"/>
      <c r="AM64" s="71"/>
      <c r="AN64" s="35"/>
      <c r="AO64" s="63"/>
      <c r="AP64" s="315"/>
      <c r="AQ64" s="324"/>
      <c r="AR64" s="324"/>
      <c r="AS64" s="313"/>
      <c r="AT64" s="66"/>
      <c r="AU64" s="53"/>
      <c r="AV64" s="53"/>
      <c r="AW64" s="33"/>
      <c r="AX64" s="33"/>
      <c r="AY64" s="33"/>
      <c r="AZ64" s="33"/>
      <c r="BA64" s="33"/>
      <c r="BB64" s="33"/>
      <c r="BC64" s="33"/>
    </row>
    <row r="65" spans="1:55" s="16" customFormat="1" ht="16" customHeight="1">
      <c r="B65" s="38">
        <f>AVERAGE(B2:B5,B7:B8,B10:B17,B19,B21:B24,B26:B29,B31,B33:B35,B43:B48,B50:B63)</f>
        <v>9.1914893617021285</v>
      </c>
      <c r="C65" s="38">
        <f t="shared" ref="C65:P65" si="18">AVERAGE(C2:C5,C7:C8,C10:C17,C19,C21:C24,C26:C29,C31,C33:C35,C43:C48,C50:C63)</f>
        <v>17.158297872340423</v>
      </c>
      <c r="D65" s="38">
        <f t="shared" si="18"/>
        <v>1.2340425531914894</v>
      </c>
      <c r="E65" s="38">
        <f t="shared" si="18"/>
        <v>2.5957446808510638</v>
      </c>
      <c r="F65" s="38">
        <f t="shared" si="18"/>
        <v>0.48936170212765956</v>
      </c>
      <c r="G65" s="38">
        <f t="shared" si="18"/>
        <v>27.425531914893618</v>
      </c>
      <c r="H65" s="38">
        <f t="shared" si="18"/>
        <v>23.212765957446809</v>
      </c>
      <c r="I65" s="37">
        <f t="shared" si="2"/>
        <v>0.15360744763382472</v>
      </c>
      <c r="J65" s="38">
        <f t="shared" si="18"/>
        <v>3.7234042553191489</v>
      </c>
      <c r="K65" s="38">
        <f t="shared" si="18"/>
        <v>3.3829787234042552</v>
      </c>
      <c r="L65" s="37">
        <f t="shared" si="8"/>
        <v>9.1428571428571415E-2</v>
      </c>
      <c r="M65" s="38">
        <f t="shared" si="18"/>
        <v>26.76595744680851</v>
      </c>
      <c r="N65" s="38">
        <f t="shared" si="18"/>
        <v>23.638297872340427</v>
      </c>
      <c r="O65" s="37">
        <f t="shared" si="1"/>
        <v>0.11685214626391094</v>
      </c>
      <c r="P65" s="39">
        <f t="shared" si="18"/>
        <v>0.76981702127659568</v>
      </c>
      <c r="Q65" s="34"/>
      <c r="R65" s="40"/>
      <c r="S65" s="34"/>
      <c r="T65" s="53"/>
      <c r="U65" s="53"/>
      <c r="V65" s="34"/>
      <c r="W65" s="34"/>
      <c r="X65" s="53"/>
      <c r="Y65" s="53"/>
      <c r="Z65" s="53"/>
      <c r="AA65" s="53"/>
      <c r="AB65" s="66"/>
      <c r="AC65" s="34"/>
      <c r="AD65" s="34"/>
      <c r="AE65" s="34"/>
      <c r="AN65" s="34"/>
      <c r="AS65" s="34"/>
      <c r="AT65" s="53"/>
      <c r="AU65" s="53"/>
      <c r="AV65" s="53"/>
      <c r="AW65" s="34"/>
      <c r="AX65" s="34"/>
      <c r="AY65" s="34"/>
      <c r="AZ65" s="34"/>
      <c r="BA65" s="34"/>
      <c r="BB65" s="34"/>
      <c r="BC65" s="34"/>
    </row>
    <row r="66" spans="1:55">
      <c r="A66" s="42"/>
      <c r="B66" s="7"/>
      <c r="C66" s="44"/>
      <c r="D66" s="7"/>
      <c r="E66" s="7"/>
      <c r="F66" s="7"/>
      <c r="G66" s="7"/>
      <c r="H66" s="7"/>
      <c r="I66" s="7"/>
      <c r="J66" s="7"/>
      <c r="K66" s="7"/>
      <c r="L66" s="7"/>
      <c r="M66" s="7"/>
      <c r="N66" s="7"/>
      <c r="O66" s="7"/>
      <c r="P66" s="45"/>
      <c r="Q66" s="42"/>
      <c r="R66" s="27"/>
      <c r="S66" s="43"/>
      <c r="T66" s="54"/>
      <c r="U66" s="54"/>
      <c r="V66" s="43"/>
      <c r="W66" s="43"/>
      <c r="X66" s="54"/>
      <c r="Y66" s="54"/>
      <c r="Z66" s="54"/>
      <c r="AB66" s="54"/>
      <c r="AC66" s="43"/>
      <c r="AD66" s="43"/>
      <c r="AE66" s="43"/>
      <c r="AN66" s="43"/>
      <c r="AS66" s="43"/>
      <c r="AT66" s="54"/>
      <c r="AU66" s="54"/>
      <c r="AV66" s="54"/>
    </row>
    <row r="67" spans="1:55">
      <c r="R67" s="27"/>
    </row>
    <row r="68" spans="1:55">
      <c r="R68" s="27"/>
    </row>
    <row r="69" spans="1:55">
      <c r="R69" s="27"/>
    </row>
    <row r="72" spans="1:55">
      <c r="S72"/>
      <c r="T72" s="47"/>
      <c r="U72" s="47"/>
      <c r="V72"/>
      <c r="W72"/>
      <c r="X72" s="47"/>
      <c r="Y72" s="47"/>
      <c r="Z72" s="47"/>
      <c r="AB72" s="47"/>
      <c r="AC72"/>
      <c r="AD72"/>
      <c r="AE72"/>
      <c r="AN72"/>
      <c r="AS72"/>
      <c r="AT72" s="47"/>
      <c r="AU72" s="47"/>
      <c r="AV72" s="47"/>
    </row>
  </sheetData>
  <autoFilter ref="A1:CN72" xr:uid="{54476184-B7B9-034F-B61B-30D6807A763D}"/>
  <mergeCells count="14">
    <mergeCell ref="AS2:AS64"/>
    <mergeCell ref="AP2:AP64"/>
    <mergeCell ref="AA2:AA64"/>
    <mergeCell ref="X2:X64"/>
    <mergeCell ref="AB2:AB64"/>
    <mergeCell ref="AE2:AE64"/>
    <mergeCell ref="AK2:AK64"/>
    <mergeCell ref="AD2:AD64"/>
    <mergeCell ref="AG2:AG64"/>
    <mergeCell ref="Y2:Y64"/>
    <mergeCell ref="Z2:Z64"/>
    <mergeCell ref="AL2:AL64"/>
    <mergeCell ref="AQ2:AQ64"/>
    <mergeCell ref="AR2:AR64"/>
  </mergeCells>
  <phoneticPr fontId="4" type="noConversion"/>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18488-9AC5-E645-9942-216410D0A4F6}">
  <dimension ref="A1:P27"/>
  <sheetViews>
    <sheetView workbookViewId="0">
      <selection activeCell="F6" sqref="F6"/>
    </sheetView>
  </sheetViews>
  <sheetFormatPr baseColWidth="10" defaultRowHeight="15"/>
  <cols>
    <col min="1" max="1" width="22" bestFit="1" customWidth="1"/>
    <col min="2" max="2" width="10.5" bestFit="1" customWidth="1"/>
    <col min="3" max="3" width="14.83203125" bestFit="1" customWidth="1"/>
    <col min="4" max="7" width="11.6640625" bestFit="1" customWidth="1"/>
    <col min="10" max="10" width="15.33203125" customWidth="1"/>
  </cols>
  <sheetData>
    <row r="1" spans="1:16">
      <c r="A1" s="73" t="s">
        <v>726</v>
      </c>
      <c r="B1" s="75"/>
      <c r="C1" s="75"/>
      <c r="D1" s="75"/>
      <c r="E1" s="75"/>
      <c r="F1" s="75"/>
      <c r="G1" s="75"/>
      <c r="J1" s="73" t="s">
        <v>727</v>
      </c>
      <c r="K1" s="75"/>
      <c r="L1" s="75"/>
      <c r="M1" s="75"/>
      <c r="N1" s="75"/>
      <c r="O1" s="75"/>
    </row>
    <row r="2" spans="1:16">
      <c r="B2" s="1" t="s">
        <v>590</v>
      </c>
      <c r="C2" s="1" t="s">
        <v>719</v>
      </c>
      <c r="D2" s="1" t="s">
        <v>720</v>
      </c>
      <c r="E2" s="1" t="s">
        <v>724</v>
      </c>
      <c r="F2" s="1" t="s">
        <v>725</v>
      </c>
      <c r="G2" s="1" t="s">
        <v>773</v>
      </c>
      <c r="K2" s="1" t="s">
        <v>590</v>
      </c>
      <c r="L2" s="1" t="s">
        <v>719</v>
      </c>
      <c r="M2" s="1" t="s">
        <v>720</v>
      </c>
      <c r="N2" s="1" t="s">
        <v>724</v>
      </c>
      <c r="O2" s="1" t="s">
        <v>725</v>
      </c>
      <c r="P2" s="1" t="s">
        <v>773</v>
      </c>
    </row>
    <row r="3" spans="1:16">
      <c r="A3" s="230" t="s">
        <v>642</v>
      </c>
      <c r="B3" s="46">
        <f>AVERAGE(Results_exp1_0shot!R3:R231)</f>
        <v>0.77722222669430541</v>
      </c>
      <c r="C3" s="46">
        <f>AVERAGE(Results_exp1_0shot!X3:X231)</f>
        <v>0.69038469092477361</v>
      </c>
      <c r="D3" s="46">
        <f>AVERAGE(Results_exp1_0shot!AD3:AD231)</f>
        <v>0.70028732937414873</v>
      </c>
      <c r="E3" s="46">
        <f>AVERAGE(Results_exp1_0shot!AH3:AH231)</f>
        <v>0.2681461070828311</v>
      </c>
      <c r="F3" s="46">
        <f>AVERAGE(Results_exp1_0shot!AI3:AI14,Results_exp1_0shot!AI18:AI21,Results_exp1_0shot!AI25:AI27,Results_exp1_0shot!AI31:AI42,Results_exp1_0shot!AI46:AI49,Results_exp1_0shot!AI52:AI56,Results_exp1_0shot!AI59:AI63,Results_exp1_0shot!AI66:AI70,Results_exp1_0shot!AI73:AI77,Results_exp1_0shot!AI88:AI91,Results_exp1_0shot!AI94:AI98,Results_exp1_0shot!AI101:AI119,Results_exp1_0shot!AI123,Results_exp1_0shot!AI126:AI133,Results_exp1_0shot!AI137,Results_exp1_0shot!AI140,Results_exp1_0shot!AI144:AI147,Results_exp1_0shot!AI151:AI152,Results_exp1_0shot!AI158,Results_exp1_0shot!AI159,Results_exp1_0shot!AI161,Results_exp1_0shot!AI164,Results_exp1_0shot!AI168,Results_exp1_0shot!AI175,Results_exp1_0shot!AI185:AI189,Results_exp1_0shot!AI193,Results_exp1_0shot!AI200:AI203,Results_exp1_0shot!AI214,Results_exp1_0shot!AI217,Results_exp1_0shot!AI221,Results_exp1_0shot!AI224,Results_exp1_0shot!AI227,Results_exp1_0shot!AI230:AI231)</f>
        <v>0.96579926956033157</v>
      </c>
      <c r="G3" s="234">
        <f>AVERAGE(Analysis_exp1_0shot!AM8:AQ22,Analysis_exp1_0shot!AM27:AQ38,Analysis_exp1_0shot!AM43:AQ48)</f>
        <v>315.96363636363634</v>
      </c>
      <c r="J3" s="231" t="s">
        <v>642</v>
      </c>
      <c r="K3" s="232">
        <f t="shared" ref="K3:P3" si="0">B3</f>
        <v>0.77722222669430541</v>
      </c>
      <c r="L3" s="232">
        <f t="shared" si="0"/>
        <v>0.69038469092477361</v>
      </c>
      <c r="M3" s="232">
        <f t="shared" si="0"/>
        <v>0.70028732937414873</v>
      </c>
      <c r="N3" s="232">
        <f t="shared" si="0"/>
        <v>0.2681461070828311</v>
      </c>
      <c r="O3" s="232">
        <f t="shared" si="0"/>
        <v>0.96579926956033157</v>
      </c>
      <c r="P3" s="251">
        <f t="shared" si="0"/>
        <v>315.96363636363634</v>
      </c>
    </row>
    <row r="4" spans="1:16">
      <c r="A4" t="s">
        <v>789</v>
      </c>
      <c r="B4" s="46">
        <f>_xlfn.STDEV.P(Analysis_exp1_0shot!D8:H22,Analysis_exp1_0shot!D27:H38,Analysis_exp1_0shot!D43:H48)</f>
        <v>0.15340723641583159</v>
      </c>
      <c r="C4" s="46">
        <f>_xlfn.STDEV.P(Analysis_exp1_0shot!K8:O22,Analysis_exp1_0shot!K27:O38,Analysis_exp1_0shot!K43:O48)</f>
        <v>0.17712455777531785</v>
      </c>
      <c r="D4" s="46">
        <f>_xlfn.STDEV.P(Analysis_exp1_0shot!R8:V22,Analysis_exp1_0shot!R27:V38,Analysis_exp1_0shot!R43:V48)</f>
        <v>0.19838877888398138</v>
      </c>
      <c r="E4" s="46">
        <f>_xlfn.STDEV.P(Analysis_exp1_0shot!Y8:AC22,Analysis_exp1_0shot!Y27:AC38,Analysis_exp1_0shot!Y43:AC48)</f>
        <v>0.32713566074505429</v>
      </c>
      <c r="F4" s="46">
        <f>_xlfn.STDEV.P(Analysis_exp1_0shot!AF8:AJ9,Analysis_exp1_0shot!AG10:AJ11,Analysis_exp1_0shot!AF12:AJ13,Analysis_exp1_0shot!AG14:AJ22,Analysis_exp1_0shot!AF15:AF18,Analysis_exp1_0shot!AF21,Analysis_exp1_0shot!AF22,Analysis_exp1_0shot!AF27:AJ28,Analysis_exp1_0shot!AG29,Analysis_exp1_0shot!AJ29,Analysis_exp1_0shot!AF30:AJ30,Analysis_exp1_0shot!AG31,Analysis_exp1_0shot!AI31:AJ31,Analysis_exp1_0shot!AG32:AJ32,Analysis_exp1_0shot!AG33,Analysis_exp1_0shot!AG33:AH34,Analysis_exp1_0shot!AJ34:AJ36,Analysis_exp1_0shot!AJ38,Analysis_exp1_0shot!AI38,Analysis_exp1_0shot!AH38,Analysis_exp1_0shot!AG38,Analysis_exp1_0shot!AF38,Analysis_exp1_0shot!AF35,Analysis_exp1_0shot!AI44,Analysis_exp1_0shot!AJ44,Analysis_exp1_0shot!AJ46,Analysis_exp1_0shot!AJ47,Analysis_exp1_0shot!AJ48,Analysis_exp1_0shot!AI48,Analysis_exp1_0shot!AH44,Analysis_exp1_0shot!AG43:AG44,Analysis_exp1_0shot!AG46:AG48,Analysis_exp1_0shot!AF48)</f>
        <v>0.12593972418424074</v>
      </c>
      <c r="J4" t="s">
        <v>710</v>
      </c>
      <c r="K4" s="46">
        <f>Analysis_exp1_0shot!D24</f>
        <v>0.86633725157851948</v>
      </c>
      <c r="L4" s="46">
        <f>Analysis_exp1_0shot!K24</f>
        <v>0.80690561473843136</v>
      </c>
      <c r="M4" s="46">
        <f>Analysis_exp1_0shot!R24</f>
        <v>0.78997987697634731</v>
      </c>
      <c r="N4" s="46">
        <f>Analysis_exp1_0shot!Y24</f>
        <v>0.50258008658008668</v>
      </c>
      <c r="O4" s="46">
        <f>Analysis_exp1_0shot!AF24</f>
        <v>0.97336167800453499</v>
      </c>
      <c r="P4" s="234">
        <f>Analysis_exp1_0shot!AM24</f>
        <v>288.62666666666667</v>
      </c>
    </row>
    <row r="5" spans="1:16">
      <c r="A5" s="266" t="s">
        <v>717</v>
      </c>
      <c r="B5" s="299">
        <f>AVERAGE(Results_exp1_1shot!S4:S97,Results_exp1_1shot!S100:S103,Results_exp1_1shot!S106:S109,Results_exp1_1shot!S112:S127,Results_exp1_1shot!S130:S175,Results_exp1_1shot!S178:S187,Results_exp1_1shot!S190:S193)</f>
        <v>0.82431712945403102</v>
      </c>
      <c r="C5" s="299">
        <f>AVERAGE(Results_exp1_1shot!Y4:Y97,Results_exp1_1shot!Y100:Y103,Results_exp1_1shot!Y106:Y109,Results_exp1_1shot!Y112:Y127,Results_exp1_1shot!Y130:Y175,Results_exp1_1shot!Y178:Y187,Results_exp1_1shot!Y190:Y193)</f>
        <v>0.83644139110481064</v>
      </c>
      <c r="D5" s="299">
        <f>AVERAGE(Results_exp1_1shot!AE4:AE97,Results_exp1_1shot!AE100:AE103,Results_exp1_1shot!AE106:AE109,Results_exp1_1shot!AE112:AE127,Results_exp1_1shot!AE130:AE175,Results_exp1_1shot!AE178:AE187,Results_exp1_1shot!AE190:AE193)</f>
        <v>0.74165777928885646</v>
      </c>
      <c r="E5" s="299">
        <f>AVERAGE(Results_exp1_1shot!AI4:AI97,Results_exp1_1shot!AI100:AI103,Results_exp1_1shot!AI106:AI109,Results_exp1_1shot!AI112:AI127,Results_exp1_1shot!AI130:AI175,Results_exp1_1shot!AI178:AI187,Results_exp1_1shot!AI190:AI193)</f>
        <v>0.62641535900127254</v>
      </c>
      <c r="F5" s="299">
        <f>AVERAGE(Results_exp1_1shot!AJ4:AJ97,Results_exp1_1shot!AJ100:AJ103,Results_exp1_1shot!AJ106:AJ109,Results_exp1_1shot!AJ112:AJ127,Results_exp1_1shot!AJ130:AJ175,Results_exp1_1shot!AJ178:AJ187,Results_exp1_1shot!AJ190:AJ193)</f>
        <v>0.97104726393481378</v>
      </c>
      <c r="G5" s="267">
        <f>AVERAGE(Analysis_exp1_1shot!AH11:AK25,Analysis_exp1_1shot!AH31:AK42,Analysis_exp1_1shot!AH42:AK52)</f>
        <v>447.19996958637472</v>
      </c>
      <c r="J5" t="s">
        <v>711</v>
      </c>
      <c r="K5" s="46">
        <f>Analysis_exp1_0shot!D40</f>
        <v>0.75396872251901326</v>
      </c>
      <c r="L5" s="46">
        <f>Analysis_exp1_0shot!K40</f>
        <v>0.63750288199914695</v>
      </c>
      <c r="M5" s="46">
        <f>Analysis_exp1_0shot!R40</f>
        <v>0.70139108191088229</v>
      </c>
      <c r="N5" s="46">
        <f>Analysis_exp1_0shot!Y40</f>
        <v>9.5172266498460015E-2</v>
      </c>
      <c r="O5" s="46">
        <f>Analysis_exp1_0shot!AF40</f>
        <v>0.927027027027027</v>
      </c>
      <c r="P5" s="234">
        <f>Analysis_exp1_0shot!AM40</f>
        <v>321.41666666666669</v>
      </c>
    </row>
    <row r="6" spans="1:16">
      <c r="A6" s="268" t="s">
        <v>789</v>
      </c>
      <c r="B6" s="271">
        <f>_xlfn.STDEV.P(Analysis_exp1_1shot!D11:G25,Analysis_exp1_1shot!D31:G42,Analysis_exp1_1shot!D48:G52)</f>
        <v>0.15448800509251626</v>
      </c>
      <c r="C6" s="271">
        <f>_xlfn.STDEV.P(Analysis_exp1_1shot!J11:M25,Analysis_exp1_1shot!J31:M42,Analysis_exp1_1shot!J48:M52)</f>
        <v>0.13478068491039694</v>
      </c>
      <c r="D6" s="271">
        <f>_xlfn.STDEV.P(Analysis_exp1_1shot!P11:S25,Analysis_exp1_1shot!P31:S42,Analysis_exp1_1shot!P48:S52)</f>
        <v>0.21181403958717057</v>
      </c>
      <c r="E6" s="271">
        <f>_xlfn.STDEV.P(Analysis_exp1_1shot!V11:Y25,Analysis_exp1_1shot!V31:Y42,Analysis_exp1_1shot!V48:Y52)</f>
        <v>0.47270757352052717</v>
      </c>
      <c r="F6" s="271">
        <f>_xlfn.STDEV.P(Analysis_exp1_1shot!AB11:AE16,Analysis_exp1_1shot!AC17:AE17,Analysis_exp1_1shot!AB18:AE25,Analysis_exp1_1shot!AB31:AE42,Analysis_exp1_1shot!AB48:AE52)</f>
        <v>7.2267208458571264E-2</v>
      </c>
      <c r="G6" s="268"/>
      <c r="J6" s="5" t="s">
        <v>712</v>
      </c>
      <c r="K6" s="232">
        <f>Analysis_exp1_0shot!D54</f>
        <v>0.60010833950102238</v>
      </c>
      <c r="L6" s="232">
        <f>Analysis_exp1_0shot!K54</f>
        <v>0.50206822146410246</v>
      </c>
      <c r="M6" s="232">
        <f>Analysis_exp1_0shot!R54</f>
        <v>0.47812842530813343</v>
      </c>
      <c r="N6" s="232">
        <f>Analysis_exp1_0shot!Y54</f>
        <v>2.9969623822158384E-2</v>
      </c>
      <c r="O6" s="232">
        <f>Analysis_exp1_0shot!AF54</f>
        <v>0.96153846153846156</v>
      </c>
      <c r="P6" s="251">
        <f>Analysis_exp1_0shot!AM54</f>
        <v>373.4</v>
      </c>
    </row>
    <row r="7" spans="1:16">
      <c r="A7" s="230" t="s">
        <v>718</v>
      </c>
      <c r="B7" s="237">
        <f t="shared" ref="B7:G7" si="1">B5-B3</f>
        <v>4.709490275972561E-2</v>
      </c>
      <c r="C7" s="237">
        <f t="shared" si="1"/>
        <v>0.14605670018003702</v>
      </c>
      <c r="D7" s="237">
        <f t="shared" si="1"/>
        <v>4.137044991470773E-2</v>
      </c>
      <c r="E7" s="237">
        <f t="shared" si="1"/>
        <v>0.35826925191844144</v>
      </c>
      <c r="F7" s="237">
        <f t="shared" si="1"/>
        <v>5.2479943744822011E-3</v>
      </c>
      <c r="G7" s="252">
        <f t="shared" si="1"/>
        <v>131.23633322273838</v>
      </c>
      <c r="J7" s="239" t="s">
        <v>722</v>
      </c>
      <c r="K7" s="46">
        <f>_xlfn.STDEV.S(K4:K6)</f>
        <v>0.13365224615359589</v>
      </c>
      <c r="L7" s="46">
        <f>_xlfn.STDEV.S(L4:L6)</f>
        <v>0.15273379317845084</v>
      </c>
      <c r="M7" s="46">
        <f>_xlfn.STDEV.S(M4:M6)</f>
        <v>0.16069926174485077</v>
      </c>
      <c r="N7" s="46">
        <f>_xlfn.STDEV.S(N4:N6)</f>
        <v>0.25612274595848888</v>
      </c>
      <c r="O7" s="46">
        <f>_xlfn.STDEV.S(O4:O6)</f>
        <v>2.4075324299816986E-2</v>
      </c>
    </row>
    <row r="8" spans="1:16">
      <c r="G8" s="7"/>
      <c r="H8" s="7"/>
      <c r="I8" s="7"/>
    </row>
    <row r="9" spans="1:16">
      <c r="J9" s="235" t="s">
        <v>717</v>
      </c>
      <c r="K9" s="236">
        <f t="shared" ref="K9:P9" si="2">B5</f>
        <v>0.82431712945403102</v>
      </c>
      <c r="L9" s="236">
        <f t="shared" si="2"/>
        <v>0.83644139110481064</v>
      </c>
      <c r="M9" s="236">
        <f t="shared" si="2"/>
        <v>0.74165777928885646</v>
      </c>
      <c r="N9" s="236">
        <f t="shared" si="2"/>
        <v>0.62641535900127254</v>
      </c>
      <c r="O9" s="236">
        <f t="shared" si="2"/>
        <v>0.97104726393481378</v>
      </c>
      <c r="P9" s="251">
        <f t="shared" si="2"/>
        <v>447.19996958637472</v>
      </c>
    </row>
    <row r="10" spans="1:16">
      <c r="A10" s="245" t="s">
        <v>721</v>
      </c>
      <c r="B10" s="75"/>
      <c r="C10" s="75"/>
      <c r="D10" s="75"/>
      <c r="E10" s="75"/>
      <c r="F10" s="75"/>
      <c r="G10" s="7"/>
      <c r="I10" s="7"/>
      <c r="J10" t="s">
        <v>710</v>
      </c>
      <c r="K10" s="247">
        <f>Analysis_exp1_1shot!D27</f>
        <v>0.91028275469647679</v>
      </c>
      <c r="L10" s="247">
        <f>Analysis_exp1_1shot!J27</f>
        <v>0.90164341119836433</v>
      </c>
      <c r="M10" s="247">
        <f>Analysis_exp1_1shot!P27</f>
        <v>0.88151720430851344</v>
      </c>
      <c r="N10" s="247">
        <f>Analysis_exp1_1shot!V27</f>
        <v>0.93493326118326114</v>
      </c>
      <c r="O10" s="247">
        <f>Analysis_exp1_1shot!AB27</f>
        <v>0.98946731234866825</v>
      </c>
      <c r="P10" s="234">
        <f>Analysis_exp1_1shot!AH27</f>
        <v>385.08333333333331</v>
      </c>
    </row>
    <row r="11" spans="1:16">
      <c r="A11" s="238" t="s">
        <v>642</v>
      </c>
      <c r="B11" s="1" t="s">
        <v>590</v>
      </c>
      <c r="C11" s="1" t="s">
        <v>719</v>
      </c>
      <c r="D11" s="1" t="s">
        <v>720</v>
      </c>
      <c r="E11" s="1" t="s">
        <v>724</v>
      </c>
      <c r="F11" s="1" t="s">
        <v>725</v>
      </c>
      <c r="G11" s="7"/>
      <c r="I11" s="7"/>
      <c r="J11" t="s">
        <v>711</v>
      </c>
      <c r="K11" s="46">
        <f>Analysis_exp1_1shot!D44</f>
        <v>0.79480332608772075</v>
      </c>
      <c r="L11" s="46">
        <f>Analysis_exp1_1shot!J44</f>
        <v>0.80015640985106062</v>
      </c>
      <c r="M11" s="46">
        <f>Analysis_exp1_1shot!P44</f>
        <v>0.69199310193719921</v>
      </c>
      <c r="N11" s="46">
        <f>Analysis_exp1_1shot!V44</f>
        <v>0.41570681595724229</v>
      </c>
      <c r="O11" s="46">
        <f>Analysis_exp1_1shot!AB44</f>
        <v>0.98036420708634342</v>
      </c>
      <c r="P11" s="234">
        <f>Analysis_exp1_1shot!AH44</f>
        <v>472.47916666666669</v>
      </c>
    </row>
    <row r="12" spans="1:16">
      <c r="A12" s="233" t="s">
        <v>767</v>
      </c>
      <c r="B12" s="146">
        <f>Analysis_exp1_0shot!D56</f>
        <v>0.77086366065819845</v>
      </c>
      <c r="C12" s="146">
        <f>Analysis_exp1_0shot!K56</f>
        <v>0.66580286180342452</v>
      </c>
      <c r="D12" s="46">
        <f>Analysis_exp1_0shot!R56</f>
        <v>0.68245045087684097</v>
      </c>
      <c r="E12" s="46">
        <f>Analysis_exp1_0shot!Y56</f>
        <v>0.14243654129782496</v>
      </c>
      <c r="F12" s="46">
        <f>Analysis_exp1_0shot!AF56</f>
        <v>1</v>
      </c>
      <c r="J12" s="5" t="s">
        <v>712</v>
      </c>
      <c r="K12" s="232">
        <f>Analysis_exp1_1shot!D59</f>
        <v>0.64150724301847251</v>
      </c>
      <c r="L12" s="232">
        <f>Analysis_exp1_1shot!J59</f>
        <v>0.72035609524728206</v>
      </c>
      <c r="M12" s="232">
        <f>Analysis_exp1_1shot!P59</f>
        <v>0.46539281472269323</v>
      </c>
      <c r="N12" s="232">
        <f>Analysis_exp1_1shot!V59</f>
        <v>0.56962327644305211</v>
      </c>
      <c r="O12" s="232">
        <f>Analysis_exp1_1shot!AB59</f>
        <v>0.9866071428571429</v>
      </c>
      <c r="P12" s="251">
        <f>Analysis_exp1_1shot!AH59</f>
        <v>533.87571839080465</v>
      </c>
    </row>
    <row r="13" spans="1:16">
      <c r="A13" s="233" t="s">
        <v>768</v>
      </c>
      <c r="B13" s="146">
        <f>Analysis_exp1_0shot!E56</f>
        <v>0.76981575038405259</v>
      </c>
      <c r="C13" s="241">
        <f>Analysis_exp1_0shot!L56</f>
        <v>0.69144005175144474</v>
      </c>
      <c r="D13" s="46">
        <f>Analysis_exp1_0shot!S56</f>
        <v>0.6574433629880021</v>
      </c>
      <c r="E13" s="243">
        <f>Analysis_exp1_0shot!Z56</f>
        <v>0.34752948225509978</v>
      </c>
      <c r="F13" s="243">
        <f>Analysis_exp1_0shot!AG56</f>
        <v>0.94001094690749876</v>
      </c>
      <c r="J13" s="239" t="s">
        <v>722</v>
      </c>
      <c r="K13" s="46">
        <f>_xlfn.STDEV.S(K10:K12)</f>
        <v>0.13483042633492778</v>
      </c>
      <c r="L13" s="46">
        <f>_xlfn.STDEV.S(L10:L12)</f>
        <v>9.0859591841915791E-2</v>
      </c>
      <c r="M13" s="46">
        <f>_xlfn.STDEV.S(M10:M12)</f>
        <v>0.20833729989031452</v>
      </c>
      <c r="N13" s="46">
        <f>_xlfn.STDEV.S(N10:N12)</f>
        <v>0.26668888340205821</v>
      </c>
      <c r="O13" s="46">
        <f>_xlfn.STDEV.S(O10:O12)</f>
        <v>4.6551287482293133E-3</v>
      </c>
    </row>
    <row r="14" spans="1:16">
      <c r="A14" s="233" t="s">
        <v>769</v>
      </c>
      <c r="B14" s="146">
        <f>Analysis_exp1_0shot!F56</f>
        <v>0.77583082770882206</v>
      </c>
      <c r="C14" s="146">
        <f>Analysis_exp1_0shot!M56</f>
        <v>0.69466103673909296</v>
      </c>
      <c r="D14" s="46">
        <f>Analysis_exp1_0shot!T56</f>
        <v>0.68791675313061529</v>
      </c>
      <c r="E14" s="46">
        <f>Analysis_exp1_0shot!AA56</f>
        <v>0.2863716766167746</v>
      </c>
      <c r="F14" s="46">
        <f>Analysis_exp1_0shot!AH56</f>
        <v>0.97342995169082125</v>
      </c>
    </row>
    <row r="15" spans="1:16">
      <c r="A15" s="233" t="s">
        <v>770</v>
      </c>
      <c r="B15" s="242">
        <f>Analysis_exp1_0shot!G56</f>
        <v>0.78793104764371547</v>
      </c>
      <c r="C15" s="146">
        <f>Analysis_exp1_0shot!N56</f>
        <v>0.69898137461494825</v>
      </c>
      <c r="D15" s="240">
        <f>Analysis_exp1_0shot!U56</f>
        <v>0.76577029318107181</v>
      </c>
      <c r="E15" s="46">
        <f>Analysis_exp1_0shot!AB56</f>
        <v>0.27206498944548191</v>
      </c>
      <c r="F15" s="46">
        <f>Analysis_exp1_0shot!AI56</f>
        <v>0.95108695652173914</v>
      </c>
    </row>
    <row r="16" spans="1:16">
      <c r="A16" s="231" t="s">
        <v>771</v>
      </c>
      <c r="B16" s="181">
        <f>Analysis_exp1_0shot!H56</f>
        <v>0.78091227131916496</v>
      </c>
      <c r="C16" s="181">
        <f>Analysis_exp1_0shot!O56</f>
        <v>0.69851287718970489</v>
      </c>
      <c r="D16" s="232">
        <f>Analysis_exp1_0shot!V56</f>
        <v>0.7117466685241669</v>
      </c>
      <c r="E16" s="232">
        <f>Analysis_exp1_0shot!AC56</f>
        <v>0.29411037699326842</v>
      </c>
      <c r="F16" s="232">
        <f>Analysis_exp1_0shot!AJ56</f>
        <v>0.94521072796934869</v>
      </c>
      <c r="K16" s="1" t="s">
        <v>710</v>
      </c>
      <c r="L16" s="1" t="s">
        <v>711</v>
      </c>
      <c r="M16" s="1" t="s">
        <v>712</v>
      </c>
    </row>
    <row r="17" spans="1:13">
      <c r="A17" s="239" t="s">
        <v>722</v>
      </c>
      <c r="B17" s="46">
        <f>_xlfn.STDEV.S(B12:B16)</f>
        <v>7.506725913488505E-3</v>
      </c>
      <c r="C17" s="46">
        <f>_xlfn.STDEV.S(C12:C16)</f>
        <v>1.3805454042808571E-2</v>
      </c>
      <c r="D17" s="46">
        <f>_xlfn.STDEV.S(D12:D16)</f>
        <v>4.0997250082270953E-2</v>
      </c>
      <c r="E17" s="46">
        <f>_xlfn.STDEV.S(E12:E16)</f>
        <v>7.6035603561580234E-2</v>
      </c>
      <c r="F17" s="46">
        <f>_xlfn.STDEV.S(F12:F16)</f>
        <v>2.4794771409899809E-2</v>
      </c>
      <c r="J17" s="1" t="s">
        <v>714</v>
      </c>
      <c r="K17" s="234">
        <v>20.352941176470587</v>
      </c>
      <c r="L17" s="234">
        <v>43.833333333333336</v>
      </c>
      <c r="M17" s="234">
        <v>104</v>
      </c>
    </row>
    <row r="18" spans="1:13">
      <c r="J18" s="1" t="s">
        <v>715</v>
      </c>
      <c r="K18" s="234">
        <v>6.7647058823529411</v>
      </c>
      <c r="L18" s="234">
        <v>11.416666666666666</v>
      </c>
      <c r="M18" s="234">
        <v>13.4</v>
      </c>
    </row>
    <row r="19" spans="1:13">
      <c r="G19" s="14"/>
      <c r="J19" s="1" t="s">
        <v>713</v>
      </c>
      <c r="K19" s="234">
        <v>8.0588235294117645</v>
      </c>
      <c r="L19" s="234">
        <v>19.166666666666668</v>
      </c>
      <c r="M19" s="234">
        <v>40.700000000000003</v>
      </c>
    </row>
    <row r="20" spans="1:13">
      <c r="A20" s="238" t="s">
        <v>717</v>
      </c>
      <c r="B20" s="1" t="s">
        <v>590</v>
      </c>
      <c r="C20" s="1" t="s">
        <v>719</v>
      </c>
      <c r="D20" s="1" t="s">
        <v>720</v>
      </c>
      <c r="E20" s="1" t="s">
        <v>724</v>
      </c>
      <c r="F20" s="1" t="s">
        <v>725</v>
      </c>
      <c r="G20" s="14"/>
    </row>
    <row r="21" spans="1:13">
      <c r="A21" s="233" t="s">
        <v>767</v>
      </c>
      <c r="B21" s="242">
        <f>Analysis_exp1_1shot!D62</f>
        <v>0.80850602489403045</v>
      </c>
      <c r="C21" s="46">
        <f>Analysis_exp1_1shot!J62</f>
        <v>0.80113651239728123</v>
      </c>
      <c r="D21" s="46">
        <f>Analysis_exp1_1shot!P62</f>
        <v>0.74578432925515736</v>
      </c>
      <c r="E21" s="46">
        <f>Analysis_exp1_1shot!V62</f>
        <v>0.44347885064923159</v>
      </c>
      <c r="F21" s="46">
        <f>Analysis_exp1_1shot!AB62</f>
        <v>0.97526881720430114</v>
      </c>
      <c r="G21" s="14"/>
    </row>
    <row r="22" spans="1:13">
      <c r="A22" s="233" t="s">
        <v>768</v>
      </c>
      <c r="B22" s="242">
        <f>Analysis_exp1_1shot!E62</f>
        <v>0.82352705292314987</v>
      </c>
      <c r="C22" s="46">
        <f>Analysis_exp1_1shot!K62</f>
        <v>0.81831354275239743</v>
      </c>
      <c r="D22" s="46">
        <f>Analysis_exp1_1shot!Q62</f>
        <v>0.76606635966826375</v>
      </c>
      <c r="E22" s="46">
        <f>Analysis_exp1_1shot!W62</f>
        <v>0.58652280556774838</v>
      </c>
      <c r="F22" s="46">
        <f>Analysis_exp1_1shot!AC62</f>
        <v>0.97864583333333333</v>
      </c>
    </row>
    <row r="23" spans="1:13">
      <c r="A23" s="233" t="s">
        <v>770</v>
      </c>
      <c r="B23" s="242">
        <f>Analysis_exp1_1shot!F62</f>
        <v>0.80470822948511156</v>
      </c>
      <c r="C23" s="46">
        <f>Analysis_exp1_1shot!L62</f>
        <v>0.85429195995399798</v>
      </c>
      <c r="D23" s="46">
        <f>Analysis_exp1_1shot!R62</f>
        <v>0.70310582766464225</v>
      </c>
      <c r="E23" s="46">
        <f>Analysis_exp1_1shot!X62</f>
        <v>0.8580734212234874</v>
      </c>
      <c r="F23" s="46">
        <f>Analysis_exp1_1shot!AD62</f>
        <v>0.9961231203007519</v>
      </c>
    </row>
    <row r="24" spans="1:13">
      <c r="A24" s="231" t="s">
        <v>772</v>
      </c>
      <c r="B24" s="244">
        <f>Analysis_exp1_1shot!G62</f>
        <v>0.85985178038541543</v>
      </c>
      <c r="C24" s="232">
        <f>Analysis_exp1_1shot!M62</f>
        <v>0.86551765917209456</v>
      </c>
      <c r="D24" s="246">
        <f>Analysis_exp1_1shot!S62</f>
        <v>0.76674840359788143</v>
      </c>
      <c r="E24" s="232">
        <f>Analysis_exp1_1shot!Y62</f>
        <v>0.64483154102828266</v>
      </c>
      <c r="F24" s="232">
        <f>Analysis_exp1_1shot!AE62</f>
        <v>0.97229735644257709</v>
      </c>
      <c r="L24" s="174"/>
    </row>
    <row r="25" spans="1:13">
      <c r="A25" s="239" t="s">
        <v>722</v>
      </c>
      <c r="B25" s="46">
        <f>_xlfn.STDEV.S(B21:B24)</f>
        <v>2.5151020997657036E-2</v>
      </c>
      <c r="C25" s="46">
        <f>_xlfn.STDEV.S(C21:C24)</f>
        <v>3.0158160132662027E-2</v>
      </c>
      <c r="D25" s="46">
        <f>_xlfn.STDEV.S(D21:D24)</f>
        <v>2.9842892669020495E-2</v>
      </c>
      <c r="E25" s="46">
        <f>_xlfn.STDEV.S(E21:E24)</f>
        <v>0.17212032658251716</v>
      </c>
      <c r="F25" s="46">
        <f>_xlfn.STDEV.S(F21:F24)</f>
        <v>1.06792693126774E-2</v>
      </c>
      <c r="L25" s="174"/>
    </row>
    <row r="26" spans="1:13">
      <c r="A26" s="239" t="s">
        <v>723</v>
      </c>
      <c r="B26" s="46">
        <f>B24-B23</f>
        <v>5.5143550900303873E-2</v>
      </c>
      <c r="C26" s="46">
        <f>C24-C23</f>
        <v>1.1225699218096574E-2</v>
      </c>
      <c r="D26" s="46">
        <f>D24-D23</f>
        <v>6.3642575933239187E-2</v>
      </c>
      <c r="E26" s="46">
        <f>E24-E23</f>
        <v>-0.21324188019520474</v>
      </c>
      <c r="F26" s="46">
        <f>F24-F23</f>
        <v>-2.3825763858174809E-2</v>
      </c>
      <c r="L26" s="174"/>
    </row>
    <row r="27" spans="1:13">
      <c r="L27" s="174"/>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87753-9A4B-D644-8306-064AB29EDFA2}">
  <dimension ref="A1:BP104"/>
  <sheetViews>
    <sheetView zoomScale="80" zoomScaleNormal="80" workbookViewId="0">
      <pane ySplit="1" topLeftCell="A2" activePane="bottomLeft" state="frozen"/>
      <selection pane="bottomLeft" activeCell="C43" activeCellId="4" sqref="C3:C10 C13:C20 C23:C31 C33:C40 C43:C50"/>
    </sheetView>
  </sheetViews>
  <sheetFormatPr baseColWidth="10" defaultRowHeight="15"/>
  <cols>
    <col min="3" max="3" width="8.33203125" style="76" customWidth="1"/>
    <col min="4" max="4" width="10.5" customWidth="1"/>
    <col min="5" max="5" width="10.33203125" customWidth="1"/>
    <col min="6" max="8" width="9.6640625" customWidth="1"/>
    <col min="9" max="9" width="9.83203125" customWidth="1"/>
    <col min="10" max="10" width="11.6640625" bestFit="1" customWidth="1"/>
    <col min="11" max="11" width="22.5" style="2" hidden="1" customWidth="1"/>
    <col min="12" max="12" width="14.1640625" customWidth="1"/>
    <col min="13" max="13" width="9.6640625" style="115" customWidth="1"/>
    <col min="14" max="15" width="9.6640625" style="81" customWidth="1"/>
    <col min="16" max="17" width="9.6640625" style="125" customWidth="1"/>
    <col min="18" max="18" width="9.6640625" style="82" customWidth="1"/>
    <col min="19" max="19" width="9.6640625" style="115" customWidth="1"/>
    <col min="20" max="21" width="9.6640625" style="81" customWidth="1"/>
    <col min="22" max="23" width="9.6640625" style="125" customWidth="1"/>
    <col min="24" max="24" width="9.6640625" style="82" customWidth="1"/>
    <col min="25" max="25" width="9.6640625" style="115" customWidth="1"/>
    <col min="26" max="27" width="9.6640625" style="81" customWidth="1"/>
    <col min="28" max="29" width="9.6640625" style="125" customWidth="1"/>
    <col min="30" max="30" width="9.6640625" style="82" customWidth="1"/>
    <col min="31" max="31" width="9.6640625" style="115" customWidth="1"/>
    <col min="32" max="33" width="9.6640625" style="81" customWidth="1"/>
    <col min="34" max="34" width="9.6640625" style="82" customWidth="1"/>
    <col min="35" max="35" width="9.6640625" style="81" customWidth="1"/>
    <col min="36" max="36" width="9.6640625" style="81" hidden="1" customWidth="1"/>
    <col min="37" max="37" width="9.6640625" style="115" hidden="1" customWidth="1"/>
    <col min="38" max="38" width="9.6640625" style="122" hidden="1" customWidth="1"/>
    <col min="39" max="39" width="9" style="101" hidden="1" customWidth="1"/>
    <col min="40" max="40" width="7.1640625" hidden="1" customWidth="1"/>
    <col min="41" max="41" width="10.6640625" hidden="1" customWidth="1"/>
    <col min="42" max="43" width="0" style="101" hidden="1" customWidth="1"/>
    <col min="44" max="46" width="0" hidden="1" customWidth="1"/>
    <col min="47" max="47" width="8" style="119" hidden="1" customWidth="1"/>
    <col min="48" max="49" width="0" style="101" hidden="1" customWidth="1"/>
    <col min="50" max="50" width="15.1640625" style="101" hidden="1" customWidth="1"/>
    <col min="51" max="52" width="0" style="101" hidden="1" customWidth="1"/>
    <col min="53" max="53" width="15.1640625" style="85" hidden="1" customWidth="1"/>
    <col min="54" max="54" width="12.6640625" hidden="1" customWidth="1"/>
    <col min="55" max="55" width="0" style="101" hidden="1" customWidth="1"/>
    <col min="56" max="58" width="0" hidden="1" customWidth="1"/>
    <col min="59" max="59" width="26" hidden="1" customWidth="1"/>
    <col min="60" max="60" width="0" hidden="1" customWidth="1"/>
    <col min="62" max="67" width="0" hidden="1" customWidth="1"/>
  </cols>
  <sheetData>
    <row r="1" spans="1:68" s="86" customFormat="1" ht="88" customHeight="1">
      <c r="B1" s="86" t="s">
        <v>311</v>
      </c>
      <c r="C1" s="86" t="s">
        <v>303</v>
      </c>
      <c r="D1" s="86" t="s">
        <v>304</v>
      </c>
      <c r="E1" s="86" t="s">
        <v>362</v>
      </c>
      <c r="F1" s="86" t="s">
        <v>355</v>
      </c>
      <c r="G1" s="86" t="s">
        <v>356</v>
      </c>
      <c r="H1" s="86" t="s">
        <v>372</v>
      </c>
      <c r="I1" s="86" t="s">
        <v>532</v>
      </c>
      <c r="J1" s="86" t="s">
        <v>361</v>
      </c>
      <c r="K1" s="86" t="s">
        <v>310</v>
      </c>
      <c r="L1" s="87" t="s">
        <v>363</v>
      </c>
      <c r="M1" s="113" t="s">
        <v>527</v>
      </c>
      <c r="N1" s="116" t="s">
        <v>522</v>
      </c>
      <c r="O1" s="116" t="s">
        <v>523</v>
      </c>
      <c r="P1" s="116" t="s">
        <v>519</v>
      </c>
      <c r="Q1" s="116" t="s">
        <v>520</v>
      </c>
      <c r="R1" s="88" t="s">
        <v>521</v>
      </c>
      <c r="S1" s="113" t="s">
        <v>526</v>
      </c>
      <c r="T1" s="116" t="s">
        <v>524</v>
      </c>
      <c r="U1" s="116" t="s">
        <v>525</v>
      </c>
      <c r="V1" s="116" t="s">
        <v>519</v>
      </c>
      <c r="W1" s="116" t="s">
        <v>520</v>
      </c>
      <c r="X1" s="88" t="s">
        <v>665</v>
      </c>
      <c r="Y1" s="113" t="s">
        <v>528</v>
      </c>
      <c r="Z1" s="116" t="s">
        <v>533</v>
      </c>
      <c r="AA1" s="116" t="s">
        <v>534</v>
      </c>
      <c r="AB1" s="116" t="s">
        <v>519</v>
      </c>
      <c r="AC1" s="116" t="s">
        <v>520</v>
      </c>
      <c r="AD1" s="88" t="s">
        <v>666</v>
      </c>
      <c r="AE1" s="113" t="s">
        <v>529</v>
      </c>
      <c r="AF1" s="116" t="s">
        <v>531</v>
      </c>
      <c r="AG1" s="116" t="s">
        <v>530</v>
      </c>
      <c r="AH1" s="88" t="s">
        <v>535</v>
      </c>
      <c r="AI1" s="88" t="s">
        <v>520</v>
      </c>
      <c r="AJ1" s="88" t="s">
        <v>521</v>
      </c>
      <c r="AK1" s="113" t="s">
        <v>536</v>
      </c>
      <c r="AL1" s="117" t="s">
        <v>354</v>
      </c>
      <c r="AM1" s="117" t="s">
        <v>357</v>
      </c>
      <c r="AN1" s="88" t="s">
        <v>370</v>
      </c>
      <c r="AO1" s="88" t="s">
        <v>368</v>
      </c>
      <c r="AP1" s="117" t="s">
        <v>384</v>
      </c>
      <c r="AQ1" s="117" t="s">
        <v>385</v>
      </c>
      <c r="AR1" s="88" t="s">
        <v>367</v>
      </c>
      <c r="AS1" s="88" t="s">
        <v>413</v>
      </c>
      <c r="AT1" s="88" t="s">
        <v>369</v>
      </c>
      <c r="AU1" s="117" t="s">
        <v>373</v>
      </c>
      <c r="AV1" s="123" t="s">
        <v>518</v>
      </c>
      <c r="AW1" s="123"/>
      <c r="AX1" s="117" t="s">
        <v>517</v>
      </c>
      <c r="AY1" s="117" t="s">
        <v>386</v>
      </c>
      <c r="AZ1" s="117" t="s">
        <v>414</v>
      </c>
      <c r="BA1" s="112" t="s">
        <v>415</v>
      </c>
      <c r="BB1" s="89" t="s">
        <v>364</v>
      </c>
      <c r="BC1" s="117" t="s">
        <v>365</v>
      </c>
      <c r="BD1" s="90" t="s">
        <v>371</v>
      </c>
      <c r="BE1" s="117" t="s">
        <v>416</v>
      </c>
      <c r="BF1" s="117" t="s">
        <v>408</v>
      </c>
      <c r="BG1" s="86" t="s">
        <v>366</v>
      </c>
      <c r="BH1" s="86" t="s">
        <v>358</v>
      </c>
      <c r="BJ1" s="86" t="s">
        <v>353</v>
      </c>
      <c r="BK1" s="86" t="s">
        <v>348</v>
      </c>
      <c r="BL1" s="86" t="s">
        <v>349</v>
      </c>
      <c r="BM1" s="86" t="s">
        <v>350</v>
      </c>
      <c r="BN1" s="86" t="s">
        <v>351</v>
      </c>
      <c r="BO1" s="86" t="s">
        <v>352</v>
      </c>
    </row>
    <row r="2" spans="1:68" s="75" customFormat="1">
      <c r="A2" s="73" t="s">
        <v>344</v>
      </c>
      <c r="B2" s="95">
        <v>45204</v>
      </c>
      <c r="C2" s="198" t="s">
        <v>170</v>
      </c>
      <c r="D2" s="78">
        <f>VLOOKUP($C$2,Overview!$Q$2:$AS$64,23,FALSE)</f>
        <v>5.4716830818645583</v>
      </c>
      <c r="E2" s="78" t="str">
        <f>VLOOKUP($C$2,Overview!$Q$2:$AS$64,24,FALSE)</f>
        <v>high</v>
      </c>
      <c r="F2" s="75">
        <f>VLOOKUP(C2,Overview!$Q$2:$AS$64,13,FALSE)</f>
        <v>116</v>
      </c>
      <c r="G2" s="75">
        <f>VLOOKUP(C2,Overview!$Q$2:$AS$64,16,FALSE)</f>
        <v>15</v>
      </c>
      <c r="H2" s="75">
        <f>VLOOKUP(C2,Overview!$Q$2:$AS$64,18,FALSE)</f>
        <v>49</v>
      </c>
      <c r="I2" s="75">
        <f>VLOOKUP($C$2,Overview!$Q$2:$AS$64,19,FALSE)</f>
        <v>111</v>
      </c>
      <c r="K2" s="96"/>
      <c r="M2" s="115"/>
      <c r="N2" s="97"/>
      <c r="O2" s="97"/>
      <c r="P2" s="130"/>
      <c r="Q2" s="130"/>
      <c r="R2" s="128"/>
      <c r="S2" s="115"/>
      <c r="T2" s="97"/>
      <c r="U2" s="97"/>
      <c r="V2" s="130"/>
      <c r="W2" s="130"/>
      <c r="X2" s="128"/>
      <c r="Y2" s="115"/>
      <c r="Z2" s="97"/>
      <c r="AA2" s="97"/>
      <c r="AB2" s="130"/>
      <c r="AC2" s="130"/>
      <c r="AD2" s="128"/>
      <c r="AE2" s="115"/>
      <c r="AF2" s="97"/>
      <c r="AG2" s="97"/>
      <c r="AH2" s="128"/>
      <c r="AI2" s="132"/>
      <c r="AJ2" s="97"/>
      <c r="AK2" s="115"/>
      <c r="AL2" s="122"/>
      <c r="AM2" s="101"/>
      <c r="AP2" s="101"/>
      <c r="AQ2" s="101"/>
      <c r="AU2" s="119"/>
      <c r="AV2" s="101"/>
      <c r="AW2" s="101"/>
      <c r="AX2" s="101"/>
      <c r="AY2" s="101"/>
      <c r="AZ2" s="101"/>
      <c r="BA2" s="83"/>
      <c r="BC2" s="101"/>
    </row>
    <row r="3" spans="1:68">
      <c r="A3" t="s">
        <v>305</v>
      </c>
      <c r="C3" s="98"/>
      <c r="J3" s="77" t="s">
        <v>672</v>
      </c>
      <c r="K3" s="174"/>
      <c r="L3" s="77"/>
      <c r="N3" s="81">
        <f>O3-8</f>
        <v>40</v>
      </c>
      <c r="O3" s="81">
        <f>$F$2-68</f>
        <v>48</v>
      </c>
      <c r="P3" s="129">
        <f t="shared" ref="P3:P10" si="0">N3/$F$2</f>
        <v>0.34482758620689657</v>
      </c>
      <c r="Q3" s="129">
        <f t="shared" ref="Q3:Q10" si="1">N3/O3</f>
        <v>0.83333333333333337</v>
      </c>
      <c r="R3" s="127">
        <f t="shared" ref="R3:R10" si="2">2*(P3*Q3)/(P3+Q3)</f>
        <v>0.48780487804878059</v>
      </c>
      <c r="T3" s="81">
        <f>U3-4</f>
        <v>7</v>
      </c>
      <c r="U3" s="81">
        <f>$G$2-4</f>
        <v>11</v>
      </c>
      <c r="V3" s="129">
        <f t="shared" ref="V3:V10" si="3">T3/$G$2</f>
        <v>0.46666666666666667</v>
      </c>
      <c r="W3" s="129">
        <f t="shared" ref="W3:W10" si="4">T3/U3</f>
        <v>0.63636363636363635</v>
      </c>
      <c r="X3" s="127">
        <f t="shared" ref="X3:X10" si="5">2*(V3*W3)/(V3+W3)</f>
        <v>0.53846153846153855</v>
      </c>
      <c r="Z3" s="81">
        <f>AA3-17</f>
        <v>26</v>
      </c>
      <c r="AA3" s="81">
        <f>$I$2-68</f>
        <v>43</v>
      </c>
      <c r="AB3" s="129">
        <f t="shared" ref="AB3:AB10" si="6">Z3/$I$2</f>
        <v>0.23423423423423423</v>
      </c>
      <c r="AC3" s="129">
        <f t="shared" ref="AC3:AC10" si="7">Z3/AA3</f>
        <v>0.60465116279069764</v>
      </c>
      <c r="AD3" s="127">
        <f t="shared" ref="AD3:AD10" si="8">2*(AB3*AC3)/(AB3+AC3)</f>
        <v>0.33766233766233761</v>
      </c>
      <c r="AF3" s="81">
        <f>AG3-0</f>
        <v>1</v>
      </c>
      <c r="AG3" s="81">
        <v>1</v>
      </c>
      <c r="AH3" s="127">
        <f t="shared" ref="AH3:AH10" si="9">AF3/$H$2</f>
        <v>2.0408163265306121E-2</v>
      </c>
      <c r="AI3" s="127">
        <f>AF3/AG3</f>
        <v>1</v>
      </c>
      <c r="AV3" s="101">
        <f>($F$2-M3)/$F$2</f>
        <v>1</v>
      </c>
      <c r="AX3" s="101">
        <f>($G$2-AM3)/$G$2</f>
        <v>1</v>
      </c>
      <c r="AY3" s="101" t="e">
        <f>AQ3/AP3</f>
        <v>#DIV/0!</v>
      </c>
      <c r="AZ3" s="101" t="e">
        <f>AS3/AR3</f>
        <v>#DIV/0!</v>
      </c>
      <c r="BA3" s="85" t="e">
        <f>(AV3+AX3+AY3+AZ3)/4</f>
        <v>#DIV/0!</v>
      </c>
      <c r="BB3" s="13">
        <f>AO3/$H$2</f>
        <v>0</v>
      </c>
      <c r="BC3" s="118" t="e">
        <f>AU3/AO3</f>
        <v>#DIV/0!</v>
      </c>
      <c r="BD3" s="13" t="e">
        <f>AN3/AO3</f>
        <v>#DIV/0!</v>
      </c>
      <c r="BE3" s="13">
        <f>AS3/$H$2</f>
        <v>0</v>
      </c>
      <c r="BF3" s="13">
        <f>AQ3/$H$2</f>
        <v>0</v>
      </c>
      <c r="BP3" t="str">
        <f>_xlfn.CONCAT($C$2," &amp; ",C3," &amp; ",P3," &amp; ",Q3," &amp; ",R3," &amp; ",V3," &amp; ",W3," &amp; ",X3," &amp; ",AB3," &amp; ",AC3," &amp; ",AD3," &amp; ",AF3," &amp; ",AG3," &amp; ",AH3," &amp; ",AI3, " \\ \hline")</f>
        <v>10-2 &amp;  &amp; 0.344827586206897 &amp; 0.833333333333333 &amp; 0.487804878048781 &amp; 0.466666666666667 &amp; 0.636363636363636 &amp; 0.538461538461539 &amp; 0.234234234234234 &amp; 0.604651162790698 &amp; 0.337662337662338 &amp; 1 &amp; 1 &amp; 0.0204081632653061 &amp; 1 \\ \hline</v>
      </c>
    </row>
    <row r="4" spans="1:68">
      <c r="A4" t="s">
        <v>306</v>
      </c>
      <c r="C4" s="98"/>
      <c r="J4" s="77" t="s">
        <v>672</v>
      </c>
      <c r="K4" s="174"/>
      <c r="L4" s="77"/>
      <c r="N4" s="81">
        <f>O4-9</f>
        <v>34</v>
      </c>
      <c r="O4" s="81">
        <f>$F$2-73</f>
        <v>43</v>
      </c>
      <c r="P4" s="129">
        <f t="shared" si="0"/>
        <v>0.29310344827586204</v>
      </c>
      <c r="Q4" s="129">
        <f t="shared" si="1"/>
        <v>0.79069767441860461</v>
      </c>
      <c r="R4" s="127">
        <f t="shared" si="2"/>
        <v>0.42767295597484273</v>
      </c>
      <c r="T4" s="81">
        <f>U4-4</f>
        <v>4</v>
      </c>
      <c r="U4" s="81">
        <f>$G$2-7</f>
        <v>8</v>
      </c>
      <c r="V4" s="129">
        <f t="shared" si="3"/>
        <v>0.26666666666666666</v>
      </c>
      <c r="W4" s="129">
        <f t="shared" si="4"/>
        <v>0.5</v>
      </c>
      <c r="X4" s="127">
        <f t="shared" si="5"/>
        <v>0.34782608695652178</v>
      </c>
      <c r="Z4" s="81">
        <f>AA4-22</f>
        <v>16</v>
      </c>
      <c r="AA4" s="81">
        <f>$I$2-73</f>
        <v>38</v>
      </c>
      <c r="AB4" s="129">
        <f t="shared" si="6"/>
        <v>0.14414414414414414</v>
      </c>
      <c r="AC4" s="129">
        <f t="shared" si="7"/>
        <v>0.42105263157894735</v>
      </c>
      <c r="AD4" s="127">
        <f t="shared" si="8"/>
        <v>0.21476510067114093</v>
      </c>
      <c r="AF4" s="81">
        <f t="shared" ref="AF4:AF10" si="10">AG4-0</f>
        <v>1</v>
      </c>
      <c r="AG4" s="81">
        <v>1</v>
      </c>
      <c r="AH4" s="127">
        <f t="shared" si="9"/>
        <v>2.0408163265306121E-2</v>
      </c>
      <c r="AI4" s="127">
        <f t="shared" ref="AI4:AI9" si="11">AF4/AG4</f>
        <v>1</v>
      </c>
      <c r="AV4" s="101">
        <f>($F$2-M4)/$F$2</f>
        <v>1</v>
      </c>
      <c r="AX4" s="101">
        <f>($G$2-AM4)/$G$2</f>
        <v>1</v>
      </c>
      <c r="AY4" s="101" t="e">
        <f>AQ4/AP4</f>
        <v>#DIV/0!</v>
      </c>
      <c r="AZ4" s="101" t="e">
        <f>AS4/AR4</f>
        <v>#DIV/0!</v>
      </c>
      <c r="BA4" s="85" t="e">
        <f>(AV4+AX4+AY4+AZ4)/4</f>
        <v>#DIV/0!</v>
      </c>
      <c r="BB4" s="13">
        <f>AO4/$H$2</f>
        <v>0</v>
      </c>
      <c r="BC4" s="118" t="e">
        <f>AU4/AO4</f>
        <v>#DIV/0!</v>
      </c>
      <c r="BD4" s="13" t="e">
        <f>AN4/AO4</f>
        <v>#DIV/0!</v>
      </c>
      <c r="BE4" s="13">
        <f>AS4/$H$2</f>
        <v>0</v>
      </c>
      <c r="BF4" s="13">
        <f>AQ4/$H$2</f>
        <v>0</v>
      </c>
      <c r="BP4" t="str">
        <f t="shared" ref="BP4:BP10" si="12">_xlfn.CONCAT($C$2," &amp; ",C4," &amp; ",P4," &amp; ",Q4," &amp; ",R4," &amp; ",V4," &amp; ",W4," &amp; ",X4," &amp; ",AB4," &amp; ",AC4," &amp; ",AD4," &amp; ",AF4," &amp; ",AG4," &amp; ",AH4," &amp; ",AI4, " \\ \hline")</f>
        <v>10-2 &amp;  &amp; 0.293103448275862 &amp; 0.790697674418605 &amp; 0.427672955974843 &amp; 0.266666666666667 &amp; 0.5 &amp; 0.347826086956522 &amp; 0.144144144144144 &amp; 0.421052631578947 &amp; 0.214765100671141 &amp; 1 &amp; 1 &amp; 0.0204081632653061 &amp; 1 \\ \hline</v>
      </c>
    </row>
    <row r="5" spans="1:68">
      <c r="A5" t="s">
        <v>307</v>
      </c>
      <c r="C5" s="98"/>
      <c r="J5" s="77" t="s">
        <v>671</v>
      </c>
      <c r="K5" s="174"/>
      <c r="L5" s="77"/>
      <c r="N5" s="81">
        <f>O5-18</f>
        <v>67</v>
      </c>
      <c r="O5" s="81">
        <f>$F$2-31</f>
        <v>85</v>
      </c>
      <c r="P5" s="129">
        <f t="shared" si="0"/>
        <v>0.57758620689655171</v>
      </c>
      <c r="Q5" s="129">
        <f t="shared" si="1"/>
        <v>0.78823529411764703</v>
      </c>
      <c r="R5" s="127">
        <f t="shared" si="2"/>
        <v>0.66666666666666663</v>
      </c>
      <c r="T5" s="81">
        <f>U5-4</f>
        <v>8</v>
      </c>
      <c r="U5" s="81">
        <f>$G$2-3</f>
        <v>12</v>
      </c>
      <c r="V5" s="129">
        <f t="shared" si="3"/>
        <v>0.53333333333333333</v>
      </c>
      <c r="W5" s="129">
        <f t="shared" si="4"/>
        <v>0.66666666666666663</v>
      </c>
      <c r="X5" s="127">
        <f t="shared" si="5"/>
        <v>0.59259259259259256</v>
      </c>
      <c r="Z5" s="81">
        <f>AA5-27</f>
        <v>53</v>
      </c>
      <c r="AA5" s="81">
        <f>$I$2-31</f>
        <v>80</v>
      </c>
      <c r="AB5" s="129">
        <f t="shared" si="6"/>
        <v>0.47747747747747749</v>
      </c>
      <c r="AC5" s="129">
        <f t="shared" si="7"/>
        <v>0.66249999999999998</v>
      </c>
      <c r="AD5" s="127">
        <f t="shared" si="8"/>
        <v>0.55497382198952883</v>
      </c>
      <c r="AF5" s="81">
        <f t="shared" si="10"/>
        <v>1</v>
      </c>
      <c r="AG5" s="81">
        <v>1</v>
      </c>
      <c r="AH5" s="127">
        <f t="shared" si="9"/>
        <v>2.0408163265306121E-2</v>
      </c>
      <c r="AI5" s="127">
        <f t="shared" si="11"/>
        <v>1</v>
      </c>
      <c r="AV5" s="101">
        <f>($F$2-M5)/$F$2</f>
        <v>1</v>
      </c>
      <c r="AX5" s="101">
        <f>($G$2-AM5)/$G$2</f>
        <v>1</v>
      </c>
      <c r="AY5" s="101" t="e">
        <f>AQ5/AP5</f>
        <v>#DIV/0!</v>
      </c>
      <c r="AZ5" s="101" t="e">
        <f>AS5/AR5</f>
        <v>#DIV/0!</v>
      </c>
      <c r="BA5" s="85" t="e">
        <f>(AV5+AX5+AY5+AZ5)/4</f>
        <v>#DIV/0!</v>
      </c>
      <c r="BB5" s="13">
        <f>AO5/$H$2</f>
        <v>0</v>
      </c>
      <c r="BC5" s="118" t="e">
        <f>AU5/AO5</f>
        <v>#DIV/0!</v>
      </c>
      <c r="BD5" s="13" t="e">
        <f>AN5/AO5</f>
        <v>#DIV/0!</v>
      </c>
      <c r="BE5" s="13">
        <f>AS5/$H$2</f>
        <v>0</v>
      </c>
      <c r="BF5" s="13">
        <f>AQ5/$H$2</f>
        <v>0</v>
      </c>
      <c r="BP5" t="str">
        <f t="shared" si="12"/>
        <v>10-2 &amp;  &amp; 0.577586206896552 &amp; 0.788235294117647 &amp; 0.666666666666667 &amp; 0.533333333333333 &amp; 0.666666666666667 &amp; 0.592592592592593 &amp; 0.477477477477477 &amp; 0.6625 &amp; 0.554973821989529 &amp; 1 &amp; 1 &amp; 0.0204081632653061 &amp; 1 \\ \hline</v>
      </c>
    </row>
    <row r="6" spans="1:68">
      <c r="A6" t="s">
        <v>308</v>
      </c>
      <c r="C6" s="98"/>
      <c r="J6" s="77" t="s">
        <v>671</v>
      </c>
      <c r="K6" s="174"/>
      <c r="L6" s="77"/>
      <c r="N6" s="81">
        <f>O6-18</f>
        <v>79</v>
      </c>
      <c r="O6" s="81">
        <f>$F$2-19</f>
        <v>97</v>
      </c>
      <c r="P6" s="129">
        <f t="shared" si="0"/>
        <v>0.68103448275862066</v>
      </c>
      <c r="Q6" s="129">
        <f t="shared" si="1"/>
        <v>0.81443298969072164</v>
      </c>
      <c r="R6" s="127">
        <f t="shared" si="2"/>
        <v>0.74178403755868538</v>
      </c>
      <c r="T6" s="81">
        <f>U6-3</f>
        <v>11</v>
      </c>
      <c r="U6" s="81">
        <f>$G$2-1</f>
        <v>14</v>
      </c>
      <c r="V6" s="129">
        <f t="shared" si="3"/>
        <v>0.73333333333333328</v>
      </c>
      <c r="W6" s="129">
        <f t="shared" si="4"/>
        <v>0.7857142857142857</v>
      </c>
      <c r="X6" s="127">
        <f t="shared" si="5"/>
        <v>0.75862068965517238</v>
      </c>
      <c r="Z6" s="81">
        <f>AA6-24</f>
        <v>68</v>
      </c>
      <c r="AA6" s="81">
        <f>$I$2-19</f>
        <v>92</v>
      </c>
      <c r="AB6" s="129">
        <f t="shared" si="6"/>
        <v>0.61261261261261257</v>
      </c>
      <c r="AC6" s="129">
        <f t="shared" si="7"/>
        <v>0.73913043478260865</v>
      </c>
      <c r="AD6" s="127">
        <f t="shared" si="8"/>
        <v>0.66995073891625612</v>
      </c>
      <c r="AF6" s="81">
        <f t="shared" si="10"/>
        <v>0</v>
      </c>
      <c r="AG6" s="81">
        <v>0</v>
      </c>
      <c r="AH6" s="127">
        <f t="shared" si="9"/>
        <v>0</v>
      </c>
      <c r="AI6" s="127">
        <v>0</v>
      </c>
      <c r="AV6" s="101">
        <f>($F$2-M6)/$F$2</f>
        <v>1</v>
      </c>
      <c r="AX6" s="101">
        <f>($G$2-AM6)/$G$2</f>
        <v>1</v>
      </c>
      <c r="AY6" s="101" t="e">
        <f>AQ6/AP6</f>
        <v>#DIV/0!</v>
      </c>
      <c r="AZ6" s="101" t="e">
        <f>AS6/AR6</f>
        <v>#DIV/0!</v>
      </c>
      <c r="BA6" s="85" t="e">
        <f>(AV6+AX6+AY6+AZ6)/4</f>
        <v>#DIV/0!</v>
      </c>
      <c r="BB6" s="13">
        <f>AO6/$H$2</f>
        <v>0</v>
      </c>
      <c r="BC6" s="118" t="e">
        <f>AU6/AO6</f>
        <v>#DIV/0!</v>
      </c>
      <c r="BD6" s="13" t="e">
        <f>AN6/AO6</f>
        <v>#DIV/0!</v>
      </c>
      <c r="BE6" s="13">
        <f>AS6/$H$2</f>
        <v>0</v>
      </c>
      <c r="BF6" s="13">
        <f>AQ6/$H$2</f>
        <v>0</v>
      </c>
      <c r="BP6" t="str">
        <f t="shared" si="12"/>
        <v>10-2 &amp;  &amp; 0.681034482758621 &amp; 0.814432989690722 &amp; 0.741784037558685 &amp; 0.733333333333333 &amp; 0.785714285714286 &amp; 0.758620689655172 &amp; 0.612612612612613 &amp; 0.739130434782609 &amp; 0.669950738916256 &amp; 0 &amp; 0 &amp; 0 &amp; 0 \\ \hline</v>
      </c>
    </row>
    <row r="7" spans="1:68">
      <c r="A7" t="s">
        <v>309</v>
      </c>
      <c r="C7" s="98"/>
      <c r="J7" s="77" t="s">
        <v>673</v>
      </c>
      <c r="K7" s="174"/>
      <c r="L7" s="77"/>
      <c r="N7" s="81">
        <f>O7-4</f>
        <v>44</v>
      </c>
      <c r="O7" s="81">
        <f>$F$2-68</f>
        <v>48</v>
      </c>
      <c r="P7" s="129">
        <f t="shared" si="0"/>
        <v>0.37931034482758619</v>
      </c>
      <c r="Q7" s="129">
        <f t="shared" si="1"/>
        <v>0.91666666666666663</v>
      </c>
      <c r="R7" s="127">
        <f t="shared" si="2"/>
        <v>0.53658536585365857</v>
      </c>
      <c r="T7" s="81">
        <f>U7-2</f>
        <v>7</v>
      </c>
      <c r="U7" s="81">
        <f>$G$2-6</f>
        <v>9</v>
      </c>
      <c r="V7" s="129">
        <f t="shared" si="3"/>
        <v>0.46666666666666667</v>
      </c>
      <c r="W7" s="129">
        <f t="shared" si="4"/>
        <v>0.77777777777777779</v>
      </c>
      <c r="X7" s="127">
        <f t="shared" si="5"/>
        <v>0.58333333333333337</v>
      </c>
      <c r="Z7" s="81">
        <f>AA7-14</f>
        <v>34</v>
      </c>
      <c r="AA7" s="81">
        <f>$I$2-63</f>
        <v>48</v>
      </c>
      <c r="AB7" s="129">
        <f t="shared" si="6"/>
        <v>0.30630630630630629</v>
      </c>
      <c r="AC7" s="129">
        <f t="shared" si="7"/>
        <v>0.70833333333333337</v>
      </c>
      <c r="AD7" s="127">
        <f t="shared" si="8"/>
        <v>0.42767295597484273</v>
      </c>
      <c r="AF7" s="81">
        <f t="shared" si="10"/>
        <v>6</v>
      </c>
      <c r="AG7" s="81">
        <v>6</v>
      </c>
      <c r="AH7" s="127">
        <f t="shared" si="9"/>
        <v>0.12244897959183673</v>
      </c>
      <c r="AI7" s="127">
        <f t="shared" si="11"/>
        <v>1</v>
      </c>
      <c r="AV7" s="101">
        <f>($F$2-M7)/$F$2</f>
        <v>1</v>
      </c>
      <c r="AX7" s="101">
        <f>($G$2-AM7)/$G$2</f>
        <v>1</v>
      </c>
      <c r="AY7" s="101" t="e">
        <f>AQ7/AP7</f>
        <v>#DIV/0!</v>
      </c>
      <c r="AZ7" s="101" t="e">
        <f>AS7/AR7</f>
        <v>#DIV/0!</v>
      </c>
      <c r="BA7" s="85" t="e">
        <f>(AV7+AX7+AY7+AZ7)/4</f>
        <v>#DIV/0!</v>
      </c>
      <c r="BB7" s="13">
        <f>AO7/$H$2</f>
        <v>0</v>
      </c>
      <c r="BC7" s="118" t="e">
        <f>AU7/AO7</f>
        <v>#DIV/0!</v>
      </c>
      <c r="BD7" s="13" t="e">
        <f>AN7/AO7</f>
        <v>#DIV/0!</v>
      </c>
      <c r="BE7" s="13">
        <f>AS7/$H$2</f>
        <v>0</v>
      </c>
      <c r="BF7" s="13">
        <f>AQ7/$H$2</f>
        <v>0</v>
      </c>
      <c r="BP7" t="str">
        <f t="shared" si="12"/>
        <v>10-2 &amp;  &amp; 0.379310344827586 &amp; 0.916666666666667 &amp; 0.536585365853659 &amp; 0.466666666666667 &amp; 0.777777777777778 &amp; 0.583333333333333 &amp; 0.306306306306306 &amp; 0.708333333333333 &amp; 0.427672955974843 &amp; 6 &amp; 6 &amp; 0.122448979591837 &amp; 1 \\ \hline</v>
      </c>
    </row>
    <row r="8" spans="1:68">
      <c r="A8" t="s">
        <v>667</v>
      </c>
      <c r="C8" s="98"/>
      <c r="J8" s="77" t="s">
        <v>673</v>
      </c>
      <c r="K8" s="174"/>
      <c r="L8" s="77"/>
      <c r="N8" s="81">
        <f>O8-5</f>
        <v>49</v>
      </c>
      <c r="O8" s="81">
        <f>$F$2-62</f>
        <v>54</v>
      </c>
      <c r="P8" s="129">
        <f t="shared" si="0"/>
        <v>0.42241379310344829</v>
      </c>
      <c r="Q8" s="129">
        <f t="shared" si="1"/>
        <v>0.90740740740740744</v>
      </c>
      <c r="R8" s="127">
        <f t="shared" si="2"/>
        <v>0.57647058823529407</v>
      </c>
      <c r="T8" s="81">
        <f>U8-3</f>
        <v>7</v>
      </c>
      <c r="U8" s="81">
        <f>$G$2-5</f>
        <v>10</v>
      </c>
      <c r="V8" s="129">
        <f t="shared" si="3"/>
        <v>0.46666666666666667</v>
      </c>
      <c r="W8" s="129">
        <f t="shared" si="4"/>
        <v>0.7</v>
      </c>
      <c r="X8" s="127">
        <f t="shared" si="5"/>
        <v>0.56000000000000005</v>
      </c>
      <c r="Z8" s="81">
        <f>AA8-19</f>
        <v>35</v>
      </c>
      <c r="AA8" s="81">
        <f>$I$2-57</f>
        <v>54</v>
      </c>
      <c r="AB8" s="129">
        <f t="shared" si="6"/>
        <v>0.31531531531531531</v>
      </c>
      <c r="AC8" s="129">
        <f t="shared" si="7"/>
        <v>0.64814814814814814</v>
      </c>
      <c r="AD8" s="127">
        <f t="shared" si="8"/>
        <v>0.42424242424242425</v>
      </c>
      <c r="AF8" s="81">
        <f t="shared" si="10"/>
        <v>2</v>
      </c>
      <c r="AG8" s="81">
        <v>2</v>
      </c>
      <c r="AH8" s="127">
        <f t="shared" si="9"/>
        <v>4.0816326530612242E-2</v>
      </c>
      <c r="AI8" s="127">
        <f t="shared" si="11"/>
        <v>1</v>
      </c>
      <c r="BB8" s="13"/>
      <c r="BC8" s="118"/>
      <c r="BD8" s="13"/>
      <c r="BE8" s="13"/>
      <c r="BF8" s="13"/>
      <c r="BP8" t="str">
        <f t="shared" si="12"/>
        <v>10-2 &amp;  &amp; 0.422413793103448 &amp; 0.907407407407407 &amp; 0.576470588235294 &amp; 0.466666666666667 &amp; 0.7 &amp; 0.56 &amp; 0.315315315315315 &amp; 0.648148148148148 &amp; 0.424242424242424 &amp; 2 &amp; 2 &amp; 0.0408163265306122 &amp; 1 \\ \hline</v>
      </c>
    </row>
    <row r="9" spans="1:68">
      <c r="A9" t="s">
        <v>668</v>
      </c>
      <c r="C9" s="98"/>
      <c r="J9" s="77" t="s">
        <v>670</v>
      </c>
      <c r="K9" s="174"/>
      <c r="L9" s="77"/>
      <c r="N9" s="81">
        <f>O9-11</f>
        <v>56</v>
      </c>
      <c r="O9" s="81">
        <f>$F$2-49</f>
        <v>67</v>
      </c>
      <c r="P9" s="129">
        <f t="shared" si="0"/>
        <v>0.48275862068965519</v>
      </c>
      <c r="Q9" s="129">
        <f t="shared" si="1"/>
        <v>0.83582089552238803</v>
      </c>
      <c r="R9" s="127">
        <f t="shared" si="2"/>
        <v>0.61202185792349728</v>
      </c>
      <c r="T9" s="81">
        <f>U9-3</f>
        <v>9</v>
      </c>
      <c r="U9" s="81">
        <f>$G$2-3</f>
        <v>12</v>
      </c>
      <c r="V9" s="129">
        <f t="shared" si="3"/>
        <v>0.6</v>
      </c>
      <c r="W9" s="129">
        <f t="shared" si="4"/>
        <v>0.75</v>
      </c>
      <c r="X9" s="127">
        <f t="shared" si="5"/>
        <v>0.66666666666666652</v>
      </c>
      <c r="Z9" s="81">
        <f>AA9-12</f>
        <v>55</v>
      </c>
      <c r="AA9" s="81">
        <f>$I$2-44</f>
        <v>67</v>
      </c>
      <c r="AB9" s="129">
        <f t="shared" si="6"/>
        <v>0.49549549549549549</v>
      </c>
      <c r="AC9" s="129">
        <f t="shared" si="7"/>
        <v>0.82089552238805974</v>
      </c>
      <c r="AD9" s="127">
        <f t="shared" si="8"/>
        <v>0.61797752808988771</v>
      </c>
      <c r="AF9" s="81">
        <f>AG9-1</f>
        <v>6</v>
      </c>
      <c r="AG9" s="81">
        <v>7</v>
      </c>
      <c r="AH9" s="127">
        <f t="shared" si="9"/>
        <v>0.12244897959183673</v>
      </c>
      <c r="AI9" s="127">
        <f t="shared" si="11"/>
        <v>0.8571428571428571</v>
      </c>
      <c r="BB9" s="13"/>
      <c r="BC9" s="118"/>
      <c r="BD9" s="13"/>
      <c r="BE9" s="13"/>
      <c r="BF9" s="13"/>
      <c r="BP9" t="str">
        <f t="shared" si="12"/>
        <v>10-2 &amp;  &amp; 0.482758620689655 &amp; 0.835820895522388 &amp; 0.612021857923497 &amp; 0.6 &amp; 0.75 &amp; 0.666666666666667 &amp; 0.495495495495495 &amp; 0.82089552238806 &amp; 0.617977528089888 &amp; 6 &amp; 7 &amp; 0.122448979591837 &amp; 0.857142857142857 \\ \hline</v>
      </c>
    </row>
    <row r="10" spans="1:68">
      <c r="A10" t="s">
        <v>669</v>
      </c>
      <c r="C10" s="98"/>
      <c r="J10" s="77" t="s">
        <v>670</v>
      </c>
      <c r="K10" s="174"/>
      <c r="L10" s="77"/>
      <c r="N10" s="81">
        <f>O10-12</f>
        <v>65</v>
      </c>
      <c r="O10" s="81">
        <f>$F$2-39</f>
        <v>77</v>
      </c>
      <c r="P10" s="129">
        <f t="shared" si="0"/>
        <v>0.56034482758620685</v>
      </c>
      <c r="Q10" s="129">
        <f t="shared" si="1"/>
        <v>0.8441558441558441</v>
      </c>
      <c r="R10" s="127">
        <f t="shared" si="2"/>
        <v>0.67357512953367871</v>
      </c>
      <c r="T10" s="81">
        <f>U10-3</f>
        <v>10</v>
      </c>
      <c r="U10" s="81">
        <f>$G$2-2</f>
        <v>13</v>
      </c>
      <c r="V10" s="129">
        <f t="shared" si="3"/>
        <v>0.66666666666666663</v>
      </c>
      <c r="W10" s="129">
        <f t="shared" si="4"/>
        <v>0.76923076923076927</v>
      </c>
      <c r="X10" s="127">
        <f t="shared" si="5"/>
        <v>0.71428571428571419</v>
      </c>
      <c r="Z10" s="81">
        <f>AA10-21</f>
        <v>51</v>
      </c>
      <c r="AA10" s="81">
        <f>$I$2-39</f>
        <v>72</v>
      </c>
      <c r="AB10" s="129">
        <f t="shared" si="6"/>
        <v>0.45945945945945948</v>
      </c>
      <c r="AC10" s="129">
        <f t="shared" si="7"/>
        <v>0.70833333333333337</v>
      </c>
      <c r="AD10" s="127">
        <f t="shared" si="8"/>
        <v>0.55737704918032793</v>
      </c>
      <c r="AF10" s="81">
        <f t="shared" si="10"/>
        <v>0</v>
      </c>
      <c r="AG10" s="81">
        <v>0</v>
      </c>
      <c r="AH10" s="127">
        <f t="shared" si="9"/>
        <v>0</v>
      </c>
      <c r="AI10" s="127">
        <v>0</v>
      </c>
      <c r="BB10" s="13"/>
      <c r="BC10" s="118"/>
      <c r="BD10" s="13"/>
      <c r="BE10" s="13"/>
      <c r="BF10" s="13"/>
      <c r="BP10" t="str">
        <f t="shared" si="12"/>
        <v>10-2 &amp;  &amp; 0.560344827586207 &amp; 0.844155844155844 &amp; 0.673575129533679 &amp; 0.666666666666667 &amp; 0.769230769230769 &amp; 0.714285714285714 &amp; 0.459459459459459 &amp; 0.708333333333333 &amp; 0.557377049180328 &amp; 0 &amp; 0 &amp; 0 &amp; 0 \\ \hline</v>
      </c>
    </row>
    <row r="12" spans="1:68" s="75" customFormat="1">
      <c r="A12" s="73" t="s">
        <v>346</v>
      </c>
      <c r="C12" s="198" t="s">
        <v>286</v>
      </c>
      <c r="D12" s="78">
        <f>VLOOKUP($C$12,Overview!$Q$2:$AS$64,23,FALSE)</f>
        <v>6.0997715230117224</v>
      </c>
      <c r="E12" s="78" t="str">
        <f>VLOOKUP($C$12,Overview!$Q$2:$AS$64,24,FALSE)</f>
        <v>high</v>
      </c>
      <c r="F12" s="75">
        <f>VLOOKUP(C12,Overview!$Q$2:$AS$64,13,FALSE)</f>
        <v>109</v>
      </c>
      <c r="G12" s="75">
        <f>VLOOKUP(C12,Overview!$Q$2:$AS$64,16,FALSE)</f>
        <v>11</v>
      </c>
      <c r="H12" s="75">
        <f>VLOOKUP(C12,Overview!$Q$2:$AS$64,18,FALSE)</f>
        <v>49</v>
      </c>
      <c r="I12" s="75">
        <f>VLOOKUP($C$12,Overview!$Q$2:$AS$64,19,FALSE)</f>
        <v>103</v>
      </c>
      <c r="K12" s="96"/>
      <c r="L12" s="96"/>
      <c r="M12" s="115"/>
      <c r="N12" s="97"/>
      <c r="O12" s="97"/>
      <c r="P12" s="124"/>
      <c r="Q12" s="124"/>
      <c r="R12" s="80"/>
      <c r="S12" s="115"/>
      <c r="T12" s="97"/>
      <c r="U12" s="97"/>
      <c r="V12" s="124"/>
      <c r="W12" s="124"/>
      <c r="X12" s="80"/>
      <c r="Y12" s="115"/>
      <c r="Z12" s="97"/>
      <c r="AA12" s="97"/>
      <c r="AB12" s="124"/>
      <c r="AC12" s="124"/>
      <c r="AD12" s="80"/>
      <c r="AE12" s="115"/>
      <c r="AF12" s="97"/>
      <c r="AG12" s="97"/>
      <c r="AH12" s="80"/>
      <c r="AI12" s="97"/>
      <c r="AJ12" s="97"/>
      <c r="AK12" s="115"/>
      <c r="AL12" s="122"/>
      <c r="AM12" s="101"/>
      <c r="AP12" s="101"/>
      <c r="AQ12" s="101"/>
      <c r="AU12" s="119"/>
      <c r="AV12" s="101"/>
      <c r="AW12" s="101"/>
      <c r="AX12" s="101"/>
      <c r="AY12" s="101"/>
      <c r="AZ12" s="101"/>
      <c r="BA12" s="83"/>
      <c r="BC12" s="101"/>
      <c r="BP12"/>
    </row>
    <row r="13" spans="1:68">
      <c r="A13" t="s">
        <v>305</v>
      </c>
      <c r="C13" s="98"/>
      <c r="I13" s="14"/>
      <c r="J13" s="77" t="s">
        <v>672</v>
      </c>
      <c r="L13" s="2"/>
      <c r="N13" s="81">
        <f>O13-11</f>
        <v>41</v>
      </c>
      <c r="O13" s="163">
        <f>$F$12-57</f>
        <v>52</v>
      </c>
      <c r="P13" s="129">
        <f t="shared" ref="P13:P20" si="13">N13/$F$12</f>
        <v>0.37614678899082571</v>
      </c>
      <c r="Q13" s="129">
        <f t="shared" ref="Q13:Q20" si="14">N13/O13</f>
        <v>0.78846153846153844</v>
      </c>
      <c r="R13" s="127">
        <f t="shared" ref="R13:R20" si="15">2*(P13*Q13)/(P13+Q13)</f>
        <v>0.50931677018633537</v>
      </c>
      <c r="T13" s="81">
        <f>U13-2</f>
        <v>7</v>
      </c>
      <c r="U13" s="81">
        <f>$G$12-2</f>
        <v>9</v>
      </c>
      <c r="V13" s="129">
        <f t="shared" ref="V13:V20" si="16">T13/$G$12</f>
        <v>0.63636363636363635</v>
      </c>
      <c r="W13" s="129">
        <f t="shared" ref="W13:W20" si="17">T13/U13</f>
        <v>0.77777777777777779</v>
      </c>
      <c r="X13" s="127">
        <f t="shared" ref="X13:X20" si="18">2*(V13*W13)/(V13+W13)</f>
        <v>0.70000000000000007</v>
      </c>
      <c r="Z13" s="81">
        <f>AA13-15</f>
        <v>32</v>
      </c>
      <c r="AA13" s="81">
        <f>$I$12-56</f>
        <v>47</v>
      </c>
      <c r="AB13" s="129">
        <f t="shared" ref="AB13:AB20" si="19">Z13/$I$12</f>
        <v>0.31067961165048541</v>
      </c>
      <c r="AC13" s="129">
        <f t="shared" ref="AC13:AC20" si="20">Z13/AA13</f>
        <v>0.68085106382978722</v>
      </c>
      <c r="AD13" s="127">
        <f t="shared" ref="AD13:AD20" si="21">2*(AB13*AC13)/(AB13+AC13)</f>
        <v>0.42666666666666664</v>
      </c>
      <c r="AF13" s="81">
        <f>AG13-0</f>
        <v>0</v>
      </c>
      <c r="AG13" s="81">
        <v>0</v>
      </c>
      <c r="AH13" s="127">
        <f t="shared" ref="AH13:AH20" si="22">AF13/$H$12</f>
        <v>0</v>
      </c>
      <c r="AI13" s="127">
        <v>0</v>
      </c>
      <c r="BP13" t="str">
        <f>_xlfn.CONCAT($C$12," &amp; ",C13," &amp; ",P13," &amp; ",Q13," &amp; ",R13," &amp; ",V13," &amp; ",W13," &amp; ",X13," &amp; ",AB13," &amp; ",AC13," &amp; ",AD13," &amp; ",AF13," &amp; ",AG13," &amp; ",AH13," &amp; ",AI13, " \\ \hline")</f>
        <v>8-5 &amp;  &amp; 0.376146788990826 &amp; 0.788461538461538 &amp; 0.509316770186335 &amp; 0.636363636363636 &amp; 0.777777777777778 &amp; 0.7 &amp; 0.310679611650485 &amp; 0.680851063829787 &amp; 0.426666666666667 &amp; 0 &amp; 0 &amp; 0 &amp; 0 \\ \hline</v>
      </c>
    </row>
    <row r="14" spans="1:68">
      <c r="A14" t="s">
        <v>306</v>
      </c>
      <c r="C14" s="98"/>
      <c r="I14" s="14"/>
      <c r="J14" s="77" t="s">
        <v>672</v>
      </c>
      <c r="L14" s="2"/>
      <c r="N14" s="81">
        <f>O14-4</f>
        <v>56</v>
      </c>
      <c r="O14" s="163">
        <f>$F$12-49</f>
        <v>60</v>
      </c>
      <c r="P14" s="129">
        <f t="shared" si="13"/>
        <v>0.51376146788990829</v>
      </c>
      <c r="Q14" s="129">
        <f t="shared" si="14"/>
        <v>0.93333333333333335</v>
      </c>
      <c r="R14" s="127">
        <f t="shared" si="15"/>
        <v>0.6627218934911242</v>
      </c>
      <c r="T14" s="81">
        <f t="shared" ref="T14:T19" si="23">U14-0</f>
        <v>11</v>
      </c>
      <c r="U14" s="81">
        <f>$G$12-0</f>
        <v>11</v>
      </c>
      <c r="V14" s="129">
        <f t="shared" si="16"/>
        <v>1</v>
      </c>
      <c r="W14" s="129">
        <f t="shared" si="17"/>
        <v>1</v>
      </c>
      <c r="X14" s="127">
        <f t="shared" si="18"/>
        <v>1</v>
      </c>
      <c r="Z14" s="81">
        <f>AA14-20</f>
        <v>34</v>
      </c>
      <c r="AA14" s="81">
        <f>$I$12-49</f>
        <v>54</v>
      </c>
      <c r="AB14" s="129">
        <f t="shared" si="19"/>
        <v>0.3300970873786408</v>
      </c>
      <c r="AC14" s="129">
        <f t="shared" si="20"/>
        <v>0.62962962962962965</v>
      </c>
      <c r="AD14" s="127">
        <f t="shared" si="21"/>
        <v>0.43312101910828033</v>
      </c>
      <c r="AF14" s="81">
        <f t="shared" ref="AF14:AF20" si="24">AG14-0</f>
        <v>1</v>
      </c>
      <c r="AG14" s="81">
        <v>1</v>
      </c>
      <c r="AH14" s="127">
        <f t="shared" si="22"/>
        <v>2.0408163265306121E-2</v>
      </c>
      <c r="AI14" s="127">
        <f>AF14/AG14</f>
        <v>1</v>
      </c>
      <c r="BP14" t="str">
        <f t="shared" ref="BP14:BP20" si="25">_xlfn.CONCAT($C$12," &amp; ",C14," &amp; ",P14," &amp; ",Q14," &amp; ",R14," &amp; ",V14," &amp; ",W14," &amp; ",X14," &amp; ",AB14," &amp; ",AC14," &amp; ",AD14," &amp; ",AF14," &amp; ",AG14," &amp; ",AH14," &amp; ",AI14, " \\ \hline")</f>
        <v>8-5 &amp;  &amp; 0.513761467889908 &amp; 0.933333333333333 &amp; 0.662721893491124 &amp; 1 &amp; 1 &amp; 1 &amp; 0.330097087378641 &amp; 0.62962962962963 &amp; 0.43312101910828 &amp; 1 &amp; 1 &amp; 0.0204081632653061 &amp; 1 \\ \hline</v>
      </c>
    </row>
    <row r="15" spans="1:68">
      <c r="A15" t="s">
        <v>307</v>
      </c>
      <c r="C15" s="98"/>
      <c r="I15" s="14"/>
      <c r="J15" s="77" t="s">
        <v>671</v>
      </c>
      <c r="L15" s="2"/>
      <c r="N15" s="81">
        <f>O15-20</f>
        <v>50</v>
      </c>
      <c r="O15" s="163">
        <f>$F$12-39</f>
        <v>70</v>
      </c>
      <c r="P15" s="129">
        <f t="shared" si="13"/>
        <v>0.45871559633027525</v>
      </c>
      <c r="Q15" s="129">
        <f t="shared" si="14"/>
        <v>0.7142857142857143</v>
      </c>
      <c r="R15" s="127">
        <f t="shared" si="15"/>
        <v>0.55865921787709505</v>
      </c>
      <c r="T15" s="81">
        <f>U15-2</f>
        <v>6</v>
      </c>
      <c r="U15" s="81">
        <f>$G$12-3</f>
        <v>8</v>
      </c>
      <c r="V15" s="129">
        <f t="shared" si="16"/>
        <v>0.54545454545454541</v>
      </c>
      <c r="W15" s="129">
        <f t="shared" si="17"/>
        <v>0.75</v>
      </c>
      <c r="X15" s="127">
        <f t="shared" si="18"/>
        <v>0.63157894736842102</v>
      </c>
      <c r="Z15" s="81">
        <f>AA15-14</f>
        <v>50</v>
      </c>
      <c r="AA15" s="81">
        <f>$I$12-39</f>
        <v>64</v>
      </c>
      <c r="AB15" s="129">
        <f t="shared" si="19"/>
        <v>0.4854368932038835</v>
      </c>
      <c r="AC15" s="129">
        <f t="shared" si="20"/>
        <v>0.78125</v>
      </c>
      <c r="AD15" s="127">
        <f t="shared" si="21"/>
        <v>0.5988023952095809</v>
      </c>
      <c r="AF15" s="81">
        <f t="shared" si="24"/>
        <v>0</v>
      </c>
      <c r="AG15" s="81">
        <v>0</v>
      </c>
      <c r="AH15" s="127">
        <f t="shared" si="22"/>
        <v>0</v>
      </c>
      <c r="AI15" s="127">
        <v>0</v>
      </c>
      <c r="BP15" t="str">
        <f t="shared" si="25"/>
        <v>8-5 &amp;  &amp; 0.458715596330275 &amp; 0.714285714285714 &amp; 0.558659217877095 &amp; 0.545454545454545 &amp; 0.75 &amp; 0.631578947368421 &amp; 0.485436893203884 &amp; 0.78125 &amp; 0.598802395209581 &amp; 0 &amp; 0 &amp; 0 &amp; 0 \\ \hline</v>
      </c>
    </row>
    <row r="16" spans="1:68">
      <c r="A16" t="s">
        <v>308</v>
      </c>
      <c r="C16" s="98"/>
      <c r="I16" s="14"/>
      <c r="J16" s="77" t="s">
        <v>671</v>
      </c>
      <c r="L16" s="2"/>
      <c r="N16" s="81">
        <f>O16-15</f>
        <v>50</v>
      </c>
      <c r="O16" s="81">
        <f>$F$12-44</f>
        <v>65</v>
      </c>
      <c r="P16" s="129">
        <f t="shared" si="13"/>
        <v>0.45871559633027525</v>
      </c>
      <c r="Q16" s="129">
        <f t="shared" si="14"/>
        <v>0.76923076923076927</v>
      </c>
      <c r="R16" s="127">
        <f t="shared" si="15"/>
        <v>0.57471264367816088</v>
      </c>
      <c r="T16" s="81">
        <f t="shared" si="23"/>
        <v>8</v>
      </c>
      <c r="U16" s="81">
        <f>$G$12-3</f>
        <v>8</v>
      </c>
      <c r="V16" s="129">
        <f t="shared" si="16"/>
        <v>0.72727272727272729</v>
      </c>
      <c r="W16" s="129">
        <f t="shared" si="17"/>
        <v>1</v>
      </c>
      <c r="X16" s="127">
        <f t="shared" si="18"/>
        <v>0.8421052631578948</v>
      </c>
      <c r="Z16" s="81">
        <f>AA16-25</f>
        <v>34</v>
      </c>
      <c r="AA16" s="81">
        <f>$I$12-44</f>
        <v>59</v>
      </c>
      <c r="AB16" s="129">
        <f t="shared" si="19"/>
        <v>0.3300970873786408</v>
      </c>
      <c r="AC16" s="129">
        <f t="shared" si="20"/>
        <v>0.57627118644067798</v>
      </c>
      <c r="AD16" s="127">
        <f t="shared" si="21"/>
        <v>0.41975308641975312</v>
      </c>
      <c r="AF16" s="81">
        <f t="shared" si="24"/>
        <v>0</v>
      </c>
      <c r="AG16" s="81">
        <v>0</v>
      </c>
      <c r="AH16" s="127">
        <f t="shared" si="22"/>
        <v>0</v>
      </c>
      <c r="AI16" s="127">
        <v>0</v>
      </c>
      <c r="BP16" t="str">
        <f t="shared" si="25"/>
        <v>8-5 &amp;  &amp; 0.458715596330275 &amp; 0.769230769230769 &amp; 0.574712643678161 &amp; 0.727272727272727 &amp; 1 &amp; 0.842105263157895 &amp; 0.330097087378641 &amp; 0.576271186440678 &amp; 0.419753086419753 &amp; 0 &amp; 0 &amp; 0 &amp; 0 \\ \hline</v>
      </c>
    </row>
    <row r="17" spans="1:68">
      <c r="A17" t="s">
        <v>309</v>
      </c>
      <c r="C17" s="98"/>
      <c r="I17" s="14"/>
      <c r="J17" s="77" t="s">
        <v>673</v>
      </c>
      <c r="L17" s="2"/>
      <c r="N17" s="81">
        <f>O17-5</f>
        <v>33</v>
      </c>
      <c r="O17" s="163">
        <f>33+5</f>
        <v>38</v>
      </c>
      <c r="P17" s="129">
        <f t="shared" si="13"/>
        <v>0.30275229357798167</v>
      </c>
      <c r="Q17" s="129">
        <f t="shared" si="14"/>
        <v>0.86842105263157898</v>
      </c>
      <c r="R17" s="127">
        <f t="shared" si="15"/>
        <v>0.44897959183673469</v>
      </c>
      <c r="T17" s="81">
        <f>U17-1</f>
        <v>10</v>
      </c>
      <c r="U17" s="81">
        <f>$G$12-0</f>
        <v>11</v>
      </c>
      <c r="V17" s="129">
        <f t="shared" si="16"/>
        <v>0.90909090909090906</v>
      </c>
      <c r="W17" s="129">
        <f t="shared" si="17"/>
        <v>0.90909090909090906</v>
      </c>
      <c r="X17" s="127">
        <f t="shared" si="18"/>
        <v>0.90909090909090906</v>
      </c>
      <c r="Z17" s="81">
        <v>21</v>
      </c>
      <c r="AA17" s="81">
        <v>33</v>
      </c>
      <c r="AB17" s="129">
        <f t="shared" si="19"/>
        <v>0.20388349514563106</v>
      </c>
      <c r="AC17" s="129">
        <f t="shared" si="20"/>
        <v>0.63636363636363635</v>
      </c>
      <c r="AD17" s="127">
        <f t="shared" si="21"/>
        <v>0.30882352941176466</v>
      </c>
      <c r="AF17" s="81">
        <f t="shared" si="24"/>
        <v>0</v>
      </c>
      <c r="AG17" s="81">
        <v>0</v>
      </c>
      <c r="AH17" s="127">
        <f t="shared" si="22"/>
        <v>0</v>
      </c>
      <c r="AI17" s="127">
        <v>0</v>
      </c>
      <c r="BP17" t="str">
        <f t="shared" si="25"/>
        <v>8-5 &amp;  &amp; 0.302752293577982 &amp; 0.868421052631579 &amp; 0.448979591836735 &amp; 0.909090909090909 &amp; 0.909090909090909 &amp; 0.909090909090909 &amp; 0.203883495145631 &amp; 0.636363636363636 &amp; 0.308823529411765 &amp; 0 &amp; 0 &amp; 0 &amp; 0 \\ \hline</v>
      </c>
    </row>
    <row r="18" spans="1:68">
      <c r="A18" t="s">
        <v>667</v>
      </c>
      <c r="C18" s="98"/>
      <c r="I18" s="14"/>
      <c r="J18" s="77" t="s">
        <v>673</v>
      </c>
      <c r="L18" s="2"/>
      <c r="N18" s="81">
        <f>O18-5</f>
        <v>41</v>
      </c>
      <c r="O18" s="81">
        <f>43+3</f>
        <v>46</v>
      </c>
      <c r="P18" s="129">
        <f t="shared" si="13"/>
        <v>0.37614678899082571</v>
      </c>
      <c r="Q18" s="129">
        <f t="shared" si="14"/>
        <v>0.89130434782608692</v>
      </c>
      <c r="R18" s="127">
        <f t="shared" si="15"/>
        <v>0.52903225806451615</v>
      </c>
      <c r="T18" s="81">
        <f>U18-1</f>
        <v>9</v>
      </c>
      <c r="U18" s="81">
        <f>$G$12-1</f>
        <v>10</v>
      </c>
      <c r="V18" s="129">
        <f t="shared" si="16"/>
        <v>0.81818181818181823</v>
      </c>
      <c r="W18" s="129">
        <f t="shared" si="17"/>
        <v>0.9</v>
      </c>
      <c r="X18" s="127">
        <f t="shared" si="18"/>
        <v>0.85714285714285721</v>
      </c>
      <c r="Z18" s="81">
        <v>25</v>
      </c>
      <c r="AA18" s="81">
        <v>43</v>
      </c>
      <c r="AB18" s="129">
        <f t="shared" si="19"/>
        <v>0.24271844660194175</v>
      </c>
      <c r="AC18" s="129">
        <f t="shared" si="20"/>
        <v>0.58139534883720934</v>
      </c>
      <c r="AD18" s="127">
        <f t="shared" si="21"/>
        <v>0.34246575342465757</v>
      </c>
      <c r="AF18" s="81">
        <f t="shared" si="24"/>
        <v>0</v>
      </c>
      <c r="AG18" s="81">
        <v>0</v>
      </c>
      <c r="AH18" s="127">
        <f t="shared" si="22"/>
        <v>0</v>
      </c>
      <c r="AI18" s="127">
        <v>0</v>
      </c>
      <c r="BP18" t="str">
        <f t="shared" si="25"/>
        <v>8-5 &amp;  &amp; 0.376146788990826 &amp; 0.891304347826087 &amp; 0.529032258064516 &amp; 0.818181818181818 &amp; 0.9 &amp; 0.857142857142857 &amp; 0.242718446601942 &amp; 0.581395348837209 &amp; 0.342465753424658 &amp; 0 &amp; 0 &amp; 0 &amp; 0 \\ \hline</v>
      </c>
    </row>
    <row r="19" spans="1:68">
      <c r="A19" t="s">
        <v>668</v>
      </c>
      <c r="C19" s="98"/>
      <c r="I19" s="14"/>
      <c r="J19" s="77" t="s">
        <v>670</v>
      </c>
      <c r="L19" s="2"/>
      <c r="N19" s="81" t="e">
        <f>O19-0</f>
        <v>#VALUE!</v>
      </c>
      <c r="O19" s="81" t="s">
        <v>674</v>
      </c>
      <c r="P19" s="129" t="e">
        <f t="shared" si="13"/>
        <v>#VALUE!</v>
      </c>
      <c r="Q19" s="129" t="e">
        <f t="shared" si="14"/>
        <v>#VALUE!</v>
      </c>
      <c r="R19" s="127" t="e">
        <f t="shared" si="15"/>
        <v>#VALUE!</v>
      </c>
      <c r="T19" s="81" t="e">
        <f t="shared" si="23"/>
        <v>#VALUE!</v>
      </c>
      <c r="U19" s="81" t="s">
        <v>674</v>
      </c>
      <c r="V19" s="129" t="e">
        <f t="shared" si="16"/>
        <v>#VALUE!</v>
      </c>
      <c r="W19" s="129" t="e">
        <f t="shared" si="17"/>
        <v>#VALUE!</v>
      </c>
      <c r="X19" s="127" t="e">
        <f t="shared" si="18"/>
        <v>#VALUE!</v>
      </c>
      <c r="Z19" s="81" t="e">
        <f>AA19-0</f>
        <v>#VALUE!</v>
      </c>
      <c r="AA19" s="81" t="s">
        <v>674</v>
      </c>
      <c r="AB19" s="129" t="e">
        <f t="shared" si="19"/>
        <v>#VALUE!</v>
      </c>
      <c r="AC19" s="129" t="e">
        <f t="shared" si="20"/>
        <v>#VALUE!</v>
      </c>
      <c r="AD19" s="127" t="e">
        <f t="shared" si="21"/>
        <v>#VALUE!</v>
      </c>
      <c r="AF19" s="81" t="e">
        <f t="shared" si="24"/>
        <v>#VALUE!</v>
      </c>
      <c r="AG19" s="81" t="s">
        <v>674</v>
      </c>
      <c r="AH19" s="127" t="e">
        <f t="shared" si="22"/>
        <v>#VALUE!</v>
      </c>
      <c r="AI19" s="127" t="e">
        <f>AF19/AG19</f>
        <v>#VALUE!</v>
      </c>
      <c r="BP19" t="s">
        <v>802</v>
      </c>
    </row>
    <row r="20" spans="1:68">
      <c r="A20" t="s">
        <v>669</v>
      </c>
      <c r="C20" s="98"/>
      <c r="I20" s="14"/>
      <c r="J20" s="77" t="s">
        <v>670</v>
      </c>
      <c r="L20" s="2"/>
      <c r="N20" s="81">
        <f>O20-20</f>
        <v>41</v>
      </c>
      <c r="O20" s="81">
        <f>$F$12-48</f>
        <v>61</v>
      </c>
      <c r="P20" s="129">
        <f t="shared" si="13"/>
        <v>0.37614678899082571</v>
      </c>
      <c r="Q20" s="129">
        <f t="shared" si="14"/>
        <v>0.67213114754098358</v>
      </c>
      <c r="R20" s="127">
        <f t="shared" si="15"/>
        <v>0.4823529411764706</v>
      </c>
      <c r="T20" s="81">
        <f>U20-2</f>
        <v>6</v>
      </c>
      <c r="U20" s="81">
        <f>$G$12-3</f>
        <v>8</v>
      </c>
      <c r="V20" s="129">
        <f t="shared" si="16"/>
        <v>0.54545454545454541</v>
      </c>
      <c r="W20" s="129">
        <f t="shared" si="17"/>
        <v>0.75</v>
      </c>
      <c r="X20" s="127">
        <f t="shared" si="18"/>
        <v>0.63157894736842102</v>
      </c>
      <c r="Z20" s="81">
        <f>AA20-14</f>
        <v>41</v>
      </c>
      <c r="AA20" s="81">
        <f>$I$12-48</f>
        <v>55</v>
      </c>
      <c r="AB20" s="129">
        <f t="shared" si="19"/>
        <v>0.39805825242718446</v>
      </c>
      <c r="AC20" s="129">
        <f t="shared" si="20"/>
        <v>0.74545454545454548</v>
      </c>
      <c r="AD20" s="127">
        <f t="shared" si="21"/>
        <v>0.518987341772152</v>
      </c>
      <c r="AF20" s="81">
        <f t="shared" si="24"/>
        <v>0</v>
      </c>
      <c r="AG20" s="81">
        <v>0</v>
      </c>
      <c r="AH20" s="127">
        <f t="shared" si="22"/>
        <v>0</v>
      </c>
      <c r="AI20" s="127">
        <v>0</v>
      </c>
      <c r="BP20" t="str">
        <f t="shared" si="25"/>
        <v>8-5 &amp;  &amp; 0.376146788990826 &amp; 0.672131147540984 &amp; 0.482352941176471 &amp; 0.545454545454545 &amp; 0.75 &amp; 0.631578947368421 &amp; 0.398058252427184 &amp; 0.745454545454545 &amp; 0.518987341772152 &amp; 0 &amp; 0 &amp; 0 &amp; 0 \\ \hline</v>
      </c>
    </row>
    <row r="22" spans="1:68" s="75" customFormat="1">
      <c r="A22" s="73" t="s">
        <v>347</v>
      </c>
      <c r="C22" s="198" t="s">
        <v>283</v>
      </c>
      <c r="D22" s="78">
        <f>VLOOKUP($C$22,Overview!$Q$2:$AS$64,23,FALSE)</f>
        <v>6.2745035499085571</v>
      </c>
      <c r="E22" s="78" t="str">
        <f>VLOOKUP($C$22,Overview!$Q$2:$AS$64,24,FALSE)</f>
        <v>high</v>
      </c>
      <c r="F22" s="75">
        <f>VLOOKUP(C22,Overview!$Q$2:$AS$64,13,FALSE)</f>
        <v>110</v>
      </c>
      <c r="G22" s="75">
        <f>VLOOKUP(C22,Overview!$Q$2:$AS$64,16,FALSE)</f>
        <v>13</v>
      </c>
      <c r="H22" s="75">
        <f>VLOOKUP(C22,Overview!$Q$2:$AS$64,18,FALSE)</f>
        <v>48</v>
      </c>
      <c r="I22" s="75">
        <f>VLOOKUP($C$22,Overview!$Q$2:$AS$64,19,FALSE)</f>
        <v>104</v>
      </c>
      <c r="K22" s="96"/>
      <c r="L22" s="96"/>
      <c r="M22" s="115"/>
      <c r="N22" s="97"/>
      <c r="O22" s="97"/>
      <c r="P22" s="124"/>
      <c r="Q22" s="124"/>
      <c r="R22" s="80"/>
      <c r="S22" s="115"/>
      <c r="T22" s="97"/>
      <c r="U22" s="97"/>
      <c r="V22" s="124"/>
      <c r="W22" s="124"/>
      <c r="X22" s="80"/>
      <c r="Y22" s="115"/>
      <c r="Z22" s="97"/>
      <c r="AA22" s="97"/>
      <c r="AB22" s="124"/>
      <c r="AC22" s="124"/>
      <c r="AD22" s="80"/>
      <c r="AE22" s="115"/>
      <c r="AF22" s="97"/>
      <c r="AG22" s="97"/>
      <c r="AH22" s="80"/>
      <c r="AI22" s="97"/>
      <c r="AJ22" s="97"/>
      <c r="AK22" s="115"/>
      <c r="AL22" s="122"/>
      <c r="AM22" s="101"/>
      <c r="AP22" s="101"/>
      <c r="AQ22" s="101"/>
      <c r="AU22" s="119"/>
      <c r="AV22" s="101"/>
      <c r="AW22" s="101"/>
      <c r="AX22" s="101"/>
      <c r="AY22" s="101"/>
      <c r="AZ22" s="101"/>
      <c r="BA22" s="83"/>
      <c r="BC22" s="101"/>
      <c r="BP22"/>
    </row>
    <row r="23" spans="1:68">
      <c r="A23" t="s">
        <v>305</v>
      </c>
      <c r="C23" s="98"/>
      <c r="I23" s="14"/>
      <c r="J23" s="77" t="s">
        <v>672</v>
      </c>
      <c r="L23" s="2"/>
      <c r="N23" s="81">
        <f>O23-9</f>
        <v>44</v>
      </c>
      <c r="O23" s="81">
        <f>$F$22-57</f>
        <v>53</v>
      </c>
      <c r="P23" s="129">
        <f t="shared" ref="P23:P30" si="26">N23/$F$22</f>
        <v>0.4</v>
      </c>
      <c r="Q23" s="129">
        <f t="shared" ref="Q23:Q30" si="27">N23/O23</f>
        <v>0.83018867924528306</v>
      </c>
      <c r="R23" s="127">
        <f t="shared" ref="R23:R30" si="28">2*(P23*Q23)/(P23+Q23)</f>
        <v>0.53987730061349692</v>
      </c>
      <c r="T23" s="81">
        <f>U23-0</f>
        <v>8</v>
      </c>
      <c r="U23" s="81">
        <f>$G$22-5</f>
        <v>8</v>
      </c>
      <c r="V23" s="129">
        <f t="shared" ref="V23:V30" si="29">T23/$G$22</f>
        <v>0.61538461538461542</v>
      </c>
      <c r="W23" s="129">
        <f t="shared" ref="W23:W30" si="30">T23/U23</f>
        <v>1</v>
      </c>
      <c r="X23" s="127">
        <f t="shared" ref="X23:X30" si="31">2*(V23*W23)/(V23+W23)</f>
        <v>0.76190476190476197</v>
      </c>
      <c r="Z23" s="81">
        <f>AA23-23</f>
        <v>24</v>
      </c>
      <c r="AA23" s="81">
        <f>$I$22-57</f>
        <v>47</v>
      </c>
      <c r="AB23" s="129">
        <f t="shared" ref="AB23:AB30" si="32">Z23/$I$22</f>
        <v>0.23076923076923078</v>
      </c>
      <c r="AC23" s="129">
        <f t="shared" ref="AC23:AC30" si="33">Z23/AA23</f>
        <v>0.51063829787234039</v>
      </c>
      <c r="AD23" s="127">
        <f t="shared" ref="AD23:AD30" si="34">2*(AB23*AC23)/(AB23+AC23)</f>
        <v>0.31788079470198677</v>
      </c>
      <c r="AF23" s="81">
        <f>AG23-0</f>
        <v>2</v>
      </c>
      <c r="AG23" s="81">
        <v>2</v>
      </c>
      <c r="AH23" s="127">
        <f t="shared" ref="AH23:AH30" si="35">AF23/$H$22</f>
        <v>4.1666666666666664E-2</v>
      </c>
      <c r="AI23" s="127">
        <f>AF23/AG23</f>
        <v>1</v>
      </c>
      <c r="BP23" t="str">
        <f>_xlfn.CONCAT($C$22," &amp; ",C23," &amp; ",P23," &amp; ",Q23," &amp; ",R23," &amp; ",V23," &amp; ",W23," &amp; ",X23," &amp; ",AB23," &amp; ",AC23," &amp; ",AD23," &amp; ",AF23," &amp; ",AG23," &amp; ",AH23," &amp; ",AI23, " \\ \hline")</f>
        <v>8-4 &amp;  &amp; 0.4 &amp; 0.830188679245283 &amp; 0.539877300613497 &amp; 0.615384615384615 &amp; 1 &amp; 0.761904761904762 &amp; 0.230769230769231 &amp; 0.51063829787234 &amp; 0.317880794701987 &amp; 2 &amp; 2 &amp; 0.0416666666666667 &amp; 1 \\ \hline</v>
      </c>
    </row>
    <row r="24" spans="1:68">
      <c r="A24" t="s">
        <v>306</v>
      </c>
      <c r="C24" s="98"/>
      <c r="I24" s="14"/>
      <c r="J24" s="77" t="s">
        <v>672</v>
      </c>
      <c r="L24" s="2"/>
      <c r="N24" s="81">
        <f>O24-11</f>
        <v>43</v>
      </c>
      <c r="O24" s="81">
        <f>$F$22-56</f>
        <v>54</v>
      </c>
      <c r="P24" s="129">
        <f t="shared" si="26"/>
        <v>0.39090909090909093</v>
      </c>
      <c r="Q24" s="129">
        <f t="shared" si="27"/>
        <v>0.79629629629629628</v>
      </c>
      <c r="R24" s="127">
        <f t="shared" si="28"/>
        <v>0.52439024390243905</v>
      </c>
      <c r="T24" s="81">
        <f>U24-0</f>
        <v>9</v>
      </c>
      <c r="U24" s="81">
        <f>$G$22-4</f>
        <v>9</v>
      </c>
      <c r="V24" s="129">
        <f t="shared" si="29"/>
        <v>0.69230769230769229</v>
      </c>
      <c r="W24" s="129">
        <f t="shared" si="30"/>
        <v>1</v>
      </c>
      <c r="X24" s="127">
        <f t="shared" si="31"/>
        <v>0.81818181818181812</v>
      </c>
      <c r="Z24" s="81">
        <f>AA24-24</f>
        <v>25</v>
      </c>
      <c r="AA24" s="81">
        <f>$I$22-55</f>
        <v>49</v>
      </c>
      <c r="AB24" s="129">
        <f t="shared" si="32"/>
        <v>0.24038461538461539</v>
      </c>
      <c r="AC24" s="129">
        <f t="shared" si="33"/>
        <v>0.51020408163265307</v>
      </c>
      <c r="AD24" s="127">
        <f t="shared" si="34"/>
        <v>0.32679738562091504</v>
      </c>
      <c r="AF24" s="81">
        <f t="shared" ref="AF24:AF30" si="36">AG24-0</f>
        <v>1</v>
      </c>
      <c r="AG24" s="81">
        <v>1</v>
      </c>
      <c r="AH24" s="127">
        <f t="shared" si="35"/>
        <v>2.0833333333333332E-2</v>
      </c>
      <c r="AI24" s="127">
        <f>AF24/AG24</f>
        <v>1</v>
      </c>
      <c r="BP24" t="str">
        <f t="shared" ref="BP24:BP30" si="37">_xlfn.CONCAT($C$22," &amp; ",C24," &amp; ",P24," &amp; ",Q24," &amp; ",R24," &amp; ",V24," &amp; ",W24," &amp; ",X24," &amp; ",AB24," &amp; ",AC24," &amp; ",AD24," &amp; ",AF24," &amp; ",AG24," &amp; ",AH24," &amp; ",AI24, " \\ \hline")</f>
        <v>8-4 &amp;  &amp; 0.390909090909091 &amp; 0.796296296296296 &amp; 0.524390243902439 &amp; 0.692307692307692 &amp; 1 &amp; 0.818181818181818 &amp; 0.240384615384615 &amp; 0.510204081632653 &amp; 0.326797385620915 &amp; 1 &amp; 1 &amp; 0.0208333333333333 &amp; 1 \\ \hline</v>
      </c>
    </row>
    <row r="25" spans="1:68">
      <c r="A25" t="s">
        <v>307</v>
      </c>
      <c r="C25" s="98"/>
      <c r="I25" s="14"/>
      <c r="J25" s="77" t="s">
        <v>671</v>
      </c>
      <c r="L25" s="2"/>
      <c r="N25" s="81">
        <f>O25-13</f>
        <v>38</v>
      </c>
      <c r="O25" s="81">
        <v>51</v>
      </c>
      <c r="P25" s="129">
        <f t="shared" si="26"/>
        <v>0.34545454545454546</v>
      </c>
      <c r="Q25" s="129">
        <f t="shared" si="27"/>
        <v>0.74509803921568629</v>
      </c>
      <c r="R25" s="127">
        <f t="shared" si="28"/>
        <v>0.47204968944099374</v>
      </c>
      <c r="T25" s="81">
        <f>U25-1</f>
        <v>9</v>
      </c>
      <c r="U25" s="81">
        <f>$G$22-3</f>
        <v>10</v>
      </c>
      <c r="V25" s="129">
        <f t="shared" si="29"/>
        <v>0.69230769230769229</v>
      </c>
      <c r="W25" s="129">
        <f t="shared" si="30"/>
        <v>0.9</v>
      </c>
      <c r="X25" s="127">
        <f t="shared" si="31"/>
        <v>0.78260869565217384</v>
      </c>
      <c r="Z25" s="81">
        <v>4</v>
      </c>
      <c r="AA25" s="81">
        <v>46</v>
      </c>
      <c r="AB25" s="129">
        <f t="shared" si="32"/>
        <v>3.8461538461538464E-2</v>
      </c>
      <c r="AC25" s="129">
        <f t="shared" si="33"/>
        <v>8.6956521739130432E-2</v>
      </c>
      <c r="AD25" s="127">
        <f t="shared" si="34"/>
        <v>5.333333333333333E-2</v>
      </c>
      <c r="AF25" s="81">
        <f t="shared" si="36"/>
        <v>0</v>
      </c>
      <c r="AG25" s="81">
        <v>0</v>
      </c>
      <c r="AH25" s="127">
        <f t="shared" si="35"/>
        <v>0</v>
      </c>
      <c r="AI25" s="127">
        <v>0</v>
      </c>
      <c r="BP25" t="str">
        <f t="shared" si="37"/>
        <v>8-4 &amp;  &amp; 0.345454545454545 &amp; 0.745098039215686 &amp; 0.472049689440994 &amp; 0.692307692307692 &amp; 0.9 &amp; 0.782608695652174 &amp; 0.0384615384615385 &amp; 0.0869565217391304 &amp; 0.0533333333333333 &amp; 0 &amp; 0 &amp; 0 &amp; 0 \\ \hline</v>
      </c>
    </row>
    <row r="26" spans="1:68">
      <c r="A26" t="s">
        <v>308</v>
      </c>
      <c r="C26" s="98"/>
      <c r="I26" s="14"/>
      <c r="J26" s="77" t="s">
        <v>671</v>
      </c>
      <c r="L26" s="2"/>
      <c r="N26" s="81">
        <f>O26-12</f>
        <v>34</v>
      </c>
      <c r="O26" s="81">
        <f>41+5</f>
        <v>46</v>
      </c>
      <c r="P26" s="129">
        <f t="shared" si="26"/>
        <v>0.30909090909090908</v>
      </c>
      <c r="Q26" s="129">
        <f t="shared" si="27"/>
        <v>0.73913043478260865</v>
      </c>
      <c r="R26" s="127">
        <f t="shared" si="28"/>
        <v>0.4358974358974359</v>
      </c>
      <c r="T26" s="81">
        <f>U26-2</f>
        <v>8</v>
      </c>
      <c r="U26" s="81">
        <f>$G$22-3</f>
        <v>10</v>
      </c>
      <c r="V26" s="129">
        <f t="shared" si="29"/>
        <v>0.61538461538461542</v>
      </c>
      <c r="W26" s="129">
        <f t="shared" si="30"/>
        <v>0.8</v>
      </c>
      <c r="X26" s="127">
        <f t="shared" si="31"/>
        <v>0.69565217391304346</v>
      </c>
      <c r="Z26" s="81">
        <v>4</v>
      </c>
      <c r="AA26" s="81">
        <v>41</v>
      </c>
      <c r="AB26" s="129">
        <f t="shared" si="32"/>
        <v>3.8461538461538464E-2</v>
      </c>
      <c r="AC26" s="129">
        <f t="shared" si="33"/>
        <v>9.7560975609756101E-2</v>
      </c>
      <c r="AD26" s="127">
        <f t="shared" si="34"/>
        <v>5.5172413793103454E-2</v>
      </c>
      <c r="AF26" s="81">
        <f t="shared" si="36"/>
        <v>0</v>
      </c>
      <c r="AG26" s="81">
        <v>0</v>
      </c>
      <c r="AH26" s="127">
        <f t="shared" si="35"/>
        <v>0</v>
      </c>
      <c r="AI26" s="127">
        <v>0</v>
      </c>
      <c r="BP26" t="str">
        <f t="shared" si="37"/>
        <v>8-4 &amp;  &amp; 0.309090909090909 &amp; 0.739130434782609 &amp; 0.435897435897436 &amp; 0.615384615384615 &amp; 0.8 &amp; 0.695652173913043 &amp; 0.0384615384615385 &amp; 0.0975609756097561 &amp; 0.0551724137931035 &amp; 0 &amp; 0 &amp; 0 &amp; 0 \\ \hline</v>
      </c>
    </row>
    <row r="27" spans="1:68">
      <c r="A27" t="s">
        <v>309</v>
      </c>
      <c r="C27" s="98"/>
      <c r="I27" s="14"/>
      <c r="J27" s="77" t="s">
        <v>673</v>
      </c>
      <c r="L27" s="2"/>
      <c r="N27" s="81">
        <f>O27-16</f>
        <v>31</v>
      </c>
      <c r="O27" s="81">
        <v>47</v>
      </c>
      <c r="P27" s="129">
        <f t="shared" si="26"/>
        <v>0.2818181818181818</v>
      </c>
      <c r="Q27" s="129">
        <f t="shared" si="27"/>
        <v>0.65957446808510634</v>
      </c>
      <c r="R27" s="127">
        <f t="shared" si="28"/>
        <v>0.39490445859872608</v>
      </c>
      <c r="T27" s="81">
        <f>U27-1</f>
        <v>10</v>
      </c>
      <c r="U27" s="81">
        <f>$G$22-2</f>
        <v>11</v>
      </c>
      <c r="V27" s="129">
        <f t="shared" si="29"/>
        <v>0.76923076923076927</v>
      </c>
      <c r="W27" s="129">
        <f t="shared" si="30"/>
        <v>0.90909090909090906</v>
      </c>
      <c r="X27" s="127">
        <f t="shared" si="31"/>
        <v>0.83333333333333326</v>
      </c>
      <c r="Z27" s="81">
        <v>8</v>
      </c>
      <c r="AA27" s="81">
        <v>47</v>
      </c>
      <c r="AB27" s="129">
        <f t="shared" si="32"/>
        <v>7.6923076923076927E-2</v>
      </c>
      <c r="AC27" s="129">
        <f t="shared" si="33"/>
        <v>0.1702127659574468</v>
      </c>
      <c r="AD27" s="127">
        <f t="shared" si="34"/>
        <v>0.10596026490066225</v>
      </c>
      <c r="AF27" s="81">
        <f t="shared" si="36"/>
        <v>0</v>
      </c>
      <c r="AG27" s="81">
        <v>0</v>
      </c>
      <c r="AH27" s="127">
        <f t="shared" si="35"/>
        <v>0</v>
      </c>
      <c r="AI27" s="127">
        <v>0</v>
      </c>
      <c r="BP27" t="str">
        <f t="shared" si="37"/>
        <v>8-4 &amp;  &amp; 0.281818181818182 &amp; 0.659574468085106 &amp; 0.394904458598726 &amp; 0.769230769230769 &amp; 0.909090909090909 &amp; 0.833333333333333 &amp; 0.0769230769230769 &amp; 0.170212765957447 &amp; 0.105960264900662 &amp; 0 &amp; 0 &amp; 0 &amp; 0 \\ \hline</v>
      </c>
    </row>
    <row r="28" spans="1:68">
      <c r="A28" t="s">
        <v>667</v>
      </c>
      <c r="C28" s="98"/>
      <c r="I28" s="14"/>
      <c r="J28" s="77" t="s">
        <v>673</v>
      </c>
      <c r="L28" s="2"/>
      <c r="N28" s="81">
        <f>O28-18</f>
        <v>43</v>
      </c>
      <c r="O28" s="81">
        <f>56+5</f>
        <v>61</v>
      </c>
      <c r="P28" s="129">
        <f t="shared" si="26"/>
        <v>0.39090909090909093</v>
      </c>
      <c r="Q28" s="129">
        <f t="shared" si="27"/>
        <v>0.70491803278688525</v>
      </c>
      <c r="R28" s="127">
        <f t="shared" si="28"/>
        <v>0.50292397660818711</v>
      </c>
      <c r="T28" s="81">
        <f>U28-1</f>
        <v>8</v>
      </c>
      <c r="U28" s="81">
        <f>$G$22-4</f>
        <v>9</v>
      </c>
      <c r="V28" s="129">
        <f t="shared" si="29"/>
        <v>0.61538461538461542</v>
      </c>
      <c r="W28" s="129">
        <f t="shared" si="30"/>
        <v>0.88888888888888884</v>
      </c>
      <c r="X28" s="127">
        <f t="shared" si="31"/>
        <v>0.7272727272727274</v>
      </c>
      <c r="Z28" s="81">
        <v>17</v>
      </c>
      <c r="AA28" s="81">
        <v>56</v>
      </c>
      <c r="AB28" s="129">
        <f t="shared" si="32"/>
        <v>0.16346153846153846</v>
      </c>
      <c r="AC28" s="129">
        <f t="shared" si="33"/>
        <v>0.30357142857142855</v>
      </c>
      <c r="AD28" s="127">
        <f t="shared" si="34"/>
        <v>0.21249999999999999</v>
      </c>
      <c r="AF28" s="81">
        <f t="shared" si="36"/>
        <v>0</v>
      </c>
      <c r="AG28" s="81">
        <v>0</v>
      </c>
      <c r="AH28" s="127">
        <f t="shared" si="35"/>
        <v>0</v>
      </c>
      <c r="AI28" s="127">
        <v>0</v>
      </c>
      <c r="BP28" t="str">
        <f t="shared" si="37"/>
        <v>8-4 &amp;  &amp; 0.390909090909091 &amp; 0.704918032786885 &amp; 0.502923976608187 &amp; 0.615384615384615 &amp; 0.888888888888889 &amp; 0.727272727272727 &amp; 0.163461538461538 &amp; 0.303571428571429 &amp; 0.2125 &amp; 0 &amp; 0 &amp; 0 &amp; 0 \\ \hline</v>
      </c>
    </row>
    <row r="29" spans="1:68">
      <c r="A29" t="s">
        <v>668</v>
      </c>
      <c r="C29" s="98"/>
      <c r="I29" s="14"/>
      <c r="J29" s="77" t="s">
        <v>670</v>
      </c>
      <c r="L29" s="2"/>
      <c r="N29" s="81">
        <f>O29-5</f>
        <v>30</v>
      </c>
      <c r="O29" s="81">
        <f>30+5</f>
        <v>35</v>
      </c>
      <c r="P29" s="129">
        <f t="shared" si="26"/>
        <v>0.27272727272727271</v>
      </c>
      <c r="Q29" s="129">
        <f t="shared" si="27"/>
        <v>0.8571428571428571</v>
      </c>
      <c r="R29" s="127">
        <f t="shared" si="28"/>
        <v>0.41379310344827586</v>
      </c>
      <c r="T29" s="81">
        <f>U29-1</f>
        <v>11</v>
      </c>
      <c r="U29" s="81">
        <f>$G$22-1</f>
        <v>12</v>
      </c>
      <c r="V29" s="129">
        <f t="shared" si="29"/>
        <v>0.84615384615384615</v>
      </c>
      <c r="W29" s="129">
        <f t="shared" si="30"/>
        <v>0.91666666666666663</v>
      </c>
      <c r="X29" s="127">
        <f t="shared" si="31"/>
        <v>0.87999999999999989</v>
      </c>
      <c r="Z29" s="81">
        <v>2</v>
      </c>
      <c r="AA29" s="81">
        <v>30</v>
      </c>
      <c r="AB29" s="129">
        <f t="shared" si="32"/>
        <v>1.9230769230769232E-2</v>
      </c>
      <c r="AC29" s="129">
        <f t="shared" si="33"/>
        <v>6.6666666666666666E-2</v>
      </c>
      <c r="AD29" s="127">
        <f t="shared" si="34"/>
        <v>2.9850746268656716E-2</v>
      </c>
      <c r="AF29" s="81">
        <f>AG29-1</f>
        <v>11</v>
      </c>
      <c r="AG29" s="81">
        <v>12</v>
      </c>
      <c r="AH29" s="127">
        <f t="shared" si="35"/>
        <v>0.22916666666666666</v>
      </c>
      <c r="AI29" s="127">
        <f>AF29/AG29</f>
        <v>0.91666666666666663</v>
      </c>
      <c r="BP29" t="str">
        <f t="shared" si="37"/>
        <v>8-4 &amp;  &amp; 0.272727272727273 &amp; 0.857142857142857 &amp; 0.413793103448276 &amp; 0.846153846153846 &amp; 0.916666666666667 &amp; 0.88 &amp; 0.0192307692307692 &amp; 0.0666666666666667 &amp; 0.0298507462686567 &amp; 11 &amp; 12 &amp; 0.229166666666667 &amp; 0.916666666666667 \\ \hline</v>
      </c>
    </row>
    <row r="30" spans="1:68">
      <c r="A30" t="s">
        <v>669</v>
      </c>
      <c r="C30" s="98"/>
      <c r="I30" s="14"/>
      <c r="J30" s="77" t="s">
        <v>670</v>
      </c>
      <c r="L30" s="2"/>
      <c r="N30" s="81">
        <f>O30-8</f>
        <v>31</v>
      </c>
      <c r="O30" s="81">
        <f>34+5</f>
        <v>39</v>
      </c>
      <c r="P30" s="129">
        <f t="shared" si="26"/>
        <v>0.2818181818181818</v>
      </c>
      <c r="Q30" s="129">
        <f t="shared" si="27"/>
        <v>0.79487179487179482</v>
      </c>
      <c r="R30" s="127">
        <f t="shared" si="28"/>
        <v>0.41610738255033553</v>
      </c>
      <c r="T30" s="81">
        <f>U30-1</f>
        <v>8</v>
      </c>
      <c r="U30" s="81">
        <f>$G$22-4</f>
        <v>9</v>
      </c>
      <c r="V30" s="129">
        <f t="shared" si="29"/>
        <v>0.61538461538461542</v>
      </c>
      <c r="W30" s="129">
        <f t="shared" si="30"/>
        <v>0.88888888888888884</v>
      </c>
      <c r="X30" s="127">
        <f t="shared" si="31"/>
        <v>0.7272727272727274</v>
      </c>
      <c r="Z30" s="81">
        <v>4</v>
      </c>
      <c r="AA30" s="81">
        <v>34</v>
      </c>
      <c r="AB30" s="129">
        <f t="shared" si="32"/>
        <v>3.8461538461538464E-2</v>
      </c>
      <c r="AC30" s="129">
        <f t="shared" si="33"/>
        <v>0.11764705882352941</v>
      </c>
      <c r="AD30" s="127">
        <f t="shared" si="34"/>
        <v>5.7971014492753631E-2</v>
      </c>
      <c r="AF30" s="81">
        <f t="shared" si="36"/>
        <v>7</v>
      </c>
      <c r="AG30" s="81">
        <v>7</v>
      </c>
      <c r="AH30" s="127">
        <f t="shared" si="35"/>
        <v>0.14583333333333334</v>
      </c>
      <c r="AI30" s="127">
        <f>AF30/AG30</f>
        <v>1</v>
      </c>
      <c r="BP30" t="str">
        <f t="shared" si="37"/>
        <v>8-4 &amp;  &amp; 0.281818181818182 &amp; 0.794871794871795 &amp; 0.416107382550336 &amp; 0.615384615384615 &amp; 0.888888888888889 &amp; 0.727272727272727 &amp; 0.0384615384615385 &amp; 0.117647058823529 &amp; 0.0579710144927536 &amp; 7 &amp; 7 &amp; 0.145833333333333 &amp; 1 \\ \hline</v>
      </c>
    </row>
    <row r="31" spans="1:68">
      <c r="C31" s="98"/>
      <c r="L31" s="14"/>
    </row>
    <row r="32" spans="1:68" s="75" customFormat="1">
      <c r="A32" s="73" t="s">
        <v>345</v>
      </c>
      <c r="B32" s="95"/>
      <c r="C32" s="198" t="s">
        <v>141</v>
      </c>
      <c r="D32" s="78">
        <f>VLOOKUP($C$32,Overview!$Q$2:$AS$64,23,FALSE)</f>
        <v>7.1416786799633689</v>
      </c>
      <c r="E32" s="78" t="str">
        <f>VLOOKUP($C$32,Overview!$Q$2:$AS$64,24,FALSE)</f>
        <v>high</v>
      </c>
      <c r="F32" s="75">
        <f>VLOOKUP(C32,Overview!$Q$2:$AS$64,13,FALSE)</f>
        <v>130</v>
      </c>
      <c r="G32" s="75">
        <f>VLOOKUP(C32,Overview!$Q$2:$AS$64,16,FALSE)</f>
        <v>16</v>
      </c>
      <c r="H32" s="75">
        <f>VLOOKUP(C32,Overview!$Q$2:$AS$64,18,FALSE)</f>
        <v>50</v>
      </c>
      <c r="I32" s="75">
        <f>VLOOKUP($C$32,Overview!$Q$2:$AS$64,19,FALSE)</f>
        <v>126</v>
      </c>
      <c r="K32" s="96"/>
      <c r="L32" s="96"/>
      <c r="M32" s="115"/>
      <c r="N32" s="97"/>
      <c r="O32" s="97"/>
      <c r="P32" s="124"/>
      <c r="Q32" s="124"/>
      <c r="R32" s="80"/>
      <c r="S32" s="115"/>
      <c r="T32" s="97"/>
      <c r="U32" s="97"/>
      <c r="V32" s="124"/>
      <c r="W32" s="124"/>
      <c r="X32" s="80"/>
      <c r="Y32" s="115"/>
      <c r="Z32" s="97"/>
      <c r="AA32" s="97"/>
      <c r="AB32" s="124"/>
      <c r="AC32" s="124"/>
      <c r="AD32" s="80"/>
      <c r="AE32" s="115"/>
      <c r="AF32" s="97"/>
      <c r="AG32" s="97"/>
      <c r="AH32" s="80"/>
      <c r="AI32" s="97"/>
      <c r="AJ32" s="97"/>
      <c r="AK32" s="115"/>
      <c r="AL32" s="122"/>
      <c r="AM32" s="101"/>
      <c r="AP32" s="101"/>
      <c r="AQ32" s="101"/>
      <c r="AU32" s="119"/>
      <c r="AV32" s="101"/>
      <c r="AW32" s="101"/>
      <c r="AX32" s="101"/>
      <c r="AY32" s="101"/>
      <c r="AZ32" s="101"/>
      <c r="BA32" s="83"/>
      <c r="BC32" s="101"/>
      <c r="BP32"/>
    </row>
    <row r="33" spans="1:68">
      <c r="A33" t="s">
        <v>305</v>
      </c>
      <c r="C33" s="98"/>
      <c r="J33" s="77" t="s">
        <v>672</v>
      </c>
      <c r="K33" s="200"/>
      <c r="L33" s="2"/>
      <c r="N33" s="81">
        <f>O33-15</f>
        <v>54</v>
      </c>
      <c r="O33" s="81">
        <f>$F$32-61</f>
        <v>69</v>
      </c>
      <c r="P33" s="129">
        <f t="shared" ref="P33:P40" si="38">N33/$F$32</f>
        <v>0.41538461538461541</v>
      </c>
      <c r="Q33" s="129">
        <f t="shared" ref="Q33:Q40" si="39">N33/O33</f>
        <v>0.78260869565217395</v>
      </c>
      <c r="R33" s="127">
        <f t="shared" ref="R33:R40" si="40">2*(P33*Q33)/(P33+Q33)</f>
        <v>0.542713567839196</v>
      </c>
      <c r="T33" s="81">
        <f>U33-2</f>
        <v>4</v>
      </c>
      <c r="U33" s="81">
        <f>$G$32-10</f>
        <v>6</v>
      </c>
      <c r="V33" s="129">
        <f t="shared" ref="V33:V40" si="41">T33/$G$32</f>
        <v>0.25</v>
      </c>
      <c r="W33" s="129">
        <f t="shared" ref="W33:W40" si="42">T33/U33</f>
        <v>0.66666666666666663</v>
      </c>
      <c r="X33" s="127">
        <f t="shared" ref="X33:X40" si="43">2*(V33*W33)/(V33+W33)</f>
        <v>0.36363636363636365</v>
      </c>
      <c r="Z33" s="81">
        <f>AA33-25</f>
        <v>40</v>
      </c>
      <c r="AA33" s="81">
        <f>$I$32-61</f>
        <v>65</v>
      </c>
      <c r="AB33" s="129">
        <f t="shared" ref="AB33:AB40" si="44">Z33/$I$32</f>
        <v>0.31746031746031744</v>
      </c>
      <c r="AC33" s="129">
        <f t="shared" ref="AC33:AC40" si="45">Z33/AA33</f>
        <v>0.61538461538461542</v>
      </c>
      <c r="AD33" s="127">
        <f t="shared" ref="AD33:AD40" si="46">2*(AB33*AC33)/(AB33+AC33)</f>
        <v>0.41884816753926701</v>
      </c>
      <c r="AF33" s="81">
        <f>AG33-0</f>
        <v>2</v>
      </c>
      <c r="AG33" s="81">
        <v>2</v>
      </c>
      <c r="AH33" s="127">
        <f t="shared" ref="AH33:AH40" si="47">AF33/$H$32</f>
        <v>0.04</v>
      </c>
      <c r="AI33" s="127">
        <f t="shared" ref="AI33:AI40" si="48">AF33/AG33</f>
        <v>1</v>
      </c>
      <c r="BP33" t="str">
        <f>_xlfn.CONCAT($C$32," &amp; ",C33," &amp; ",P33," &amp; ",Q33," &amp; ",R33," &amp; ",V33," &amp; ",W33," &amp; ",X33," &amp; ",AB33," &amp; ",AC33," &amp; ",AD33," &amp; ",AF33," &amp; ",AG33," &amp; ",AH33," &amp; ",AI33, " \\ \hline")</f>
        <v>2-2 &amp;  &amp; 0.415384615384615 &amp; 0.782608695652174 &amp; 0.542713567839196 &amp; 0.25 &amp; 0.666666666666667 &amp; 0.363636363636364 &amp; 0.317460317460317 &amp; 0.615384615384615 &amp; 0.418848167539267 &amp; 2 &amp; 2 &amp; 0.04 &amp; 1 \\ \hline</v>
      </c>
    </row>
    <row r="34" spans="1:68">
      <c r="A34" t="s">
        <v>306</v>
      </c>
      <c r="C34" s="98"/>
      <c r="J34" s="77" t="s">
        <v>672</v>
      </c>
      <c r="K34" s="199"/>
      <c r="L34" s="2"/>
      <c r="N34" s="81">
        <f>O34-20</f>
        <v>68</v>
      </c>
      <c r="O34" s="81">
        <f>$F$32-42</f>
        <v>88</v>
      </c>
      <c r="P34" s="129">
        <f t="shared" si="38"/>
        <v>0.52307692307692311</v>
      </c>
      <c r="Q34" s="129">
        <f t="shared" si="39"/>
        <v>0.77272727272727271</v>
      </c>
      <c r="R34" s="127">
        <f t="shared" si="40"/>
        <v>0.62385321100917424</v>
      </c>
      <c r="T34" s="81">
        <f>U34-8</f>
        <v>4</v>
      </c>
      <c r="U34" s="81">
        <f>$G$32-4</f>
        <v>12</v>
      </c>
      <c r="V34" s="129">
        <f t="shared" si="41"/>
        <v>0.25</v>
      </c>
      <c r="W34" s="129">
        <f t="shared" si="42"/>
        <v>0.33333333333333331</v>
      </c>
      <c r="X34" s="127">
        <f t="shared" si="43"/>
        <v>0.28571428571428575</v>
      </c>
      <c r="Z34" s="81">
        <f>AA34-43</f>
        <v>41</v>
      </c>
      <c r="AA34" s="81">
        <f>$I$32-42</f>
        <v>84</v>
      </c>
      <c r="AB34" s="129">
        <f t="shared" si="44"/>
        <v>0.32539682539682541</v>
      </c>
      <c r="AC34" s="129">
        <f t="shared" si="45"/>
        <v>0.48809523809523808</v>
      </c>
      <c r="AD34" s="127">
        <f t="shared" si="46"/>
        <v>0.39047619047619042</v>
      </c>
      <c r="AF34" s="81">
        <f t="shared" ref="AF34:AF40" si="49">AG34-0</f>
        <v>1</v>
      </c>
      <c r="AG34" s="81">
        <v>1</v>
      </c>
      <c r="AH34" s="127">
        <f t="shared" si="47"/>
        <v>0.02</v>
      </c>
      <c r="AI34" s="127">
        <f t="shared" si="48"/>
        <v>1</v>
      </c>
      <c r="BP34" t="str">
        <f t="shared" ref="BP34:BP40" si="50">_xlfn.CONCAT($C$32," &amp; ",C34," &amp; ",P34," &amp; ",Q34," &amp; ",R34," &amp; ",V34," &amp; ",W34," &amp; ",X34," &amp; ",AB34," &amp; ",AC34," &amp; ",AD34," &amp; ",AF34," &amp; ",AG34," &amp; ",AH34," &amp; ",AI34, " \\ \hline")</f>
        <v>2-2 &amp;  &amp; 0.523076923076923 &amp; 0.772727272727273 &amp; 0.623853211009174 &amp; 0.25 &amp; 0.333333333333333 &amp; 0.285714285714286 &amp; 0.325396825396825 &amp; 0.488095238095238 &amp; 0.39047619047619 &amp; 1 &amp; 1 &amp; 0.02 &amp; 1 \\ \hline</v>
      </c>
    </row>
    <row r="35" spans="1:68">
      <c r="A35" t="s">
        <v>307</v>
      </c>
      <c r="C35" s="98"/>
      <c r="J35" s="77" t="s">
        <v>671</v>
      </c>
      <c r="K35" s="199"/>
      <c r="L35" s="2"/>
      <c r="N35" s="81">
        <f>O35-10</f>
        <v>62</v>
      </c>
      <c r="O35" s="81">
        <f>$F$32-58</f>
        <v>72</v>
      </c>
      <c r="P35" s="129">
        <f t="shared" si="38"/>
        <v>0.47692307692307695</v>
      </c>
      <c r="Q35" s="129">
        <f t="shared" si="39"/>
        <v>0.86111111111111116</v>
      </c>
      <c r="R35" s="127">
        <f t="shared" si="40"/>
        <v>0.61386138613861385</v>
      </c>
      <c r="T35" s="81">
        <f>U35-5</f>
        <v>4</v>
      </c>
      <c r="U35" s="81">
        <f>$G$32-7</f>
        <v>9</v>
      </c>
      <c r="V35" s="129">
        <f t="shared" si="41"/>
        <v>0.25</v>
      </c>
      <c r="W35" s="129">
        <f t="shared" si="42"/>
        <v>0.44444444444444442</v>
      </c>
      <c r="X35" s="127">
        <f t="shared" si="43"/>
        <v>0.32</v>
      </c>
      <c r="Z35" s="81">
        <f>AA35-14</f>
        <v>54</v>
      </c>
      <c r="AA35" s="81">
        <f>$I$32-58</f>
        <v>68</v>
      </c>
      <c r="AB35" s="129">
        <f t="shared" si="44"/>
        <v>0.42857142857142855</v>
      </c>
      <c r="AC35" s="129">
        <f t="shared" si="45"/>
        <v>0.79411764705882348</v>
      </c>
      <c r="AD35" s="127">
        <f t="shared" si="46"/>
        <v>0.55670103092783507</v>
      </c>
      <c r="AF35" s="81">
        <f t="shared" si="49"/>
        <v>1</v>
      </c>
      <c r="AG35" s="81">
        <v>1</v>
      </c>
      <c r="AH35" s="127">
        <f t="shared" si="47"/>
        <v>0.02</v>
      </c>
      <c r="AI35" s="127">
        <f t="shared" si="48"/>
        <v>1</v>
      </c>
      <c r="BP35" t="str">
        <f t="shared" si="50"/>
        <v>2-2 &amp;  &amp; 0.476923076923077 &amp; 0.861111111111111 &amp; 0.613861386138614 &amp; 0.25 &amp; 0.444444444444444 &amp; 0.32 &amp; 0.428571428571429 &amp; 0.794117647058823 &amp; 0.556701030927835 &amp; 1 &amp; 1 &amp; 0.02 &amp; 1 \\ \hline</v>
      </c>
    </row>
    <row r="36" spans="1:68">
      <c r="A36" t="s">
        <v>308</v>
      </c>
      <c r="C36" s="98"/>
      <c r="J36" s="77" t="s">
        <v>671</v>
      </c>
      <c r="K36" s="199"/>
      <c r="L36" s="2"/>
      <c r="N36" s="81">
        <f>O36-13</f>
        <v>63</v>
      </c>
      <c r="O36" s="81">
        <f>$F$32-54</f>
        <v>76</v>
      </c>
      <c r="P36" s="129">
        <f t="shared" si="38"/>
        <v>0.48461538461538461</v>
      </c>
      <c r="Q36" s="129">
        <f t="shared" si="39"/>
        <v>0.82894736842105265</v>
      </c>
      <c r="R36" s="127">
        <f t="shared" si="40"/>
        <v>0.61165048543689315</v>
      </c>
      <c r="T36" s="81">
        <f>U36-5</f>
        <v>4</v>
      </c>
      <c r="U36" s="81">
        <f>$G$32-7</f>
        <v>9</v>
      </c>
      <c r="V36" s="129">
        <f t="shared" si="41"/>
        <v>0.25</v>
      </c>
      <c r="W36" s="129">
        <f t="shared" si="42"/>
        <v>0.44444444444444442</v>
      </c>
      <c r="X36" s="127">
        <f t="shared" si="43"/>
        <v>0.32</v>
      </c>
      <c r="Z36" s="81">
        <f>AA36-21</f>
        <v>51</v>
      </c>
      <c r="AA36" s="81">
        <f>$I$32-54</f>
        <v>72</v>
      </c>
      <c r="AB36" s="129">
        <f t="shared" si="44"/>
        <v>0.40476190476190477</v>
      </c>
      <c r="AC36" s="129">
        <f t="shared" si="45"/>
        <v>0.70833333333333337</v>
      </c>
      <c r="AD36" s="127">
        <f t="shared" si="46"/>
        <v>0.51515151515151525</v>
      </c>
      <c r="AF36" s="81">
        <f t="shared" si="49"/>
        <v>2</v>
      </c>
      <c r="AG36" s="81">
        <v>2</v>
      </c>
      <c r="AH36" s="127">
        <f t="shared" si="47"/>
        <v>0.04</v>
      </c>
      <c r="AI36" s="127">
        <f t="shared" si="48"/>
        <v>1</v>
      </c>
      <c r="BP36" t="str">
        <f t="shared" si="50"/>
        <v>2-2 &amp;  &amp; 0.484615384615385 &amp; 0.828947368421053 &amp; 0.611650485436893 &amp; 0.25 &amp; 0.444444444444444 &amp; 0.32 &amp; 0.404761904761905 &amp; 0.708333333333333 &amp; 0.515151515151515 &amp; 2 &amp; 2 &amp; 0.04 &amp; 1 \\ \hline</v>
      </c>
    </row>
    <row r="37" spans="1:68">
      <c r="A37" t="s">
        <v>309</v>
      </c>
      <c r="C37" s="98"/>
      <c r="J37" s="77" t="s">
        <v>673</v>
      </c>
      <c r="K37" s="199"/>
      <c r="L37" s="2"/>
      <c r="N37" s="81">
        <f>O37-19</f>
        <v>104</v>
      </c>
      <c r="O37" s="81">
        <f>119+4</f>
        <v>123</v>
      </c>
      <c r="P37" s="129">
        <f t="shared" si="38"/>
        <v>0.8</v>
      </c>
      <c r="Q37" s="129">
        <f t="shared" si="39"/>
        <v>0.84552845528455289</v>
      </c>
      <c r="R37" s="127">
        <f t="shared" si="40"/>
        <v>0.82213438735177879</v>
      </c>
      <c r="T37" s="81">
        <f>U37-6</f>
        <v>7</v>
      </c>
      <c r="U37" s="81">
        <f>$G$32-3</f>
        <v>13</v>
      </c>
      <c r="V37" s="129">
        <f t="shared" si="41"/>
        <v>0.4375</v>
      </c>
      <c r="W37" s="129">
        <f t="shared" si="42"/>
        <v>0.53846153846153844</v>
      </c>
      <c r="X37" s="127">
        <f t="shared" si="43"/>
        <v>0.48275862068965519</v>
      </c>
      <c r="Z37" s="81">
        <f>AA37-90</f>
        <v>29</v>
      </c>
      <c r="AA37" s="81">
        <v>119</v>
      </c>
      <c r="AB37" s="129">
        <f t="shared" si="44"/>
        <v>0.23015873015873015</v>
      </c>
      <c r="AC37" s="129">
        <f t="shared" si="45"/>
        <v>0.24369747899159663</v>
      </c>
      <c r="AD37" s="127">
        <f t="shared" si="46"/>
        <v>0.236734693877551</v>
      </c>
      <c r="AF37" s="81">
        <f t="shared" si="49"/>
        <v>1</v>
      </c>
      <c r="AG37" s="81">
        <v>1</v>
      </c>
      <c r="AH37" s="127">
        <f t="shared" si="47"/>
        <v>0.02</v>
      </c>
      <c r="AI37" s="127">
        <f t="shared" si="48"/>
        <v>1</v>
      </c>
      <c r="BP37" t="str">
        <f t="shared" si="50"/>
        <v>2-2 &amp;  &amp; 0.8 &amp; 0.845528455284553 &amp; 0.822134387351779 &amp; 0.4375 &amp; 0.538461538461538 &amp; 0.482758620689655 &amp; 0.23015873015873 &amp; 0.243697478991597 &amp; 0.236734693877551 &amp; 1 &amp; 1 &amp; 0.02 &amp; 1 \\ \hline</v>
      </c>
    </row>
    <row r="38" spans="1:68">
      <c r="A38" t="s">
        <v>667</v>
      </c>
      <c r="C38" s="98"/>
      <c r="J38" s="77" t="s">
        <v>673</v>
      </c>
      <c r="K38" s="199"/>
      <c r="L38" s="2"/>
      <c r="N38" s="81">
        <f>O38-11</f>
        <v>103</v>
      </c>
      <c r="O38" s="81">
        <f>110+4</f>
        <v>114</v>
      </c>
      <c r="P38" s="129">
        <f t="shared" si="38"/>
        <v>0.79230769230769227</v>
      </c>
      <c r="Q38" s="129">
        <f t="shared" si="39"/>
        <v>0.90350877192982459</v>
      </c>
      <c r="R38" s="127">
        <f t="shared" si="40"/>
        <v>0.84426229508196726</v>
      </c>
      <c r="T38" s="81">
        <f>U38-3</f>
        <v>11</v>
      </c>
      <c r="U38" s="81">
        <f>$G$32-2</f>
        <v>14</v>
      </c>
      <c r="V38" s="129">
        <f t="shared" si="41"/>
        <v>0.6875</v>
      </c>
      <c r="W38" s="129">
        <f t="shared" si="42"/>
        <v>0.7857142857142857</v>
      </c>
      <c r="X38" s="127">
        <f t="shared" si="43"/>
        <v>0.73333333333333339</v>
      </c>
      <c r="Z38" s="81">
        <f>AA38-58</f>
        <v>52</v>
      </c>
      <c r="AA38" s="81">
        <v>110</v>
      </c>
      <c r="AB38" s="129">
        <f t="shared" si="44"/>
        <v>0.41269841269841268</v>
      </c>
      <c r="AC38" s="129">
        <f t="shared" si="45"/>
        <v>0.47272727272727272</v>
      </c>
      <c r="AD38" s="127">
        <f t="shared" si="46"/>
        <v>0.44067796610169485</v>
      </c>
      <c r="AF38" s="81">
        <f t="shared" si="49"/>
        <v>1</v>
      </c>
      <c r="AG38" s="81">
        <v>1</v>
      </c>
      <c r="AH38" s="127">
        <f t="shared" si="47"/>
        <v>0.02</v>
      </c>
      <c r="AI38" s="127">
        <f t="shared" si="48"/>
        <v>1</v>
      </c>
      <c r="BP38" t="str">
        <f t="shared" si="50"/>
        <v>2-2 &amp;  &amp; 0.792307692307692 &amp; 0.903508771929825 &amp; 0.844262295081967 &amp; 0.6875 &amp; 0.785714285714286 &amp; 0.733333333333333 &amp; 0.412698412698413 &amp; 0.472727272727273 &amp; 0.440677966101695 &amp; 1 &amp; 1 &amp; 0.02 &amp; 1 \\ \hline</v>
      </c>
    </row>
    <row r="39" spans="1:68">
      <c r="A39" t="s">
        <v>668</v>
      </c>
      <c r="C39" s="98"/>
      <c r="J39" s="77" t="s">
        <v>670</v>
      </c>
      <c r="K39" s="199"/>
      <c r="L39" s="2"/>
      <c r="N39" s="81">
        <f>O39-25</f>
        <v>71</v>
      </c>
      <c r="O39" s="81">
        <f>$F$32-34</f>
        <v>96</v>
      </c>
      <c r="P39" s="129">
        <f t="shared" si="38"/>
        <v>0.5461538461538461</v>
      </c>
      <c r="Q39" s="129">
        <f t="shared" si="39"/>
        <v>0.73958333333333337</v>
      </c>
      <c r="R39" s="127">
        <f t="shared" si="40"/>
        <v>0.62831858407079644</v>
      </c>
      <c r="T39" s="81">
        <f>U39-7</f>
        <v>5</v>
      </c>
      <c r="U39" s="81">
        <f>$G$32-4</f>
        <v>12</v>
      </c>
      <c r="V39" s="129">
        <f t="shared" si="41"/>
        <v>0.3125</v>
      </c>
      <c r="W39" s="129">
        <f t="shared" si="42"/>
        <v>0.41666666666666669</v>
      </c>
      <c r="X39" s="127">
        <f t="shared" si="43"/>
        <v>0.35714285714285715</v>
      </c>
      <c r="Z39" s="81">
        <f>AA39-25</f>
        <v>67</v>
      </c>
      <c r="AA39" s="81">
        <f>$I$32-34</f>
        <v>92</v>
      </c>
      <c r="AB39" s="129">
        <f t="shared" si="44"/>
        <v>0.53174603174603174</v>
      </c>
      <c r="AC39" s="129">
        <f t="shared" si="45"/>
        <v>0.72826086956521741</v>
      </c>
      <c r="AD39" s="127">
        <f t="shared" si="46"/>
        <v>0.61467889908256879</v>
      </c>
      <c r="AF39" s="81">
        <f t="shared" si="49"/>
        <v>2</v>
      </c>
      <c r="AG39" s="81">
        <v>2</v>
      </c>
      <c r="AH39" s="127">
        <f t="shared" si="47"/>
        <v>0.04</v>
      </c>
      <c r="AI39" s="127">
        <f t="shared" si="48"/>
        <v>1</v>
      </c>
      <c r="BP39" t="str">
        <f t="shared" si="50"/>
        <v>2-2 &amp;  &amp; 0.546153846153846 &amp; 0.739583333333333 &amp; 0.628318584070796 &amp; 0.3125 &amp; 0.416666666666667 &amp; 0.357142857142857 &amp; 0.531746031746032 &amp; 0.728260869565217 &amp; 0.614678899082569 &amp; 2 &amp; 2 &amp; 0.04 &amp; 1 \\ \hline</v>
      </c>
    </row>
    <row r="40" spans="1:68">
      <c r="A40" t="s">
        <v>669</v>
      </c>
      <c r="C40" s="98"/>
      <c r="J40" s="77" t="s">
        <v>670</v>
      </c>
      <c r="K40" s="199"/>
      <c r="L40" s="2"/>
      <c r="N40" s="81">
        <f>O40-17</f>
        <v>63</v>
      </c>
      <c r="O40" s="81">
        <f>$F$32-50</f>
        <v>80</v>
      </c>
      <c r="P40" s="129">
        <f t="shared" si="38"/>
        <v>0.48461538461538461</v>
      </c>
      <c r="Q40" s="129">
        <f t="shared" si="39"/>
        <v>0.78749999999999998</v>
      </c>
      <c r="R40" s="127">
        <f t="shared" si="40"/>
        <v>0.6</v>
      </c>
      <c r="T40" s="81">
        <f>U40-6</f>
        <v>4</v>
      </c>
      <c r="U40" s="81">
        <f>$G$32-6</f>
        <v>10</v>
      </c>
      <c r="V40" s="129">
        <f t="shared" si="41"/>
        <v>0.25</v>
      </c>
      <c r="W40" s="129">
        <f t="shared" si="42"/>
        <v>0.4</v>
      </c>
      <c r="X40" s="127">
        <f t="shared" si="43"/>
        <v>0.30769230769230771</v>
      </c>
      <c r="Z40" s="81">
        <f>AA40-32</f>
        <v>44</v>
      </c>
      <c r="AA40" s="81">
        <f>$I$32-50</f>
        <v>76</v>
      </c>
      <c r="AB40" s="129">
        <f t="shared" si="44"/>
        <v>0.34920634920634919</v>
      </c>
      <c r="AC40" s="129">
        <f t="shared" si="45"/>
        <v>0.57894736842105265</v>
      </c>
      <c r="AD40" s="127">
        <f t="shared" si="46"/>
        <v>0.43564356435643564</v>
      </c>
      <c r="AF40" s="81">
        <f t="shared" si="49"/>
        <v>1</v>
      </c>
      <c r="AG40" s="81">
        <v>1</v>
      </c>
      <c r="AH40" s="127">
        <f t="shared" si="47"/>
        <v>0.02</v>
      </c>
      <c r="AI40" s="127">
        <f t="shared" si="48"/>
        <v>1</v>
      </c>
      <c r="BP40" t="str">
        <f t="shared" si="50"/>
        <v>2-2 &amp;  &amp; 0.484615384615385 &amp; 0.7875 &amp; 0.6 &amp; 0.25 &amp; 0.4 &amp; 0.307692307692308 &amp; 0.349206349206349 &amp; 0.578947368421053 &amp; 0.435643564356436 &amp; 1 &amp; 1 &amp; 0.02 &amp; 1 \\ \hline</v>
      </c>
    </row>
    <row r="41" spans="1:68">
      <c r="K41" s="199"/>
      <c r="L41" s="2"/>
    </row>
    <row r="42" spans="1:68" s="75" customFormat="1">
      <c r="A42" s="73" t="s">
        <v>400</v>
      </c>
      <c r="C42" s="198" t="s">
        <v>140</v>
      </c>
      <c r="D42" s="78">
        <f>VLOOKUP($C$42,Overview!$Q$2:$AS$64,23,FALSE)</f>
        <v>12.011083863483384</v>
      </c>
      <c r="E42" s="78" t="str">
        <f>VLOOKUP($C$42,Overview!$Q$2:$AS$64,24,FALSE)</f>
        <v>high</v>
      </c>
      <c r="F42" s="75">
        <f>VLOOKUP(C42,Overview!$Q$2:$AS$64,13,FALSE)</f>
        <v>169</v>
      </c>
      <c r="G42" s="75">
        <f>VLOOKUP(C42,Overview!$Q$2:$AS$64,16,FALSE)</f>
        <v>18</v>
      </c>
      <c r="H42" s="75">
        <f>VLOOKUP(C42,Overview!$Q$2:$AS$64,18,FALSE)</f>
        <v>59</v>
      </c>
      <c r="I42" s="75">
        <f>VLOOKUP($C$42,Overview!$Q$2:$AS$64,19,FALSE)</f>
        <v>165</v>
      </c>
      <c r="K42" s="96"/>
      <c r="L42" s="96"/>
      <c r="M42" s="115"/>
      <c r="N42" s="97"/>
      <c r="O42" s="97"/>
      <c r="P42" s="124"/>
      <c r="Q42" s="124"/>
      <c r="R42" s="80"/>
      <c r="S42" s="115"/>
      <c r="T42" s="97"/>
      <c r="U42" s="97"/>
      <c r="V42" s="124"/>
      <c r="W42" s="124"/>
      <c r="X42" s="80"/>
      <c r="Y42" s="115"/>
      <c r="Z42" s="97"/>
      <c r="AA42" s="97"/>
      <c r="AB42" s="124"/>
      <c r="AC42" s="124"/>
      <c r="AD42" s="80"/>
      <c r="AE42" s="115"/>
      <c r="AF42" s="97"/>
      <c r="AG42" s="97"/>
      <c r="AH42" s="80"/>
      <c r="AI42" s="97"/>
      <c r="AJ42" s="97"/>
      <c r="AK42" s="115"/>
      <c r="AL42" s="122"/>
      <c r="AM42" s="101"/>
      <c r="AP42" s="101"/>
      <c r="AQ42" s="101"/>
      <c r="AU42" s="119"/>
      <c r="AV42" s="101"/>
      <c r="AW42" s="101"/>
      <c r="AX42" s="101"/>
      <c r="AY42" s="101"/>
      <c r="AZ42" s="101"/>
      <c r="BA42" s="83"/>
      <c r="BC42" s="101"/>
      <c r="BP42"/>
    </row>
    <row r="43" spans="1:68">
      <c r="A43" t="s">
        <v>305</v>
      </c>
      <c r="C43" s="98"/>
      <c r="J43" s="77" t="s">
        <v>672</v>
      </c>
      <c r="K43" s="199"/>
      <c r="L43" s="2"/>
      <c r="N43" s="81">
        <f>O43-15</f>
        <v>53</v>
      </c>
      <c r="O43" s="81">
        <f>64+4</f>
        <v>68</v>
      </c>
      <c r="P43" s="129">
        <f t="shared" ref="P43:P50" si="51">N43/$F$42</f>
        <v>0.31360946745562129</v>
      </c>
      <c r="Q43" s="129">
        <f t="shared" ref="Q43:Q50" si="52">N43/O43</f>
        <v>0.77941176470588236</v>
      </c>
      <c r="R43" s="127">
        <f t="shared" ref="R43:R50" si="53">2*(P43*Q43)/(P43+Q43)</f>
        <v>0.44725738396624476</v>
      </c>
      <c r="T43" s="81">
        <f>U43-5</f>
        <v>5</v>
      </c>
      <c r="U43" s="81">
        <f>$G$42-8</f>
        <v>10</v>
      </c>
      <c r="V43" s="129">
        <f t="shared" ref="V43:V50" si="54">T43/$G$42</f>
        <v>0.27777777777777779</v>
      </c>
      <c r="W43" s="129">
        <f t="shared" ref="W43:W50" si="55">T43/U43</f>
        <v>0.5</v>
      </c>
      <c r="X43" s="127">
        <f t="shared" ref="X43:X50" si="56">2*(V43*W43)/(V43+W43)</f>
        <v>0.35714285714285715</v>
      </c>
      <c r="Z43" s="81">
        <f>AA43-36</f>
        <v>28</v>
      </c>
      <c r="AA43" s="81">
        <v>64</v>
      </c>
      <c r="AB43" s="129">
        <f t="shared" ref="AB43:AB50" si="57">Z43/$I$42</f>
        <v>0.16969696969696971</v>
      </c>
      <c r="AC43" s="129">
        <f t="shared" ref="AC43:AC50" si="58">Z43/AA43</f>
        <v>0.4375</v>
      </c>
      <c r="AD43" s="127">
        <f t="shared" ref="AD43:AD50" si="59">2*(AB43*AC43)/(AB43+AC43)</f>
        <v>0.24454148471615722</v>
      </c>
      <c r="AF43" s="81">
        <f>AG43-0</f>
        <v>1</v>
      </c>
      <c r="AG43" s="81">
        <v>1</v>
      </c>
      <c r="AH43" s="127">
        <f t="shared" ref="AH43:AH50" si="60">AF43/$H$42</f>
        <v>1.6949152542372881E-2</v>
      </c>
      <c r="AI43" s="127">
        <f t="shared" ref="AI43:AI50" si="61">AF43/AG43</f>
        <v>1</v>
      </c>
      <c r="BP43" t="str">
        <f>_xlfn.CONCAT($C$42," &amp; ",C43," &amp; ",P43," &amp; ",Q43," &amp; ",R43," &amp; ",V43," &amp; ",W43," &amp; ",X43," &amp; ",AB43," &amp; ",AC43," &amp; ",AD43," &amp; ",AF43," &amp; ",AG43," &amp; ",AH43," &amp; ",AI43, " \\ \hline")</f>
        <v>2-1 &amp;  &amp; 0.313609467455621 &amp; 0.779411764705882 &amp; 0.447257383966245 &amp; 0.277777777777778 &amp; 0.5 &amp; 0.357142857142857 &amp; 0.16969696969697 &amp; 0.4375 &amp; 0.244541484716157 &amp; 1 &amp; 1 &amp; 0.0169491525423729 &amp; 1 \\ \hline</v>
      </c>
    </row>
    <row r="44" spans="1:68">
      <c r="A44" t="s">
        <v>306</v>
      </c>
      <c r="C44" s="98"/>
      <c r="J44" s="77" t="s">
        <v>672</v>
      </c>
      <c r="K44" s="199"/>
      <c r="L44" s="2"/>
      <c r="N44" s="81">
        <f>O44-16</f>
        <v>45</v>
      </c>
      <c r="O44" s="81">
        <f>57+4</f>
        <v>61</v>
      </c>
      <c r="P44" s="129">
        <f t="shared" si="51"/>
        <v>0.26627218934911245</v>
      </c>
      <c r="Q44" s="129">
        <f t="shared" si="52"/>
        <v>0.73770491803278693</v>
      </c>
      <c r="R44" s="127">
        <f t="shared" si="53"/>
        <v>0.39130434782608703</v>
      </c>
      <c r="T44" s="81">
        <f>U44-4</f>
        <v>8</v>
      </c>
      <c r="U44" s="81">
        <f>$G$42-6</f>
        <v>12</v>
      </c>
      <c r="V44" s="129">
        <f t="shared" si="54"/>
        <v>0.44444444444444442</v>
      </c>
      <c r="W44" s="129">
        <f t="shared" si="55"/>
        <v>0.66666666666666663</v>
      </c>
      <c r="X44" s="127">
        <f t="shared" si="56"/>
        <v>0.53333333333333333</v>
      </c>
      <c r="Z44" s="81">
        <f>AA44-18</f>
        <v>39</v>
      </c>
      <c r="AA44" s="81">
        <v>57</v>
      </c>
      <c r="AB44" s="129">
        <f t="shared" si="57"/>
        <v>0.23636363636363636</v>
      </c>
      <c r="AC44" s="129">
        <f t="shared" si="58"/>
        <v>0.68421052631578949</v>
      </c>
      <c r="AD44" s="127">
        <f t="shared" si="59"/>
        <v>0.35135135135135137</v>
      </c>
      <c r="AF44" s="81">
        <f t="shared" ref="AF44:AF50" si="62">AG44-0</f>
        <v>1</v>
      </c>
      <c r="AG44" s="81">
        <v>1</v>
      </c>
      <c r="AH44" s="127">
        <f t="shared" si="60"/>
        <v>1.6949152542372881E-2</v>
      </c>
      <c r="AI44" s="127">
        <f t="shared" si="61"/>
        <v>1</v>
      </c>
      <c r="BP44" t="str">
        <f t="shared" ref="BP44:BP50" si="63">_xlfn.CONCAT($C$42," &amp; ",C44," &amp; ",P44," &amp; ",Q44," &amp; ",R44," &amp; ",V44," &amp; ",W44," &amp; ",X44," &amp; ",AB44," &amp; ",AC44," &amp; ",AD44," &amp; ",AF44," &amp; ",AG44," &amp; ",AH44," &amp; ",AI44, " \\ \hline")</f>
        <v>2-1 &amp;  &amp; 0.266272189349112 &amp; 0.737704918032787 &amp; 0.391304347826087 &amp; 0.444444444444444 &amp; 0.666666666666667 &amp; 0.533333333333333 &amp; 0.236363636363636 &amp; 0.684210526315789 &amp; 0.351351351351351 &amp; 1 &amp; 1 &amp; 0.0169491525423729 &amp; 1 \\ \hline</v>
      </c>
    </row>
    <row r="45" spans="1:68">
      <c r="A45" t="s">
        <v>307</v>
      </c>
      <c r="C45" s="98"/>
      <c r="J45" s="77" t="s">
        <v>671</v>
      </c>
      <c r="L45" s="2"/>
      <c r="N45" s="81">
        <f>O45-29</f>
        <v>50</v>
      </c>
      <c r="O45" s="81">
        <f>75+4</f>
        <v>79</v>
      </c>
      <c r="P45" s="129">
        <f t="shared" si="51"/>
        <v>0.29585798816568049</v>
      </c>
      <c r="Q45" s="129">
        <f t="shared" si="52"/>
        <v>0.63291139240506333</v>
      </c>
      <c r="R45" s="127">
        <f t="shared" si="53"/>
        <v>0.40322580645161293</v>
      </c>
      <c r="T45" s="81">
        <f>U45-6</f>
        <v>4</v>
      </c>
      <c r="U45" s="81">
        <f>$G$42-8</f>
        <v>10</v>
      </c>
      <c r="V45" s="129">
        <f t="shared" si="54"/>
        <v>0.22222222222222221</v>
      </c>
      <c r="W45" s="129">
        <f t="shared" si="55"/>
        <v>0.4</v>
      </c>
      <c r="X45" s="127">
        <f t="shared" si="56"/>
        <v>0.2857142857142857</v>
      </c>
      <c r="Z45" s="81">
        <f>AA45-31</f>
        <v>44</v>
      </c>
      <c r="AA45" s="81">
        <v>75</v>
      </c>
      <c r="AB45" s="129">
        <f t="shared" si="57"/>
        <v>0.26666666666666666</v>
      </c>
      <c r="AC45" s="129">
        <f t="shared" si="58"/>
        <v>0.58666666666666667</v>
      </c>
      <c r="AD45" s="127">
        <f t="shared" si="59"/>
        <v>0.3666666666666667</v>
      </c>
      <c r="AF45" s="81">
        <f t="shared" si="62"/>
        <v>1</v>
      </c>
      <c r="AG45" s="81">
        <v>1</v>
      </c>
      <c r="AH45" s="127">
        <f t="shared" si="60"/>
        <v>1.6949152542372881E-2</v>
      </c>
      <c r="AI45" s="127">
        <f t="shared" si="61"/>
        <v>1</v>
      </c>
      <c r="BP45" t="str">
        <f t="shared" si="63"/>
        <v>2-1 &amp;  &amp; 0.29585798816568 &amp; 0.632911392405063 &amp; 0.403225806451613 &amp; 0.222222222222222 &amp; 0.4 &amp; 0.285714285714286 &amp; 0.266666666666667 &amp; 0.586666666666667 &amp; 0.366666666666667 &amp; 1 &amp; 1 &amp; 0.0169491525423729 &amp; 1 \\ \hline</v>
      </c>
    </row>
    <row r="46" spans="1:68">
      <c r="A46" t="s">
        <v>308</v>
      </c>
      <c r="C46" s="98"/>
      <c r="J46" s="77" t="s">
        <v>671</v>
      </c>
      <c r="L46" s="2"/>
      <c r="N46" s="81">
        <f>O46-16</f>
        <v>49</v>
      </c>
      <c r="O46" s="81">
        <f>61+4</f>
        <v>65</v>
      </c>
      <c r="P46" s="129">
        <f t="shared" si="51"/>
        <v>0.28994082840236685</v>
      </c>
      <c r="Q46" s="129">
        <f t="shared" si="52"/>
        <v>0.75384615384615383</v>
      </c>
      <c r="R46" s="127">
        <f t="shared" si="53"/>
        <v>0.41880341880341876</v>
      </c>
      <c r="T46" s="81">
        <f>U46-5</f>
        <v>5</v>
      </c>
      <c r="U46" s="81">
        <f>$G$42-8</f>
        <v>10</v>
      </c>
      <c r="V46" s="129">
        <f t="shared" si="54"/>
        <v>0.27777777777777779</v>
      </c>
      <c r="W46" s="129">
        <f t="shared" si="55"/>
        <v>0.5</v>
      </c>
      <c r="X46" s="127">
        <f t="shared" si="56"/>
        <v>0.35714285714285715</v>
      </c>
      <c r="Z46" s="81">
        <f>AA46-21</f>
        <v>40</v>
      </c>
      <c r="AA46" s="81">
        <v>61</v>
      </c>
      <c r="AB46" s="129">
        <f t="shared" si="57"/>
        <v>0.24242424242424243</v>
      </c>
      <c r="AC46" s="129">
        <f t="shared" si="58"/>
        <v>0.65573770491803274</v>
      </c>
      <c r="AD46" s="127">
        <f t="shared" si="59"/>
        <v>0.35398230088495575</v>
      </c>
      <c r="AF46" s="81">
        <f t="shared" si="62"/>
        <v>1</v>
      </c>
      <c r="AG46" s="81">
        <v>1</v>
      </c>
      <c r="AH46" s="127">
        <f t="shared" si="60"/>
        <v>1.6949152542372881E-2</v>
      </c>
      <c r="AI46" s="127">
        <f t="shared" si="61"/>
        <v>1</v>
      </c>
      <c r="BP46" t="str">
        <f t="shared" si="63"/>
        <v>2-1 &amp;  &amp; 0.289940828402367 &amp; 0.753846153846154 &amp; 0.418803418803419 &amp; 0.277777777777778 &amp; 0.5 &amp; 0.357142857142857 &amp; 0.242424242424242 &amp; 0.655737704918033 &amp; 0.353982300884956 &amp; 1 &amp; 1 &amp; 0.0169491525423729 &amp; 1 \\ \hline</v>
      </c>
    </row>
    <row r="47" spans="1:68" s="7" customFormat="1">
      <c r="A47" s="7" t="s">
        <v>309</v>
      </c>
      <c r="C47" s="98"/>
      <c r="J47" s="77" t="s">
        <v>673</v>
      </c>
      <c r="K47" s="201"/>
      <c r="L47" s="201"/>
      <c r="M47" s="202"/>
      <c r="N47" s="81">
        <f>O47-40</f>
        <v>73</v>
      </c>
      <c r="O47" s="81">
        <f>F42-56</f>
        <v>113</v>
      </c>
      <c r="P47" s="146">
        <f t="shared" si="51"/>
        <v>0.43195266272189348</v>
      </c>
      <c r="Q47" s="146">
        <f t="shared" si="52"/>
        <v>0.64601769911504425</v>
      </c>
      <c r="R47" s="203">
        <f t="shared" si="53"/>
        <v>0.51773049645390068</v>
      </c>
      <c r="S47" s="115"/>
      <c r="T47" s="81">
        <f>U47-5</f>
        <v>9</v>
      </c>
      <c r="U47" s="81">
        <f>$G$42-4</f>
        <v>14</v>
      </c>
      <c r="V47" s="146">
        <f t="shared" si="54"/>
        <v>0.5</v>
      </c>
      <c r="W47" s="146">
        <f t="shared" si="55"/>
        <v>0.6428571428571429</v>
      </c>
      <c r="X47" s="203">
        <f t="shared" si="56"/>
        <v>0.56250000000000011</v>
      </c>
      <c r="Y47" s="202"/>
      <c r="Z47" s="81">
        <f>AA47-16</f>
        <v>93</v>
      </c>
      <c r="AA47" s="7">
        <f>I42-56</f>
        <v>109</v>
      </c>
      <c r="AB47" s="146">
        <f t="shared" si="57"/>
        <v>0.5636363636363636</v>
      </c>
      <c r="AC47" s="146">
        <f t="shared" si="58"/>
        <v>0.85321100917431192</v>
      </c>
      <c r="AD47" s="203">
        <f t="shared" si="59"/>
        <v>0.67883211678832123</v>
      </c>
      <c r="AE47" s="115"/>
      <c r="AF47" s="81">
        <f t="shared" si="62"/>
        <v>7</v>
      </c>
      <c r="AG47" s="163">
        <v>7</v>
      </c>
      <c r="AH47" s="203">
        <f t="shared" si="60"/>
        <v>0.11864406779661017</v>
      </c>
      <c r="AI47" s="203">
        <f t="shared" si="61"/>
        <v>1</v>
      </c>
      <c r="AK47" s="202"/>
      <c r="AL47" s="204"/>
      <c r="AM47" s="204"/>
      <c r="AP47" s="204"/>
      <c r="AQ47" s="204"/>
      <c r="AU47" s="204"/>
      <c r="AV47" s="204"/>
      <c r="AW47" s="204"/>
      <c r="AX47" s="204"/>
      <c r="AY47" s="204"/>
      <c r="AZ47" s="204"/>
      <c r="BA47" s="205"/>
      <c r="BC47" s="204"/>
      <c r="BP47" t="str">
        <f t="shared" si="63"/>
        <v>2-1 &amp;  &amp; 0.431952662721893 &amp; 0.646017699115044 &amp; 0.517730496453901 &amp; 0.5 &amp; 0.642857142857143 &amp; 0.5625 &amp; 0.563636363636364 &amp; 0.853211009174312 &amp; 0.678832116788321 &amp; 7 &amp; 7 &amp; 0.11864406779661 &amp; 1 \\ \hline</v>
      </c>
    </row>
    <row r="48" spans="1:68" s="7" customFormat="1">
      <c r="A48" s="7" t="s">
        <v>667</v>
      </c>
      <c r="C48" s="98"/>
      <c r="J48" s="77" t="s">
        <v>673</v>
      </c>
      <c r="K48" s="201"/>
      <c r="L48" s="201"/>
      <c r="M48" s="202"/>
      <c r="N48" s="81">
        <f>O48-35</f>
        <v>83</v>
      </c>
      <c r="O48" s="81">
        <f>F42-51</f>
        <v>118</v>
      </c>
      <c r="P48" s="129">
        <f t="shared" si="51"/>
        <v>0.4911242603550296</v>
      </c>
      <c r="Q48" s="129">
        <f t="shared" si="52"/>
        <v>0.70338983050847459</v>
      </c>
      <c r="R48" s="127">
        <f t="shared" si="53"/>
        <v>0.57839721254355403</v>
      </c>
      <c r="S48" s="115"/>
      <c r="T48" s="81">
        <f>U48-6</f>
        <v>8</v>
      </c>
      <c r="U48" s="81">
        <f>$G$42-4</f>
        <v>14</v>
      </c>
      <c r="V48" s="146">
        <f t="shared" si="54"/>
        <v>0.44444444444444442</v>
      </c>
      <c r="W48" s="146">
        <f t="shared" si="55"/>
        <v>0.5714285714285714</v>
      </c>
      <c r="X48" s="203">
        <f t="shared" si="56"/>
        <v>0.5</v>
      </c>
      <c r="Y48" s="202"/>
      <c r="Z48" s="81">
        <f>AA48-22</f>
        <v>92</v>
      </c>
      <c r="AA48" s="7">
        <f>I42-51</f>
        <v>114</v>
      </c>
      <c r="AB48" s="146">
        <f t="shared" si="57"/>
        <v>0.55757575757575761</v>
      </c>
      <c r="AC48" s="146">
        <f t="shared" si="58"/>
        <v>0.80701754385964908</v>
      </c>
      <c r="AD48" s="203">
        <f t="shared" si="59"/>
        <v>0.65949820788530467</v>
      </c>
      <c r="AE48" s="115"/>
      <c r="AF48" s="81">
        <f t="shared" si="62"/>
        <v>15</v>
      </c>
      <c r="AG48" s="163">
        <v>15</v>
      </c>
      <c r="AH48" s="203">
        <f t="shared" si="60"/>
        <v>0.25423728813559321</v>
      </c>
      <c r="AI48" s="203">
        <f t="shared" si="61"/>
        <v>1</v>
      </c>
      <c r="AK48" s="202"/>
      <c r="AL48" s="204"/>
      <c r="AM48" s="204"/>
      <c r="AP48" s="204"/>
      <c r="AQ48" s="204"/>
      <c r="AU48" s="204"/>
      <c r="AV48" s="204"/>
      <c r="AW48" s="204"/>
      <c r="AX48" s="204"/>
      <c r="AY48" s="204"/>
      <c r="AZ48" s="204"/>
      <c r="BA48" s="205"/>
      <c r="BC48" s="204"/>
      <c r="BP48" t="str">
        <f t="shared" si="63"/>
        <v>2-1 &amp;  &amp; 0.49112426035503 &amp; 0.703389830508475 &amp; 0.578397212543554 &amp; 0.444444444444444 &amp; 0.571428571428571 &amp; 0.5 &amp; 0.557575757575758 &amp; 0.807017543859649 &amp; 0.659498207885305 &amp; 15 &amp; 15 &amp; 0.254237288135593 &amp; 1 \\ \hline</v>
      </c>
    </row>
    <row r="49" spans="1:68" s="41" customFormat="1">
      <c r="A49" s="7" t="s">
        <v>668</v>
      </c>
      <c r="C49" s="98"/>
      <c r="J49" s="77" t="s">
        <v>670</v>
      </c>
      <c r="K49" s="134"/>
      <c r="M49" s="202"/>
      <c r="N49" s="81">
        <f>O49-19</f>
        <v>85</v>
      </c>
      <c r="O49" s="81">
        <f>100+4</f>
        <v>104</v>
      </c>
      <c r="P49" s="129">
        <f t="shared" si="51"/>
        <v>0.50295857988165682</v>
      </c>
      <c r="Q49" s="129">
        <f t="shared" si="52"/>
        <v>0.81730769230769229</v>
      </c>
      <c r="R49" s="127">
        <f t="shared" si="53"/>
        <v>0.62271062271062283</v>
      </c>
      <c r="S49" s="115"/>
      <c r="T49" s="81">
        <f>U49-7</f>
        <v>5</v>
      </c>
      <c r="U49" s="81">
        <f>$G$42-6</f>
        <v>12</v>
      </c>
      <c r="V49" s="146">
        <f t="shared" si="54"/>
        <v>0.27777777777777779</v>
      </c>
      <c r="W49" s="146">
        <f t="shared" si="55"/>
        <v>0.41666666666666669</v>
      </c>
      <c r="X49" s="203">
        <f t="shared" si="56"/>
        <v>0.33333333333333337</v>
      </c>
      <c r="Y49" s="202"/>
      <c r="Z49" s="81">
        <f>AA49-31</f>
        <v>69</v>
      </c>
      <c r="AA49" s="41">
        <v>100</v>
      </c>
      <c r="AB49" s="146">
        <f t="shared" si="57"/>
        <v>0.41818181818181815</v>
      </c>
      <c r="AC49" s="146">
        <f t="shared" si="58"/>
        <v>0.69</v>
      </c>
      <c r="AD49" s="203">
        <f t="shared" si="59"/>
        <v>0.52075471698113196</v>
      </c>
      <c r="AE49" s="115"/>
      <c r="AF49" s="81">
        <f t="shared" si="62"/>
        <v>1</v>
      </c>
      <c r="AG49" s="163">
        <v>1</v>
      </c>
      <c r="AH49" s="203">
        <f t="shared" si="60"/>
        <v>1.6949152542372881E-2</v>
      </c>
      <c r="AI49" s="203">
        <f t="shared" si="61"/>
        <v>1</v>
      </c>
      <c r="BP49" t="str">
        <f t="shared" si="63"/>
        <v>2-1 &amp;  &amp; 0.502958579881657 &amp; 0.817307692307692 &amp; 0.622710622710623 &amp; 0.277777777777778 &amp; 0.416666666666667 &amp; 0.333333333333333 &amp; 0.418181818181818 &amp; 0.69 &amp; 0.520754716981132 &amp; 1 &amp; 1 &amp; 0.0169491525423729 &amp; 1 \\ \hline</v>
      </c>
    </row>
    <row r="50" spans="1:68" s="41" customFormat="1">
      <c r="A50" s="7" t="s">
        <v>669</v>
      </c>
      <c r="C50" s="98"/>
      <c r="J50" s="77" t="s">
        <v>670</v>
      </c>
      <c r="K50" s="134"/>
      <c r="M50" s="202"/>
      <c r="N50" s="81">
        <f>O50-13</f>
        <v>54</v>
      </c>
      <c r="O50" s="41">
        <f>63+4</f>
        <v>67</v>
      </c>
      <c r="P50" s="129">
        <f t="shared" si="51"/>
        <v>0.31952662721893493</v>
      </c>
      <c r="Q50" s="129">
        <f t="shared" si="52"/>
        <v>0.80597014925373134</v>
      </c>
      <c r="R50" s="127">
        <f t="shared" si="53"/>
        <v>0.4576271186440678</v>
      </c>
      <c r="S50" s="115"/>
      <c r="T50" s="81">
        <f>U50-6</f>
        <v>4</v>
      </c>
      <c r="U50" s="81">
        <f>$G$42-8</f>
        <v>10</v>
      </c>
      <c r="V50" s="146">
        <f t="shared" si="54"/>
        <v>0.22222222222222221</v>
      </c>
      <c r="W50" s="146">
        <f t="shared" si="55"/>
        <v>0.4</v>
      </c>
      <c r="X50" s="203">
        <f t="shared" si="56"/>
        <v>0.2857142857142857</v>
      </c>
      <c r="Y50" s="202"/>
      <c r="Z50" s="81">
        <f>AA50-30</f>
        <v>33</v>
      </c>
      <c r="AA50" s="41">
        <v>63</v>
      </c>
      <c r="AB50" s="146">
        <f t="shared" si="57"/>
        <v>0.2</v>
      </c>
      <c r="AC50" s="146">
        <f t="shared" si="58"/>
        <v>0.52380952380952384</v>
      </c>
      <c r="AD50" s="203">
        <f t="shared" si="59"/>
        <v>0.28947368421052633</v>
      </c>
      <c r="AE50" s="115"/>
      <c r="AF50" s="81">
        <f t="shared" si="62"/>
        <v>1</v>
      </c>
      <c r="AG50" s="163">
        <v>1</v>
      </c>
      <c r="AH50" s="203">
        <f t="shared" si="60"/>
        <v>1.6949152542372881E-2</v>
      </c>
      <c r="AI50" s="203">
        <f t="shared" si="61"/>
        <v>1</v>
      </c>
      <c r="BP50" t="str">
        <f t="shared" si="63"/>
        <v>2-1 &amp;  &amp; 0.319526627218935 &amp; 0.805970149253731 &amp; 0.457627118644068 &amp; 0.222222222222222 &amp; 0.4 &amp; 0.285714285714286 &amp; 0.2 &amp; 0.523809523809524 &amp; 0.289473684210526 &amp; 1 &amp; 1 &amp; 0.0169491525423729 &amp; 1 \\ \hline</v>
      </c>
    </row>
    <row r="51" spans="1:68" s="41" customFormat="1">
      <c r="C51" s="133"/>
      <c r="K51" s="134"/>
      <c r="P51" s="27"/>
      <c r="Q51" s="27"/>
      <c r="R51" s="33"/>
      <c r="V51" s="27"/>
      <c r="W51" s="27"/>
      <c r="X51" s="33"/>
      <c r="AB51" s="27"/>
      <c r="AC51" s="27"/>
      <c r="AD51" s="33"/>
      <c r="AH51" s="33"/>
    </row>
    <row r="52" spans="1:68" s="41" customFormat="1">
      <c r="C52" s="133"/>
      <c r="K52" s="134"/>
      <c r="P52" s="27"/>
      <c r="Q52" s="27"/>
      <c r="R52" s="33"/>
      <c r="V52" s="27"/>
      <c r="W52" s="27"/>
      <c r="X52" s="33"/>
      <c r="AB52" s="27"/>
      <c r="AC52" s="27"/>
      <c r="AD52" s="33"/>
      <c r="AH52" s="33"/>
    </row>
    <row r="53" spans="1:68" s="41" customFormat="1">
      <c r="C53" s="133"/>
      <c r="K53" s="134"/>
      <c r="P53" s="27"/>
      <c r="Q53" s="27"/>
      <c r="R53" s="33"/>
      <c r="V53" s="27"/>
      <c r="W53" s="27"/>
      <c r="X53" s="33"/>
      <c r="AB53" s="27"/>
      <c r="AC53" s="27"/>
      <c r="AD53" s="33"/>
      <c r="AH53" s="33"/>
    </row>
    <row r="54" spans="1:68" s="41" customFormat="1">
      <c r="C54" s="133"/>
      <c r="K54" s="134"/>
      <c r="P54" s="27"/>
      <c r="Q54" s="27"/>
      <c r="R54" s="33"/>
      <c r="V54" s="27"/>
      <c r="W54" s="27"/>
      <c r="X54" s="33"/>
      <c r="AB54" s="27"/>
      <c r="AC54" s="27"/>
      <c r="AD54" s="33"/>
      <c r="AH54" s="33"/>
    </row>
    <row r="55" spans="1:68" s="41" customFormat="1">
      <c r="C55" s="133"/>
      <c r="K55" s="134"/>
      <c r="P55" s="27"/>
      <c r="Q55" s="27"/>
      <c r="R55" s="33"/>
      <c r="V55" s="27"/>
      <c r="W55" s="27"/>
      <c r="X55" s="33"/>
      <c r="AB55" s="27"/>
      <c r="AC55" s="27"/>
      <c r="AD55" s="33"/>
      <c r="AH55" s="33"/>
    </row>
    <row r="56" spans="1:68" s="41" customFormat="1">
      <c r="C56" s="133"/>
      <c r="K56" s="134"/>
      <c r="P56" s="27"/>
      <c r="Q56" s="27"/>
      <c r="R56" s="33"/>
      <c r="V56" s="27"/>
      <c r="W56" s="27"/>
      <c r="X56" s="33"/>
      <c r="AB56" s="27"/>
      <c r="AC56" s="27"/>
      <c r="AD56" s="33"/>
      <c r="AH56" s="33"/>
    </row>
    <row r="57" spans="1:68" s="41" customFormat="1">
      <c r="C57" s="133"/>
      <c r="K57" s="134"/>
      <c r="P57" s="27"/>
      <c r="Q57" s="27"/>
      <c r="R57" s="33"/>
      <c r="V57" s="27"/>
      <c r="W57" s="27"/>
      <c r="X57" s="33"/>
      <c r="AB57" s="27"/>
      <c r="AC57" s="27"/>
      <c r="AD57" s="33"/>
      <c r="AH57" s="33"/>
    </row>
    <row r="58" spans="1:68" s="41" customFormat="1">
      <c r="C58" s="133"/>
      <c r="K58" s="134"/>
      <c r="P58" s="27"/>
      <c r="Q58" s="27"/>
      <c r="R58" s="33"/>
      <c r="V58" s="27"/>
      <c r="W58" s="27"/>
      <c r="X58" s="33"/>
      <c r="AB58" s="27"/>
      <c r="AC58" s="27"/>
      <c r="AD58" s="33"/>
      <c r="AH58" s="33"/>
    </row>
    <row r="59" spans="1:68" s="41" customFormat="1">
      <c r="C59" s="133"/>
      <c r="K59" s="134"/>
      <c r="P59" s="27"/>
      <c r="Q59" s="27"/>
      <c r="R59" s="33"/>
      <c r="V59" s="27"/>
      <c r="W59" s="27"/>
      <c r="X59" s="33"/>
      <c r="AB59" s="27"/>
      <c r="AC59" s="27"/>
      <c r="AD59" s="33"/>
      <c r="AH59" s="33"/>
    </row>
    <row r="60" spans="1:68" s="41" customFormat="1">
      <c r="C60" s="133"/>
      <c r="K60" s="134"/>
      <c r="P60" s="27"/>
      <c r="Q60" s="27"/>
      <c r="R60" s="33"/>
      <c r="V60" s="27"/>
      <c r="W60" s="27"/>
      <c r="X60" s="33"/>
      <c r="AB60" s="27"/>
      <c r="AC60" s="27"/>
      <c r="AD60" s="33"/>
      <c r="AH60" s="33"/>
    </row>
    <row r="61" spans="1:68" s="41" customFormat="1">
      <c r="C61" s="133"/>
      <c r="K61" s="134"/>
      <c r="P61" s="27"/>
      <c r="Q61" s="27"/>
      <c r="R61" s="33"/>
      <c r="V61" s="27"/>
      <c r="W61" s="27"/>
      <c r="X61" s="33"/>
      <c r="AB61" s="27"/>
      <c r="AC61" s="27"/>
      <c r="AD61" s="33"/>
      <c r="AH61" s="33"/>
    </row>
    <row r="62" spans="1:68" s="41" customFormat="1">
      <c r="C62" s="133"/>
      <c r="K62" s="134"/>
      <c r="P62" s="27"/>
      <c r="Q62" s="27"/>
      <c r="R62" s="33"/>
      <c r="V62" s="27"/>
      <c r="W62" s="27"/>
      <c r="X62" s="33"/>
      <c r="AB62" s="27"/>
      <c r="AC62" s="27"/>
      <c r="AD62" s="33"/>
      <c r="AH62" s="33"/>
    </row>
    <row r="63" spans="1:68" s="41" customFormat="1">
      <c r="C63" s="133"/>
      <c r="K63" s="134"/>
      <c r="P63" s="27"/>
      <c r="Q63" s="27"/>
      <c r="R63" s="33"/>
      <c r="V63" s="27"/>
      <c r="W63" s="27"/>
      <c r="X63" s="33"/>
      <c r="AB63" s="27"/>
      <c r="AC63" s="27"/>
      <c r="AD63" s="33"/>
      <c r="AH63" s="33"/>
    </row>
    <row r="64" spans="1:68" s="41" customFormat="1">
      <c r="C64" s="133"/>
      <c r="K64" s="134"/>
      <c r="P64" s="27"/>
      <c r="Q64" s="27"/>
      <c r="R64" s="33"/>
      <c r="V64" s="27"/>
      <c r="W64" s="27"/>
      <c r="X64" s="33"/>
      <c r="AB64" s="27"/>
      <c r="AC64" s="27"/>
      <c r="AD64" s="33"/>
      <c r="AH64" s="33"/>
    </row>
    <row r="65" spans="3:34" s="41" customFormat="1">
      <c r="C65" s="133"/>
      <c r="K65" s="134"/>
      <c r="P65" s="27"/>
      <c r="Q65" s="27"/>
      <c r="R65" s="33"/>
      <c r="V65" s="27"/>
      <c r="W65" s="27"/>
      <c r="X65" s="33"/>
      <c r="AB65" s="27"/>
      <c r="AC65" s="27"/>
      <c r="AD65" s="33"/>
      <c r="AH65" s="33"/>
    </row>
    <row r="66" spans="3:34" s="41" customFormat="1">
      <c r="C66" s="133"/>
      <c r="K66" s="134"/>
      <c r="P66" s="27"/>
      <c r="Q66" s="27"/>
      <c r="R66" s="33"/>
      <c r="V66" s="27"/>
      <c r="W66" s="27"/>
      <c r="X66" s="33"/>
      <c r="AB66" s="27"/>
      <c r="AC66" s="27"/>
      <c r="AD66" s="33"/>
      <c r="AH66" s="33"/>
    </row>
    <row r="67" spans="3:34" s="41" customFormat="1">
      <c r="C67" s="133"/>
      <c r="K67" s="134"/>
      <c r="P67" s="27"/>
      <c r="Q67" s="27"/>
      <c r="R67" s="33"/>
      <c r="V67" s="27"/>
      <c r="W67" s="27"/>
      <c r="X67" s="33"/>
      <c r="AB67" s="27"/>
      <c r="AC67" s="27"/>
      <c r="AD67" s="33"/>
      <c r="AH67" s="33"/>
    </row>
    <row r="68" spans="3:34" s="41" customFormat="1">
      <c r="C68" s="133"/>
      <c r="K68" s="134"/>
      <c r="P68" s="27"/>
      <c r="Q68" s="27"/>
      <c r="R68" s="33"/>
      <c r="V68" s="27"/>
      <c r="W68" s="27"/>
      <c r="X68" s="33"/>
      <c r="AB68" s="27"/>
      <c r="AC68" s="27"/>
      <c r="AD68" s="33"/>
      <c r="AH68" s="33"/>
    </row>
    <row r="69" spans="3:34" s="41" customFormat="1">
      <c r="C69" s="133"/>
      <c r="K69" s="134"/>
      <c r="P69" s="27"/>
      <c r="Q69" s="27"/>
      <c r="R69" s="33"/>
      <c r="V69" s="27"/>
      <c r="W69" s="27"/>
      <c r="X69" s="33"/>
      <c r="AB69" s="27"/>
      <c r="AC69" s="27"/>
      <c r="AD69" s="33"/>
      <c r="AH69" s="33"/>
    </row>
    <row r="70" spans="3:34" s="41" customFormat="1">
      <c r="C70" s="133"/>
      <c r="K70" s="134"/>
      <c r="P70" s="27"/>
      <c r="Q70" s="27"/>
      <c r="R70" s="33"/>
      <c r="V70" s="27"/>
      <c r="W70" s="27"/>
      <c r="X70" s="33"/>
      <c r="AB70" s="27"/>
      <c r="AC70" s="27"/>
      <c r="AD70" s="33"/>
      <c r="AH70" s="33"/>
    </row>
    <row r="71" spans="3:34" s="41" customFormat="1">
      <c r="C71" s="133"/>
      <c r="K71" s="134"/>
      <c r="P71" s="27"/>
      <c r="Q71" s="27"/>
      <c r="R71" s="33"/>
      <c r="V71" s="27"/>
      <c r="W71" s="27"/>
      <c r="X71" s="33"/>
      <c r="AB71" s="27"/>
      <c r="AC71" s="27"/>
      <c r="AD71" s="33"/>
      <c r="AH71" s="33"/>
    </row>
    <row r="72" spans="3:34" s="41" customFormat="1">
      <c r="C72" s="133"/>
      <c r="K72" s="134"/>
      <c r="P72" s="27"/>
      <c r="Q72" s="27"/>
      <c r="R72" s="33"/>
      <c r="V72" s="27"/>
      <c r="W72" s="27"/>
      <c r="X72" s="33"/>
      <c r="AB72" s="27"/>
      <c r="AC72" s="27"/>
      <c r="AD72" s="33"/>
      <c r="AH72" s="33"/>
    </row>
    <row r="73" spans="3:34" s="41" customFormat="1">
      <c r="C73" s="133"/>
      <c r="K73" s="134"/>
      <c r="P73" s="27"/>
      <c r="Q73" s="27"/>
      <c r="R73" s="33"/>
      <c r="V73" s="27"/>
      <c r="W73" s="27"/>
      <c r="X73" s="33"/>
      <c r="AB73" s="27"/>
      <c r="AC73" s="27"/>
      <c r="AD73" s="33"/>
      <c r="AH73" s="33"/>
    </row>
    <row r="74" spans="3:34" s="41" customFormat="1">
      <c r="C74" s="133"/>
      <c r="K74" s="134"/>
      <c r="P74" s="27"/>
      <c r="Q74" s="27"/>
      <c r="R74" s="33"/>
      <c r="V74" s="27"/>
      <c r="W74" s="27"/>
      <c r="X74" s="33"/>
      <c r="AB74" s="27"/>
      <c r="AC74" s="27"/>
      <c r="AD74" s="33"/>
      <c r="AH74" s="33"/>
    </row>
    <row r="75" spans="3:34" s="41" customFormat="1">
      <c r="C75" s="133"/>
      <c r="K75" s="134"/>
      <c r="P75" s="27"/>
      <c r="Q75" s="27"/>
      <c r="R75" s="33"/>
      <c r="V75" s="27"/>
      <c r="W75" s="27"/>
      <c r="X75" s="33"/>
      <c r="AB75" s="27"/>
      <c r="AC75" s="27"/>
      <c r="AD75" s="33"/>
      <c r="AH75" s="33"/>
    </row>
    <row r="76" spans="3:34" s="41" customFormat="1">
      <c r="C76" s="133"/>
      <c r="K76" s="134"/>
      <c r="P76" s="27"/>
      <c r="Q76" s="27"/>
      <c r="R76" s="33"/>
      <c r="V76" s="27"/>
      <c r="W76" s="27"/>
      <c r="X76" s="33"/>
      <c r="AB76" s="27"/>
      <c r="AC76" s="27"/>
      <c r="AD76" s="33"/>
      <c r="AH76" s="33"/>
    </row>
    <row r="77" spans="3:34" s="41" customFormat="1">
      <c r="C77" s="133"/>
      <c r="K77" s="134"/>
      <c r="P77" s="27"/>
      <c r="Q77" s="27"/>
      <c r="R77" s="33"/>
      <c r="V77" s="27"/>
      <c r="W77" s="27"/>
      <c r="X77" s="33"/>
      <c r="AB77" s="27"/>
      <c r="AC77" s="27"/>
      <c r="AD77" s="33"/>
      <c r="AH77" s="33"/>
    </row>
    <row r="78" spans="3:34" s="41" customFormat="1">
      <c r="C78" s="133"/>
      <c r="K78" s="134"/>
      <c r="P78" s="27"/>
      <c r="Q78" s="27"/>
      <c r="R78" s="33"/>
      <c r="V78" s="27"/>
      <c r="W78" s="27"/>
      <c r="X78" s="33"/>
      <c r="AB78" s="27"/>
      <c r="AC78" s="27"/>
      <c r="AD78" s="33"/>
      <c r="AH78" s="33"/>
    </row>
    <row r="79" spans="3:34" s="41" customFormat="1">
      <c r="C79" s="133"/>
      <c r="K79" s="134"/>
      <c r="P79" s="27"/>
      <c r="Q79" s="27"/>
      <c r="R79" s="33"/>
      <c r="V79" s="27"/>
      <c r="W79" s="27"/>
      <c r="X79" s="33"/>
      <c r="AB79" s="27"/>
      <c r="AC79" s="27"/>
      <c r="AD79" s="33"/>
      <c r="AH79" s="33"/>
    </row>
    <row r="80" spans="3:34" s="41" customFormat="1">
      <c r="C80" s="133"/>
      <c r="K80" s="134"/>
      <c r="P80" s="27"/>
      <c r="Q80" s="27"/>
      <c r="R80" s="33"/>
      <c r="V80" s="27"/>
      <c r="W80" s="27"/>
      <c r="X80" s="33"/>
      <c r="AB80" s="27"/>
      <c r="AC80" s="27"/>
      <c r="AD80" s="33"/>
      <c r="AH80" s="33"/>
    </row>
    <row r="81" spans="3:34" s="41" customFormat="1">
      <c r="C81" s="133"/>
      <c r="K81" s="134"/>
      <c r="P81" s="27"/>
      <c r="Q81" s="27"/>
      <c r="R81" s="33"/>
      <c r="V81" s="27"/>
      <c r="W81" s="27"/>
      <c r="X81" s="33"/>
      <c r="AB81" s="27"/>
      <c r="AC81" s="27"/>
      <c r="AD81" s="33"/>
      <c r="AH81" s="33"/>
    </row>
    <row r="82" spans="3:34" s="41" customFormat="1">
      <c r="C82" s="133"/>
      <c r="K82" s="134"/>
      <c r="P82" s="27"/>
      <c r="Q82" s="27"/>
      <c r="R82" s="33"/>
      <c r="V82" s="27"/>
      <c r="W82" s="27"/>
      <c r="X82" s="33"/>
      <c r="AB82" s="27"/>
      <c r="AC82" s="27"/>
      <c r="AD82" s="33"/>
      <c r="AH82" s="33"/>
    </row>
    <row r="83" spans="3:34" s="41" customFormat="1">
      <c r="C83" s="133"/>
      <c r="K83" s="134"/>
      <c r="P83" s="27"/>
      <c r="Q83" s="27"/>
      <c r="R83" s="33"/>
      <c r="V83" s="27"/>
      <c r="W83" s="27"/>
      <c r="X83" s="33"/>
      <c r="AB83" s="27"/>
      <c r="AC83" s="27"/>
      <c r="AD83" s="33"/>
      <c r="AH83" s="33"/>
    </row>
    <row r="84" spans="3:34" s="41" customFormat="1">
      <c r="C84" s="133"/>
      <c r="K84" s="134"/>
      <c r="P84" s="27"/>
      <c r="Q84" s="27"/>
      <c r="R84" s="33"/>
      <c r="V84" s="27"/>
      <c r="W84" s="27"/>
      <c r="X84" s="33"/>
      <c r="AB84" s="27"/>
      <c r="AC84" s="27"/>
      <c r="AD84" s="33"/>
      <c r="AH84" s="33"/>
    </row>
    <row r="85" spans="3:34" s="41" customFormat="1">
      <c r="C85" s="133"/>
      <c r="K85" s="134"/>
      <c r="P85" s="27"/>
      <c r="Q85" s="27"/>
      <c r="R85" s="33"/>
      <c r="V85" s="27"/>
      <c r="W85" s="27"/>
      <c r="X85" s="33"/>
      <c r="AB85" s="27"/>
      <c r="AC85" s="27"/>
      <c r="AD85" s="33"/>
      <c r="AH85" s="33"/>
    </row>
    <row r="86" spans="3:34" s="41" customFormat="1">
      <c r="C86" s="133"/>
      <c r="K86" s="134"/>
      <c r="P86" s="27"/>
      <c r="Q86" s="27"/>
      <c r="R86" s="33"/>
      <c r="V86" s="27"/>
      <c r="W86" s="27"/>
      <c r="X86" s="33"/>
      <c r="AB86" s="27"/>
      <c r="AC86" s="27"/>
      <c r="AD86" s="33"/>
      <c r="AH86" s="33"/>
    </row>
    <row r="87" spans="3:34" s="41" customFormat="1">
      <c r="C87" s="133"/>
      <c r="K87" s="134"/>
      <c r="P87" s="27"/>
      <c r="Q87" s="27"/>
      <c r="R87" s="33"/>
      <c r="V87" s="27"/>
      <c r="W87" s="27"/>
      <c r="X87" s="33"/>
      <c r="AB87" s="27"/>
      <c r="AC87" s="27"/>
      <c r="AD87" s="33"/>
      <c r="AH87" s="33"/>
    </row>
    <row r="88" spans="3:34" s="41" customFormat="1">
      <c r="C88" s="133"/>
      <c r="K88" s="134"/>
      <c r="P88" s="27"/>
      <c r="Q88" s="27"/>
      <c r="R88" s="33"/>
      <c r="V88" s="27"/>
      <c r="W88" s="27"/>
      <c r="X88" s="33"/>
      <c r="AB88" s="27"/>
      <c r="AC88" s="27"/>
      <c r="AD88" s="33"/>
      <c r="AH88" s="33"/>
    </row>
    <row r="89" spans="3:34" s="41" customFormat="1">
      <c r="C89" s="133"/>
      <c r="K89" s="134"/>
      <c r="P89" s="27"/>
      <c r="Q89" s="27"/>
      <c r="R89" s="33"/>
      <c r="V89" s="27"/>
      <c r="W89" s="27"/>
      <c r="X89" s="33"/>
      <c r="AB89" s="27"/>
      <c r="AC89" s="27"/>
      <c r="AD89" s="33"/>
      <c r="AH89" s="33"/>
    </row>
    <row r="90" spans="3:34" s="41" customFormat="1">
      <c r="C90" s="133"/>
      <c r="K90" s="134"/>
      <c r="P90" s="27"/>
      <c r="Q90" s="27"/>
      <c r="R90" s="33"/>
      <c r="V90" s="27"/>
      <c r="W90" s="27"/>
      <c r="X90" s="33"/>
      <c r="AB90" s="27"/>
      <c r="AC90" s="27"/>
      <c r="AD90" s="33"/>
      <c r="AH90" s="33"/>
    </row>
    <row r="91" spans="3:34" s="41" customFormat="1">
      <c r="C91" s="133"/>
      <c r="K91" s="134"/>
      <c r="P91" s="27"/>
      <c r="Q91" s="27"/>
      <c r="R91" s="33"/>
      <c r="V91" s="27"/>
      <c r="W91" s="27"/>
      <c r="X91" s="33"/>
      <c r="AB91" s="27"/>
      <c r="AC91" s="27"/>
      <c r="AD91" s="33"/>
      <c r="AH91" s="33"/>
    </row>
    <row r="92" spans="3:34" s="41" customFormat="1">
      <c r="C92" s="133"/>
      <c r="K92" s="134"/>
      <c r="P92" s="27"/>
      <c r="Q92" s="27"/>
      <c r="R92" s="33"/>
      <c r="V92" s="27"/>
      <c r="W92" s="27"/>
      <c r="X92" s="33"/>
      <c r="AB92" s="27"/>
      <c r="AC92" s="27"/>
      <c r="AD92" s="33"/>
      <c r="AH92" s="33"/>
    </row>
    <row r="93" spans="3:34" s="41" customFormat="1">
      <c r="C93" s="133"/>
      <c r="K93" s="134"/>
      <c r="P93" s="27"/>
      <c r="Q93" s="27"/>
      <c r="R93" s="33"/>
      <c r="V93" s="27"/>
      <c r="W93" s="27"/>
      <c r="X93" s="33"/>
      <c r="AB93" s="27"/>
      <c r="AC93" s="27"/>
      <c r="AD93" s="33"/>
      <c r="AH93" s="33"/>
    </row>
    <row r="94" spans="3:34" s="41" customFormat="1">
      <c r="C94" s="133"/>
      <c r="K94" s="134"/>
      <c r="P94" s="27"/>
      <c r="Q94" s="27"/>
      <c r="R94" s="33"/>
      <c r="V94" s="27"/>
      <c r="W94" s="27"/>
      <c r="X94" s="33"/>
      <c r="AB94" s="27"/>
      <c r="AC94" s="27"/>
      <c r="AD94" s="33"/>
      <c r="AH94" s="33"/>
    </row>
    <row r="95" spans="3:34" s="41" customFormat="1">
      <c r="C95" s="133"/>
      <c r="K95" s="134"/>
      <c r="P95" s="27"/>
      <c r="Q95" s="27"/>
      <c r="R95" s="33"/>
      <c r="V95" s="27"/>
      <c r="W95" s="27"/>
      <c r="X95" s="33"/>
      <c r="AB95" s="27"/>
      <c r="AC95" s="27"/>
      <c r="AD95" s="33"/>
      <c r="AH95" s="33"/>
    </row>
    <row r="96" spans="3:34" s="41" customFormat="1">
      <c r="C96" s="133"/>
      <c r="K96" s="134"/>
      <c r="P96" s="27"/>
      <c r="Q96" s="27"/>
      <c r="R96" s="33"/>
      <c r="V96" s="27"/>
      <c r="W96" s="27"/>
      <c r="X96" s="33"/>
      <c r="AB96" s="27"/>
      <c r="AC96" s="27"/>
      <c r="AD96" s="33"/>
      <c r="AH96" s="33"/>
    </row>
    <row r="97" spans="3:34" s="41" customFormat="1">
      <c r="C97" s="133"/>
      <c r="K97" s="134"/>
      <c r="P97" s="27"/>
      <c r="Q97" s="27"/>
      <c r="R97" s="33"/>
      <c r="V97" s="27"/>
      <c r="W97" s="27"/>
      <c r="X97" s="33"/>
      <c r="AB97" s="27"/>
      <c r="AC97" s="27"/>
      <c r="AD97" s="33"/>
      <c r="AH97" s="33"/>
    </row>
    <row r="98" spans="3:34" s="41" customFormat="1">
      <c r="C98" s="133"/>
      <c r="K98" s="134"/>
      <c r="P98" s="27"/>
      <c r="Q98" s="27"/>
      <c r="R98" s="33"/>
      <c r="V98" s="27"/>
      <c r="W98" s="27"/>
      <c r="X98" s="33"/>
      <c r="AB98" s="27"/>
      <c r="AC98" s="27"/>
      <c r="AD98" s="33"/>
      <c r="AH98" s="33"/>
    </row>
    <row r="99" spans="3:34" s="41" customFormat="1">
      <c r="C99" s="133"/>
      <c r="K99" s="134"/>
      <c r="P99" s="27"/>
      <c r="Q99" s="27"/>
      <c r="R99" s="33"/>
      <c r="V99" s="27"/>
      <c r="W99" s="27"/>
      <c r="X99" s="33"/>
      <c r="AB99" s="27"/>
      <c r="AC99" s="27"/>
      <c r="AD99" s="33"/>
      <c r="AH99" s="33"/>
    </row>
    <row r="100" spans="3:34" s="41" customFormat="1">
      <c r="C100" s="133"/>
      <c r="K100" s="134"/>
      <c r="P100" s="27"/>
      <c r="Q100" s="27"/>
      <c r="R100" s="33"/>
      <c r="V100" s="27"/>
      <c r="W100" s="27"/>
      <c r="X100" s="33"/>
      <c r="AB100" s="27"/>
      <c r="AC100" s="27"/>
      <c r="AD100" s="33"/>
      <c r="AH100" s="33"/>
    </row>
    <row r="101" spans="3:34" s="41" customFormat="1">
      <c r="C101" s="133"/>
      <c r="K101" s="134"/>
      <c r="P101" s="27"/>
      <c r="Q101" s="27"/>
      <c r="R101" s="33"/>
      <c r="V101" s="27"/>
      <c r="W101" s="27"/>
      <c r="X101" s="33"/>
      <c r="AB101" s="27"/>
      <c r="AC101" s="27"/>
      <c r="AD101" s="33"/>
      <c r="AH101" s="33"/>
    </row>
    <row r="102" spans="3:34" s="41" customFormat="1">
      <c r="C102" s="133"/>
      <c r="K102" s="134"/>
      <c r="P102" s="27"/>
      <c r="Q102" s="27"/>
      <c r="R102" s="33"/>
      <c r="V102" s="27"/>
      <c r="W102" s="27"/>
      <c r="X102" s="33"/>
      <c r="AB102" s="27"/>
      <c r="AC102" s="27"/>
      <c r="AD102" s="33"/>
      <c r="AH102" s="33"/>
    </row>
    <row r="103" spans="3:34" s="41" customFormat="1">
      <c r="C103" s="133"/>
      <c r="K103" s="134"/>
      <c r="P103" s="27"/>
      <c r="Q103" s="27"/>
      <c r="R103" s="33"/>
      <c r="V103" s="27"/>
      <c r="W103" s="27"/>
      <c r="X103" s="33"/>
      <c r="AB103" s="27"/>
      <c r="AC103" s="27"/>
      <c r="AD103" s="33"/>
      <c r="AH103" s="33"/>
    </row>
    <row r="104" spans="3:34" s="41" customFormat="1">
      <c r="C104" s="133"/>
      <c r="K104" s="134"/>
      <c r="P104" s="27"/>
      <c r="Q104" s="27"/>
      <c r="R104" s="33"/>
      <c r="V104" s="27"/>
      <c r="W104" s="27"/>
      <c r="X104" s="33"/>
      <c r="AB104" s="27"/>
      <c r="AC104" s="27"/>
      <c r="AD104" s="33"/>
      <c r="AH104" s="33"/>
    </row>
  </sheetData>
  <phoneticPr fontId="4"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6105E-0359-7A43-91BB-F8A4F36F5F02}">
  <dimension ref="A1:AZ29"/>
  <sheetViews>
    <sheetView zoomScale="80" zoomScaleNormal="80" workbookViewId="0">
      <selection activeCell="V25" sqref="V25:AE32"/>
    </sheetView>
  </sheetViews>
  <sheetFormatPr baseColWidth="10" defaultRowHeight="15"/>
  <cols>
    <col min="2" max="2" width="11.5" customWidth="1"/>
    <col min="3" max="3" width="9.5" customWidth="1"/>
    <col min="4" max="4" width="10.6640625" customWidth="1"/>
    <col min="5" max="6" width="8.33203125" customWidth="1"/>
    <col min="7" max="10" width="8.83203125" customWidth="1"/>
    <col min="11" max="11" width="11" customWidth="1"/>
    <col min="12" max="12" width="6.1640625" customWidth="1"/>
    <col min="21" max="21" width="7" bestFit="1" customWidth="1"/>
    <col min="22" max="22" width="7" customWidth="1"/>
    <col min="23" max="23" width="6.33203125" customWidth="1"/>
  </cols>
  <sheetData>
    <row r="1" spans="1:52">
      <c r="B1" s="1" t="s">
        <v>521</v>
      </c>
      <c r="C1" s="1" t="s">
        <v>665</v>
      </c>
      <c r="D1" s="1" t="s">
        <v>666</v>
      </c>
      <c r="E1" s="1" t="s">
        <v>776</v>
      </c>
      <c r="F1" s="1" t="s">
        <v>777</v>
      </c>
    </row>
    <row r="2" spans="1:52">
      <c r="A2" s="1" t="s">
        <v>589</v>
      </c>
      <c r="B2" s="71">
        <f>AVERAGE(Results_exp2_0shot!R3:R18,Results_exp2_0shot!R20,Results_exp2_0shot!R23:R50)</f>
        <v>0.54646540285880418</v>
      </c>
      <c r="C2" s="71">
        <f>AVERAGE(Results_exp2_0shot!X3:X18,Results_exp2_0shot!X20,Results_exp2_0shot!X23:X50)</f>
        <v>0.58832483344103548</v>
      </c>
      <c r="D2" s="71">
        <f>AVERAGE(Results_exp2_0shot!AD3:AD18,Results_exp2_0shot!AD20,Results_exp2_0shot!AD23:AD50)</f>
        <v>0.38683898099611502</v>
      </c>
      <c r="E2" s="46">
        <f>AVERAGE(Results_exp2_0shot!AH3:AH18,Results_exp2_0shot!AH20,Results_exp2_0shot!AH23:AH50)</f>
        <v>3.8446748973383349E-2</v>
      </c>
      <c r="F2" s="46">
        <f>AVERAGE(Results_exp2_0shot!AI3:AI18,Results_exp2_0shot!AI20,Results_exp2_0shot!AI23:AI50)</f>
        <v>0.68650793650793651</v>
      </c>
    </row>
    <row r="4" spans="1:52" s="182" customFormat="1">
      <c r="C4" s="330" t="s">
        <v>590</v>
      </c>
      <c r="D4" s="330"/>
      <c r="E4" s="330"/>
      <c r="F4" s="330"/>
      <c r="G4" s="330"/>
      <c r="H4" s="330"/>
      <c r="I4" s="330"/>
      <c r="J4" s="330"/>
      <c r="M4" s="330" t="s">
        <v>591</v>
      </c>
      <c r="N4" s="330"/>
      <c r="O4" s="330"/>
      <c r="P4" s="330"/>
      <c r="Q4" s="330"/>
      <c r="R4" s="330"/>
      <c r="S4" s="330"/>
      <c r="T4" s="330"/>
      <c r="U4" s="190"/>
      <c r="V4" s="190"/>
      <c r="X4" s="330" t="s">
        <v>592</v>
      </c>
      <c r="Y4" s="330"/>
      <c r="Z4" s="330"/>
      <c r="AA4" s="330"/>
      <c r="AB4" s="330"/>
      <c r="AC4" s="330"/>
      <c r="AD4" s="330"/>
      <c r="AE4" s="330"/>
      <c r="AF4" s="190"/>
      <c r="AH4" s="330" t="s">
        <v>655</v>
      </c>
      <c r="AI4" s="330"/>
      <c r="AJ4" s="330"/>
      <c r="AK4" s="330"/>
      <c r="AL4" s="330"/>
      <c r="AM4" s="330"/>
      <c r="AN4" s="330"/>
      <c r="AO4" s="330"/>
      <c r="AP4" s="190"/>
      <c r="AR4" s="330" t="s">
        <v>520</v>
      </c>
      <c r="AS4" s="330"/>
      <c r="AT4" s="330"/>
      <c r="AU4" s="330"/>
      <c r="AV4" s="330"/>
      <c r="AW4" s="330"/>
      <c r="AX4" s="330"/>
      <c r="AY4" s="330"/>
    </row>
    <row r="5" spans="1:52" s="24" customFormat="1">
      <c r="A5" s="4" t="s">
        <v>654</v>
      </c>
      <c r="B5" s="4" t="s">
        <v>303</v>
      </c>
      <c r="C5" s="175" t="s">
        <v>305</v>
      </c>
      <c r="D5" s="175" t="s">
        <v>306</v>
      </c>
      <c r="E5" s="175" t="s">
        <v>307</v>
      </c>
      <c r="F5" s="208" t="s">
        <v>308</v>
      </c>
      <c r="G5" s="175" t="s">
        <v>309</v>
      </c>
      <c r="H5" s="175" t="s">
        <v>667</v>
      </c>
      <c r="I5" s="175" t="s">
        <v>668</v>
      </c>
      <c r="J5" s="175" t="s">
        <v>669</v>
      </c>
      <c r="M5" s="175" t="s">
        <v>305</v>
      </c>
      <c r="N5" s="175" t="s">
        <v>306</v>
      </c>
      <c r="O5" s="175" t="s">
        <v>307</v>
      </c>
      <c r="P5" s="208" t="s">
        <v>308</v>
      </c>
      <c r="Q5" s="175" t="s">
        <v>309</v>
      </c>
      <c r="R5" s="175" t="s">
        <v>667</v>
      </c>
      <c r="S5" s="175" t="s">
        <v>668</v>
      </c>
      <c r="T5" s="175" t="s">
        <v>669</v>
      </c>
      <c r="U5" s="179"/>
      <c r="V5" s="179"/>
      <c r="X5" s="175" t="s">
        <v>305</v>
      </c>
      <c r="Y5" s="175" t="s">
        <v>306</v>
      </c>
      <c r="Z5" s="175" t="s">
        <v>307</v>
      </c>
      <c r="AA5" s="208" t="s">
        <v>308</v>
      </c>
      <c r="AB5" s="175" t="s">
        <v>309</v>
      </c>
      <c r="AC5" s="175" t="s">
        <v>667</v>
      </c>
      <c r="AD5" s="175" t="s">
        <v>668</v>
      </c>
      <c r="AE5" s="175" t="s">
        <v>669</v>
      </c>
      <c r="AF5" s="179"/>
      <c r="AH5" s="175" t="s">
        <v>305</v>
      </c>
      <c r="AI5" s="175" t="s">
        <v>306</v>
      </c>
      <c r="AJ5" s="175" t="s">
        <v>307</v>
      </c>
      <c r="AK5" s="208" t="s">
        <v>308</v>
      </c>
      <c r="AL5" s="175" t="s">
        <v>309</v>
      </c>
      <c r="AM5" s="175" t="s">
        <v>667</v>
      </c>
      <c r="AN5" s="175" t="s">
        <v>668</v>
      </c>
      <c r="AO5" s="175" t="s">
        <v>669</v>
      </c>
      <c r="AP5" s="179"/>
      <c r="AQ5" s="175"/>
      <c r="AR5" s="175" t="s">
        <v>305</v>
      </c>
      <c r="AS5" s="175" t="s">
        <v>306</v>
      </c>
      <c r="AT5" s="175" t="s">
        <v>307</v>
      </c>
      <c r="AU5" s="208" t="s">
        <v>308</v>
      </c>
      <c r="AV5" s="175" t="s">
        <v>309</v>
      </c>
      <c r="AW5" s="175" t="s">
        <v>667</v>
      </c>
      <c r="AX5" s="175" t="s">
        <v>668</v>
      </c>
      <c r="AY5" s="175" t="s">
        <v>669</v>
      </c>
    </row>
    <row r="6" spans="1:52">
      <c r="A6" t="s">
        <v>344</v>
      </c>
      <c r="B6" t="str">
        <f>VLOOKUP(A6,Results_exp1_0shot!$A$2:$C$255,3,FALSE)</f>
        <v>10-2</v>
      </c>
      <c r="C6" s="147">
        <f>Results_exp2_0shot!R3</f>
        <v>0.48780487804878059</v>
      </c>
      <c r="D6" s="147">
        <f>Results_exp2_0shot!R4</f>
        <v>0.42767295597484273</v>
      </c>
      <c r="E6" s="147">
        <f>Results_exp2_0shot!R5</f>
        <v>0.66666666666666663</v>
      </c>
      <c r="F6" s="206">
        <f>Results_exp2_0shot!R6</f>
        <v>0.74178403755868538</v>
      </c>
      <c r="G6" s="147">
        <f>Results_exp2_0shot!R7</f>
        <v>0.53658536585365857</v>
      </c>
      <c r="H6" s="147">
        <f>Results_exp2_0shot!R8</f>
        <v>0.57647058823529407</v>
      </c>
      <c r="I6" s="147">
        <f>Results_exp2_0shot!R9</f>
        <v>0.61202185792349728</v>
      </c>
      <c r="J6" s="147">
        <f>Results_exp2_0shot!R10</f>
        <v>0.67357512953367871</v>
      </c>
      <c r="K6" s="262">
        <f>AVERAGE(C6:J6)</f>
        <v>0.590322684974388</v>
      </c>
      <c r="L6" s="14"/>
      <c r="M6" s="147">
        <f>Results_exp2_0shot!X3</f>
        <v>0.53846153846153855</v>
      </c>
      <c r="N6" s="147">
        <f>Results_exp2_0shot!X4</f>
        <v>0.34782608695652178</v>
      </c>
      <c r="O6" s="147">
        <f>Results_exp2_0shot!X5</f>
        <v>0.59259259259259256</v>
      </c>
      <c r="P6" s="206">
        <f>Results_exp2_0shot!X6</f>
        <v>0.75862068965517238</v>
      </c>
      <c r="Q6" s="147">
        <f>Results_exp2_0shot!X7</f>
        <v>0.58333333333333337</v>
      </c>
      <c r="R6" s="147">
        <f>Results_exp2_0shot!X8</f>
        <v>0.56000000000000005</v>
      </c>
      <c r="S6" s="147">
        <f>Results_exp2_0shot!X9</f>
        <v>0.66666666666666652</v>
      </c>
      <c r="T6" s="147">
        <f>Results_exp2_0shot!X10</f>
        <v>0.71428571428571419</v>
      </c>
      <c r="U6" s="262">
        <f>AVERAGE(M6:T6)</f>
        <v>0.59522332774394238</v>
      </c>
      <c r="V6" s="262"/>
      <c r="X6" s="147">
        <f>Results_exp2_0shot!AD3</f>
        <v>0.33766233766233761</v>
      </c>
      <c r="Y6" s="147">
        <f>Results_exp2_0shot!AD4</f>
        <v>0.21476510067114093</v>
      </c>
      <c r="Z6" s="147">
        <f>Results_exp2_0shot!AD5</f>
        <v>0.55497382198952883</v>
      </c>
      <c r="AA6" s="259">
        <f>Results_exp2_0shot!AD6</f>
        <v>0.66995073891625612</v>
      </c>
      <c r="AB6" s="147">
        <f>Results_exp2_0shot!AD7</f>
        <v>0.42767295597484273</v>
      </c>
      <c r="AC6" s="147">
        <f>Results_exp2_0shot!AD8</f>
        <v>0.42424242424242425</v>
      </c>
      <c r="AD6" s="147">
        <f>Results_exp2_0shot!AD9</f>
        <v>0.61797752808988771</v>
      </c>
      <c r="AE6" s="147">
        <f>Results_exp2_0shot!AD10</f>
        <v>0.55737704918032793</v>
      </c>
      <c r="AF6" s="262">
        <f>AVERAGE(X6:AE6)</f>
        <v>0.47557774459084329</v>
      </c>
      <c r="AH6" s="147">
        <f>Results_exp2_0shot!AH3</f>
        <v>2.0408163265306121E-2</v>
      </c>
      <c r="AI6" s="147">
        <f>Results_exp2_0shot!AH4</f>
        <v>2.0408163265306121E-2</v>
      </c>
      <c r="AJ6" s="147">
        <f>Results_exp2_0shot!AH5</f>
        <v>2.0408163265306121E-2</v>
      </c>
      <c r="AK6" s="206">
        <f>Results_exp2_0shot!AH6</f>
        <v>0</v>
      </c>
      <c r="AL6" s="147">
        <f>Results_exp2_0shot!AH7</f>
        <v>0.12244897959183673</v>
      </c>
      <c r="AM6" s="147">
        <f>Results_exp2_0shot!AH8</f>
        <v>4.0816326530612242E-2</v>
      </c>
      <c r="AN6" s="147">
        <f>Results_exp2_0shot!AH9</f>
        <v>0.12244897959183673</v>
      </c>
      <c r="AO6" s="147">
        <f>Results_exp2_0shot!AH10</f>
        <v>0</v>
      </c>
      <c r="AP6" s="262">
        <f>AVERAGE(AH6:AO6)</f>
        <v>4.3367346938775503E-2</v>
      </c>
      <c r="AR6" s="147">
        <f>Results_exp2_0shot!AI3</f>
        <v>1</v>
      </c>
      <c r="AS6" s="147">
        <f>Results_exp2_0shot!AI4</f>
        <v>1</v>
      </c>
      <c r="AT6" s="147">
        <f>Results_exp2_0shot!AI5</f>
        <v>1</v>
      </c>
      <c r="AU6" s="206">
        <f>Results_exp2_0shot!AI6</f>
        <v>0</v>
      </c>
      <c r="AV6" s="147">
        <f>Results_exp2_0shot!AS24</f>
        <v>0</v>
      </c>
      <c r="AW6" s="147">
        <f>Results_exp2_0shot!AI8</f>
        <v>1</v>
      </c>
      <c r="AX6" s="147">
        <f>Results_exp2_0shot!AI9</f>
        <v>0.8571428571428571</v>
      </c>
      <c r="AY6" s="147">
        <f>Results_exp2_0shot!AI10</f>
        <v>0</v>
      </c>
      <c r="AZ6" s="262">
        <f>AVERAGE(AR6:AT6,AW6,AX6)</f>
        <v>0.97142857142857131</v>
      </c>
    </row>
    <row r="7" spans="1:52" s="14" customFormat="1">
      <c r="A7" s="14" t="s">
        <v>346</v>
      </c>
      <c r="B7" s="14" t="str">
        <f>VLOOKUP(A7,Results_exp1_0shot!$A$2:$C$255,3,FALSE)</f>
        <v>8-5</v>
      </c>
      <c r="C7" s="218">
        <f>Results_exp2_0shot!R13</f>
        <v>0.50931677018633537</v>
      </c>
      <c r="D7" s="147">
        <f>Results_exp2_0shot!R14</f>
        <v>0.6627218934911242</v>
      </c>
      <c r="E7" s="147">
        <f>Results_exp2_0shot!R15</f>
        <v>0.55865921787709505</v>
      </c>
      <c r="F7" s="206">
        <f>Results_exp2_0shot!R16</f>
        <v>0.57471264367816088</v>
      </c>
      <c r="G7" s="147">
        <f>Results_exp2_0shot!R17</f>
        <v>0.44897959183673469</v>
      </c>
      <c r="H7" s="147">
        <f>Results_exp2_0shot!R18</f>
        <v>0.52903225806451615</v>
      </c>
      <c r="I7" s="147"/>
      <c r="J7" s="147">
        <f>Results_exp2_0shot!R20</f>
        <v>0.4823529411764706</v>
      </c>
      <c r="K7" s="262">
        <f t="shared" ref="K7:K10" si="0">AVERAGE(C7:J7)</f>
        <v>0.53796790233006242</v>
      </c>
      <c r="M7" s="147">
        <f>Results_exp2_0shot!X13</f>
        <v>0.70000000000000007</v>
      </c>
      <c r="N7" s="147">
        <f>Results_exp2_0shot!X14</f>
        <v>1</v>
      </c>
      <c r="O7" s="147">
        <f>Results_exp2_0shot!X15</f>
        <v>0.63157894736842102</v>
      </c>
      <c r="P7" s="206">
        <f>Results_exp2_0shot!X16</f>
        <v>0.8421052631578948</v>
      </c>
      <c r="Q7" s="147">
        <f>Results_exp2_0shot!X17</f>
        <v>0.90909090909090906</v>
      </c>
      <c r="R7" s="147">
        <f>Results_exp2_0shot!X18</f>
        <v>0.85714285714285721</v>
      </c>
      <c r="S7" s="147"/>
      <c r="T7" s="147">
        <f>Results_exp2_0shot!X20</f>
        <v>0.63157894736842102</v>
      </c>
      <c r="U7" s="262">
        <f t="shared" ref="U7:U10" si="1">AVERAGE(M7:T7)</f>
        <v>0.79592813201835766</v>
      </c>
      <c r="V7" s="262"/>
      <c r="X7" s="147">
        <f>Results_exp2_0shot!AD13</f>
        <v>0.42666666666666664</v>
      </c>
      <c r="Y7" s="147">
        <f>Results_exp2_0shot!AD14</f>
        <v>0.43312101910828033</v>
      </c>
      <c r="Z7" s="147">
        <f>Results_exp2_0shot!AD15</f>
        <v>0.5988023952095809</v>
      </c>
      <c r="AA7" s="206">
        <f>Results_exp2_0shot!AD16</f>
        <v>0.41975308641975312</v>
      </c>
      <c r="AB7" s="147">
        <f>Results_exp2_0shot!AD17</f>
        <v>0.30882352941176466</v>
      </c>
      <c r="AC7" s="147">
        <f>Results_exp2_0shot!AD18</f>
        <v>0.34246575342465757</v>
      </c>
      <c r="AD7" s="147"/>
      <c r="AE7" s="147">
        <f>Results_exp2_0shot!AD20</f>
        <v>0.518987341772152</v>
      </c>
      <c r="AF7" s="262">
        <f t="shared" ref="AF7:AF10" si="2">AVERAGE(X7:AE7)</f>
        <v>0.4355171131446936</v>
      </c>
      <c r="AH7" s="147">
        <f>Results_exp2_0shot!AH13</f>
        <v>0</v>
      </c>
      <c r="AI7" s="147">
        <f>Results_exp2_0shot!AH14</f>
        <v>2.0408163265306121E-2</v>
      </c>
      <c r="AJ7" s="147">
        <f>Results_exp2_0shot!AH15</f>
        <v>0</v>
      </c>
      <c r="AK7" s="206">
        <f>Results_exp2_0shot!AH16</f>
        <v>0</v>
      </c>
      <c r="AL7" s="147">
        <f>Results_exp2_0shot!AH17</f>
        <v>0</v>
      </c>
      <c r="AM7" s="147">
        <f>Results_exp2_0shot!AH18</f>
        <v>0</v>
      </c>
      <c r="AN7" s="147"/>
      <c r="AO7" s="147">
        <f>Results_exp2_0shot!AH20</f>
        <v>0</v>
      </c>
      <c r="AP7" s="262">
        <f t="shared" ref="AP7:AP10" si="3">AVERAGE(AH7:AO7)</f>
        <v>2.9154518950437317E-3</v>
      </c>
      <c r="AR7" s="147">
        <f>Results_exp2_0shot!AI13</f>
        <v>0</v>
      </c>
      <c r="AS7" s="147">
        <f>Results_exp2_0shot!AI14</f>
        <v>1</v>
      </c>
      <c r="AT7" s="147">
        <f>Results_exp2_0shot!AI15</f>
        <v>0</v>
      </c>
      <c r="AU7" s="206">
        <f>Results_exp2_0shot!AI16</f>
        <v>0</v>
      </c>
      <c r="AV7" s="147">
        <f>Results_exp2_0shot!AI17</f>
        <v>0</v>
      </c>
      <c r="AW7" s="147">
        <f>Results_exp2_0shot!AI18</f>
        <v>0</v>
      </c>
      <c r="AX7" s="147"/>
      <c r="AY7" s="147">
        <f>Results_exp2_0shot!AI20</f>
        <v>0</v>
      </c>
      <c r="AZ7" s="262">
        <f t="shared" ref="AZ7:AZ9" si="4">AVERAGE(AR7:AY7)</f>
        <v>0.14285714285714285</v>
      </c>
    </row>
    <row r="8" spans="1:52" s="14" customFormat="1">
      <c r="A8" s="14" t="s">
        <v>347</v>
      </c>
      <c r="B8" s="14" t="str">
        <f>VLOOKUP(A8,Results_exp1_0shot!$A$2:$C$255,3,FALSE)</f>
        <v>8-4</v>
      </c>
      <c r="C8" s="218">
        <f>Results_exp2_0shot!R23</f>
        <v>0.53987730061349692</v>
      </c>
      <c r="D8" s="147">
        <f>Results_exp2_0shot!R24</f>
        <v>0.52439024390243905</v>
      </c>
      <c r="E8" s="147">
        <f>Results_exp2_0shot!R25</f>
        <v>0.47204968944099374</v>
      </c>
      <c r="F8" s="206">
        <f>Results_exp2_0shot!R26</f>
        <v>0.4358974358974359</v>
      </c>
      <c r="G8" s="147">
        <f>Results_exp2_0shot!R27</f>
        <v>0.39490445859872608</v>
      </c>
      <c r="H8" s="147">
        <f>Results_exp2_0shot!R28</f>
        <v>0.50292397660818711</v>
      </c>
      <c r="I8" s="147">
        <f>Results_exp2_0shot!R29</f>
        <v>0.41379310344827586</v>
      </c>
      <c r="J8" s="147">
        <f>Results_exp2_0shot!R30</f>
        <v>0.41610738255033553</v>
      </c>
      <c r="K8" s="262">
        <f t="shared" si="0"/>
        <v>0.46249294888248632</v>
      </c>
      <c r="M8" s="147">
        <f>Results_exp2_0shot!X23</f>
        <v>0.76190476190476197</v>
      </c>
      <c r="N8" s="147">
        <f>Results_exp2_0shot!X24</f>
        <v>0.81818181818181812</v>
      </c>
      <c r="O8" s="147">
        <f>Results_exp2_0shot!X25</f>
        <v>0.78260869565217384</v>
      </c>
      <c r="P8" s="206">
        <f>Results_exp2_0shot!X26</f>
        <v>0.69565217391304346</v>
      </c>
      <c r="Q8" s="147">
        <f>Results_exp2_0shot!X27</f>
        <v>0.83333333333333326</v>
      </c>
      <c r="R8" s="147">
        <f>Results_exp2_0shot!X28</f>
        <v>0.7272727272727274</v>
      </c>
      <c r="S8" s="147">
        <f>Results_exp2_0shot!X29</f>
        <v>0.87999999999999989</v>
      </c>
      <c r="T8" s="147">
        <f>Results_exp2_0shot!X30</f>
        <v>0.7272727272727274</v>
      </c>
      <c r="U8" s="262">
        <f t="shared" si="1"/>
        <v>0.77827827969132324</v>
      </c>
      <c r="V8" s="262"/>
      <c r="X8" s="147">
        <f>Results_exp2_0shot!AD23</f>
        <v>0.31788079470198677</v>
      </c>
      <c r="Y8" s="147">
        <f>Results_exp2_0shot!AD24</f>
        <v>0.32679738562091504</v>
      </c>
      <c r="Z8" s="147">
        <f>Results_exp2_0shot!AD25</f>
        <v>5.333333333333333E-2</v>
      </c>
      <c r="AA8" s="206">
        <f>Results_exp2_0shot!AD26</f>
        <v>5.5172413793103454E-2</v>
      </c>
      <c r="AB8" s="147">
        <f>Results_exp2_0shot!AD27</f>
        <v>0.10596026490066225</v>
      </c>
      <c r="AC8" s="147">
        <f>Results_exp2_0shot!AD28</f>
        <v>0.21249999999999999</v>
      </c>
      <c r="AD8" s="147">
        <f>Results_exp2_0shot!AD29</f>
        <v>2.9850746268656716E-2</v>
      </c>
      <c r="AE8" s="147">
        <f>Results_exp2_0shot!AD30</f>
        <v>5.7971014492753631E-2</v>
      </c>
      <c r="AF8" s="262">
        <f t="shared" si="2"/>
        <v>0.14493324413892641</v>
      </c>
      <c r="AH8" s="147">
        <f>Results_exp2_0shot!AH23</f>
        <v>4.1666666666666664E-2</v>
      </c>
      <c r="AI8" s="147">
        <f>Results_exp2_0shot!AH24</f>
        <v>2.0833333333333332E-2</v>
      </c>
      <c r="AJ8" s="147">
        <f>Results_exp2_0shot!AH25</f>
        <v>0</v>
      </c>
      <c r="AK8" s="206">
        <f>Results_exp2_0shot!AH26</f>
        <v>0</v>
      </c>
      <c r="AL8" s="147">
        <f>Results_exp2_0shot!AH27</f>
        <v>0</v>
      </c>
      <c r="AM8" s="147">
        <f>Results_exp2_0shot!AH28</f>
        <v>0</v>
      </c>
      <c r="AN8" s="147">
        <f>Results_exp2_0shot!AH29</f>
        <v>0.22916666666666666</v>
      </c>
      <c r="AO8" s="147">
        <f>Results_exp2_0shot!AH30</f>
        <v>0.14583333333333334</v>
      </c>
      <c r="AP8" s="262">
        <f t="shared" si="3"/>
        <v>5.46875E-2</v>
      </c>
      <c r="AR8" s="147">
        <f>Results_exp2_0shot!AI23</f>
        <v>1</v>
      </c>
      <c r="AS8" s="147">
        <f>Results_exp2_0shot!AI24</f>
        <v>1</v>
      </c>
      <c r="AT8" s="147">
        <f>Results_exp2_0shot!AI25</f>
        <v>0</v>
      </c>
      <c r="AU8" s="206">
        <f>Results_exp2_0shot!AI26</f>
        <v>0</v>
      </c>
      <c r="AV8" s="147">
        <f>Results_exp2_0shot!AI27</f>
        <v>0</v>
      </c>
      <c r="AW8" s="147">
        <f>Results_exp2_0shot!AI28</f>
        <v>0</v>
      </c>
      <c r="AX8" s="147">
        <f>Results_exp2_0shot!AI29</f>
        <v>0.91666666666666663</v>
      </c>
      <c r="AY8" s="147">
        <f>Results_exp2_0shot!AI30</f>
        <v>1</v>
      </c>
      <c r="AZ8" s="262">
        <f>AVERAGE(AR8:AS8,AX8,AY8)</f>
        <v>0.97916666666666663</v>
      </c>
    </row>
    <row r="9" spans="1:52" s="14" customFormat="1">
      <c r="A9" s="14" t="s">
        <v>345</v>
      </c>
      <c r="B9" s="14" t="str">
        <f>VLOOKUP(A9,Results_exp1_0shot!$A$2:$C$255,3,FALSE)</f>
        <v>2-2</v>
      </c>
      <c r="C9" s="218">
        <f>Results_exp2_0shot!R33</f>
        <v>0.542713567839196</v>
      </c>
      <c r="D9" s="147">
        <f>Results_exp2_0shot!R34</f>
        <v>0.62385321100917424</v>
      </c>
      <c r="E9" s="147">
        <f>Results_exp2_0shot!R35</f>
        <v>0.61386138613861385</v>
      </c>
      <c r="F9" s="206">
        <f>Results_exp2_0shot!R36</f>
        <v>0.61165048543689315</v>
      </c>
      <c r="G9" s="147">
        <f>Results_exp2_0shot!R37</f>
        <v>0.82213438735177879</v>
      </c>
      <c r="H9" s="147">
        <f>Results_exp2_0shot!R38</f>
        <v>0.84426229508196726</v>
      </c>
      <c r="I9" s="147">
        <f>Results_exp2_0shot!R39</f>
        <v>0.62831858407079644</v>
      </c>
      <c r="J9" s="147">
        <f>Results_exp2_0shot!R40</f>
        <v>0.6</v>
      </c>
      <c r="K9" s="262">
        <f t="shared" si="0"/>
        <v>0.66084923961605235</v>
      </c>
      <c r="M9" s="147">
        <f>Results_exp2_0shot!X33</f>
        <v>0.36363636363636365</v>
      </c>
      <c r="N9" s="147">
        <f>Results_exp2_0shot!X34</f>
        <v>0.28571428571428575</v>
      </c>
      <c r="O9" s="147">
        <f>Results_exp2_0shot!X35</f>
        <v>0.32</v>
      </c>
      <c r="P9" s="206">
        <f>Results_exp2_0shot!X36</f>
        <v>0.32</v>
      </c>
      <c r="Q9" s="147">
        <f>Results_exp2_0shot!X37</f>
        <v>0.48275862068965519</v>
      </c>
      <c r="R9" s="147">
        <f>Results_exp2_0shot!X38</f>
        <v>0.73333333333333339</v>
      </c>
      <c r="S9" s="147">
        <f>Results_exp2_0shot!X39</f>
        <v>0.35714285714285715</v>
      </c>
      <c r="T9" s="147">
        <f>Results_exp2_0shot!X40</f>
        <v>0.30769230769230771</v>
      </c>
      <c r="U9" s="262">
        <f t="shared" si="1"/>
        <v>0.39628472102610035</v>
      </c>
      <c r="V9" s="262"/>
      <c r="X9" s="147">
        <f>Results_exp2_0shot!AD33</f>
        <v>0.41884816753926701</v>
      </c>
      <c r="Y9" s="147">
        <f>Results_exp2_0shot!AD34</f>
        <v>0.39047619047619042</v>
      </c>
      <c r="Z9" s="147">
        <f>Results_exp2_0shot!AD35</f>
        <v>0.55670103092783507</v>
      </c>
      <c r="AA9" s="206">
        <f>Results_exp2_0shot!AD36</f>
        <v>0.51515151515151525</v>
      </c>
      <c r="AB9" s="147">
        <f>Results_exp2_0shot!AD37</f>
        <v>0.236734693877551</v>
      </c>
      <c r="AC9" s="147">
        <f>Results_exp2_0shot!AD38</f>
        <v>0.44067796610169485</v>
      </c>
      <c r="AD9" s="147">
        <f>Results_exp2_0shot!AD39</f>
        <v>0.61467889908256879</v>
      </c>
      <c r="AE9" s="147">
        <f>Results_exp2_0shot!AD40</f>
        <v>0.43564356435643564</v>
      </c>
      <c r="AF9" s="262">
        <f t="shared" si="2"/>
        <v>0.45111400343913227</v>
      </c>
      <c r="AH9" s="147">
        <f>Results_exp2_0shot!AH33</f>
        <v>0.04</v>
      </c>
      <c r="AI9" s="147">
        <f>Results_exp2_0shot!AH34</f>
        <v>0.02</v>
      </c>
      <c r="AJ9" s="147">
        <f>Results_exp2_0shot!AH35</f>
        <v>0.02</v>
      </c>
      <c r="AK9" s="206">
        <f>Results_exp2_0shot!AH36</f>
        <v>0.04</v>
      </c>
      <c r="AL9" s="147">
        <f>Results_exp2_0shot!AH37</f>
        <v>0.02</v>
      </c>
      <c r="AM9" s="147">
        <f>Results_exp2_0shot!AH38</f>
        <v>0.02</v>
      </c>
      <c r="AN9" s="147">
        <f>Results_exp2_0shot!AH39</f>
        <v>0.04</v>
      </c>
      <c r="AO9" s="147">
        <f>Results_exp2_0shot!AH40</f>
        <v>0.02</v>
      </c>
      <c r="AP9" s="262">
        <f t="shared" si="3"/>
        <v>2.7499999999999997E-2</v>
      </c>
      <c r="AR9" s="147">
        <f>Results_exp2_0shot!AI33</f>
        <v>1</v>
      </c>
      <c r="AS9" s="147">
        <f>Results_exp2_0shot!AI34</f>
        <v>1</v>
      </c>
      <c r="AT9" s="147">
        <f>Results_exp2_0shot!AI35</f>
        <v>1</v>
      </c>
      <c r="AU9" s="206">
        <f>Results_exp2_0shot!AI36</f>
        <v>1</v>
      </c>
      <c r="AV9" s="147">
        <f>Results_exp2_0shot!AI37</f>
        <v>1</v>
      </c>
      <c r="AW9" s="147">
        <f>Results_exp2_0shot!AI38</f>
        <v>1</v>
      </c>
      <c r="AX9" s="147">
        <f>Results_exp2_0shot!AI39</f>
        <v>1</v>
      </c>
      <c r="AY9" s="147">
        <f>Results_exp2_0shot!AI40</f>
        <v>1</v>
      </c>
      <c r="AZ9" s="262">
        <f t="shared" si="4"/>
        <v>1</v>
      </c>
    </row>
    <row r="10" spans="1:52" s="180" customFormat="1">
      <c r="A10" s="180" t="s">
        <v>400</v>
      </c>
      <c r="B10" s="180" t="str">
        <f>VLOOKUP(A10,Results_exp1_0shot!$A$2:$C$255,3,FALSE)</f>
        <v>2-1</v>
      </c>
      <c r="C10" s="264">
        <f>Results_exp2_0shot!R43</f>
        <v>0.44725738396624476</v>
      </c>
      <c r="D10" s="150">
        <f>Results_exp2_0shot!R44</f>
        <v>0.39130434782608703</v>
      </c>
      <c r="E10" s="150">
        <f>Results_exp2_0shot!R45</f>
        <v>0.40322580645161293</v>
      </c>
      <c r="F10" s="207">
        <f>Results_exp2_0shot!R46</f>
        <v>0.41880341880341876</v>
      </c>
      <c r="G10" s="150">
        <f>Results_exp2_0shot!R47</f>
        <v>0.51773049645390068</v>
      </c>
      <c r="H10" s="150">
        <f>Results_exp2_0shot!R48</f>
        <v>0.57839721254355403</v>
      </c>
      <c r="I10" s="150">
        <f>Results_exp2_0shot!R49</f>
        <v>0.62271062271062283</v>
      </c>
      <c r="J10" s="150">
        <f>Results_exp2_0shot!R50</f>
        <v>0.4576271186440678</v>
      </c>
      <c r="K10" s="262">
        <f t="shared" si="0"/>
        <v>0.47963205092493866</v>
      </c>
      <c r="M10" s="150">
        <f>Results_exp2_0shot!X43</f>
        <v>0.35714285714285715</v>
      </c>
      <c r="N10" s="150">
        <f>Results_exp2_0shot!X44</f>
        <v>0.53333333333333333</v>
      </c>
      <c r="O10" s="150">
        <f>Results_exp2_0shot!X45</f>
        <v>0.2857142857142857</v>
      </c>
      <c r="P10" s="207">
        <f>Results_exp2_0shot!X46</f>
        <v>0.35714285714285715</v>
      </c>
      <c r="Q10" s="150">
        <f>Results_exp2_0shot!X47</f>
        <v>0.56250000000000011</v>
      </c>
      <c r="R10" s="150">
        <f>Results_exp2_0shot!X48</f>
        <v>0.5</v>
      </c>
      <c r="S10" s="150">
        <f>Results_exp2_0shot!X49</f>
        <v>0.33333333333333337</v>
      </c>
      <c r="T10" s="150">
        <f>Results_exp2_0shot!X50</f>
        <v>0.2857142857142857</v>
      </c>
      <c r="U10" s="262">
        <f t="shared" si="1"/>
        <v>0.40186011904761904</v>
      </c>
      <c r="V10" s="262"/>
      <c r="X10" s="150">
        <f>Results_exp2_0shot!AD43</f>
        <v>0.24454148471615722</v>
      </c>
      <c r="Y10" s="150">
        <f>Results_exp2_0shot!AD44</f>
        <v>0.35135135135135137</v>
      </c>
      <c r="Z10" s="150">
        <f>Results_exp2_0shot!AD45</f>
        <v>0.3666666666666667</v>
      </c>
      <c r="AA10" s="207">
        <f>Results_exp2_0shot!AD46</f>
        <v>0.35398230088495575</v>
      </c>
      <c r="AB10" s="260">
        <f>Results_exp2_0shot!AD47</f>
        <v>0.67883211678832123</v>
      </c>
      <c r="AC10" s="150">
        <f>Results_exp2_0shot!AD48</f>
        <v>0.65949820788530467</v>
      </c>
      <c r="AD10" s="150">
        <f>Results_exp2_0shot!AD49</f>
        <v>0.52075471698113196</v>
      </c>
      <c r="AE10" s="150">
        <f>Results_exp2_0shot!AD50</f>
        <v>0.28947368421052633</v>
      </c>
      <c r="AF10" s="262">
        <f t="shared" si="2"/>
        <v>0.43313756618555188</v>
      </c>
      <c r="AH10" s="150">
        <f>Results_exp2_0shot!AH43</f>
        <v>1.6949152542372881E-2</v>
      </c>
      <c r="AI10" s="150">
        <f>Results_exp2_0shot!AH44</f>
        <v>1.6949152542372881E-2</v>
      </c>
      <c r="AJ10" s="150">
        <f>Results_exp2_0shot!AH45</f>
        <v>1.6949152542372881E-2</v>
      </c>
      <c r="AK10" s="207">
        <f>Results_exp2_0shot!AH46</f>
        <v>1.6949152542372881E-2</v>
      </c>
      <c r="AL10" s="150">
        <f>Results_exp2_0shot!AH47</f>
        <v>0.11864406779661017</v>
      </c>
      <c r="AM10" s="150">
        <f>Results_exp2_0shot!AH48</f>
        <v>0.25423728813559321</v>
      </c>
      <c r="AN10" s="150">
        <f>Results_exp2_0shot!AH49</f>
        <v>1.6949152542372881E-2</v>
      </c>
      <c r="AO10" s="150">
        <f>Results_exp2_0shot!AH51</f>
        <v>0</v>
      </c>
      <c r="AP10" s="262">
        <f t="shared" si="3"/>
        <v>5.7203389830508475E-2</v>
      </c>
      <c r="AR10" s="150">
        <f>Results_exp2_0shot!AI43</f>
        <v>1</v>
      </c>
      <c r="AS10" s="150">
        <f>Results_exp2_0shot!AI44</f>
        <v>1</v>
      </c>
      <c r="AT10" s="150">
        <f>Results_exp2_0shot!AI45</f>
        <v>1</v>
      </c>
      <c r="AU10" s="207">
        <f>Results_exp2_0shot!AI46</f>
        <v>1</v>
      </c>
      <c r="AV10" s="150">
        <f>Results_exp2_0shot!AI47</f>
        <v>1</v>
      </c>
      <c r="AW10" s="150">
        <f>Results_exp2_0shot!AI48</f>
        <v>1</v>
      </c>
      <c r="AX10" s="150">
        <f>Results_exp2_0shot!AI49</f>
        <v>1</v>
      </c>
      <c r="AY10" s="150">
        <f>Results_exp2_0shot!AI51</f>
        <v>0</v>
      </c>
      <c r="AZ10" s="262">
        <f>AVERAGE(AR10:AX10)</f>
        <v>1</v>
      </c>
    </row>
    <row r="11" spans="1:52" s="256" customFormat="1">
      <c r="A11" s="23" t="s">
        <v>675</v>
      </c>
      <c r="B11" s="23"/>
      <c r="C11" s="253">
        <f t="shared" ref="C11:H11" si="5">AVERAGE(C6:C10)</f>
        <v>0.50539398013081072</v>
      </c>
      <c r="D11" s="254">
        <f t="shared" si="5"/>
        <v>0.52598853044073346</v>
      </c>
      <c r="E11" s="253">
        <f t="shared" si="5"/>
        <v>0.54289255331499642</v>
      </c>
      <c r="F11" s="255">
        <f t="shared" si="5"/>
        <v>0.55656960427491886</v>
      </c>
      <c r="G11" s="253">
        <f t="shared" si="5"/>
        <v>0.54406686001895976</v>
      </c>
      <c r="H11" s="254">
        <f t="shared" si="5"/>
        <v>0.60621726610670379</v>
      </c>
      <c r="I11" s="254">
        <f>AVERAGE(I6,I8:I10)</f>
        <v>0.56921104203829809</v>
      </c>
      <c r="J11" s="253">
        <f>AVERAGE(J6:J10)</f>
        <v>0.5259325143809106</v>
      </c>
      <c r="K11" s="22"/>
      <c r="L11" s="22"/>
      <c r="M11" s="253">
        <f>AVERAGE(M6:M10)</f>
        <v>0.54422910422910431</v>
      </c>
      <c r="N11" s="254">
        <f t="shared" ref="N11:T11" si="6">AVERAGE(N6:N10)</f>
        <v>0.59701110483719178</v>
      </c>
      <c r="O11" s="253">
        <f t="shared" si="6"/>
        <v>0.52249890426549461</v>
      </c>
      <c r="P11" s="255">
        <f t="shared" si="6"/>
        <v>0.5947041967737936</v>
      </c>
      <c r="Q11" s="253">
        <f>AVERAGE(Q6:Q10)</f>
        <v>0.67420323928944614</v>
      </c>
      <c r="R11" s="254">
        <f t="shared" si="6"/>
        <v>0.67554978354978368</v>
      </c>
      <c r="S11" s="254">
        <f>AVERAGE(S6,S8:S10)</f>
        <v>0.55928571428571427</v>
      </c>
      <c r="T11" s="253">
        <f t="shared" si="6"/>
        <v>0.53330879646669127</v>
      </c>
      <c r="U11" s="253"/>
      <c r="V11" s="253"/>
      <c r="X11" s="254">
        <f t="shared" ref="X11:AC11" si="7">AVERAGE(X6:X10)</f>
        <v>0.34911989025728307</v>
      </c>
      <c r="Y11" s="253">
        <f t="shared" si="7"/>
        <v>0.3433022094455756</v>
      </c>
      <c r="Z11" s="254">
        <f t="shared" si="7"/>
        <v>0.42609544962538892</v>
      </c>
      <c r="AA11" s="257">
        <f t="shared" si="7"/>
        <v>0.4028020110331168</v>
      </c>
      <c r="AB11" s="253">
        <f t="shared" si="7"/>
        <v>0.35160471219062839</v>
      </c>
      <c r="AC11" s="254">
        <f t="shared" si="7"/>
        <v>0.41587687033081633</v>
      </c>
      <c r="AD11" s="254">
        <f>AVERAGE(AD6,AD8:AD10)</f>
        <v>0.44581547260556131</v>
      </c>
      <c r="AE11" s="253">
        <f>AVERAGE(AE6:AE10)</f>
        <v>0.37189053080243911</v>
      </c>
      <c r="AF11" s="253"/>
      <c r="AH11" s="253">
        <f>AVERAGE(AH6:AH10)</f>
        <v>2.3804796494869131E-2</v>
      </c>
      <c r="AI11" s="253">
        <f t="shared" ref="AI11:AO11" si="8">AVERAGE(AI6:AI10)</f>
        <v>1.971976248126369E-2</v>
      </c>
      <c r="AJ11" s="253">
        <f t="shared" si="8"/>
        <v>1.14714631615358E-2</v>
      </c>
      <c r="AK11" s="257">
        <f t="shared" si="8"/>
        <v>1.1389830508474577E-2</v>
      </c>
      <c r="AL11" s="253">
        <f t="shared" si="8"/>
        <v>5.221860947768938E-2</v>
      </c>
      <c r="AM11" s="253">
        <f t="shared" si="8"/>
        <v>6.3010722933241087E-2</v>
      </c>
      <c r="AN11" s="253">
        <f t="shared" si="8"/>
        <v>0.10214119970021907</v>
      </c>
      <c r="AO11" s="253">
        <f t="shared" si="8"/>
        <v>3.3166666666666664E-2</v>
      </c>
      <c r="AP11" s="253"/>
      <c r="AR11" s="253">
        <f>AVERAGE(AR6,AR8:AR10)</f>
        <v>1</v>
      </c>
      <c r="AS11" s="253">
        <f>AVERAGE(AS6:AS10)</f>
        <v>1</v>
      </c>
      <c r="AT11" s="253">
        <f>AVERAGE(AT6,AT9:AT10)</f>
        <v>1</v>
      </c>
      <c r="AU11" s="257">
        <f>AVERAGE(AU9,AU10)</f>
        <v>1</v>
      </c>
      <c r="AV11" s="253">
        <f>AVERAGE(AV6,AV9,AV10)</f>
        <v>0.66666666666666663</v>
      </c>
      <c r="AW11" s="253">
        <f>AVERAGE(AW6,AW9:AW10)</f>
        <v>1</v>
      </c>
      <c r="AX11" s="253">
        <f>AVERAGE(AX6:AX10)</f>
        <v>0.94345238095238093</v>
      </c>
      <c r="AY11" s="253">
        <f>AVERAGE(AY8:AY9)</f>
        <v>1</v>
      </c>
    </row>
    <row r="12" spans="1:52" s="184" customFormat="1">
      <c r="A12" s="4" t="s">
        <v>774</v>
      </c>
      <c r="B12" s="4"/>
      <c r="C12" s="335">
        <f>AVERAGE(C6:D10)</f>
        <v>0.5156912552857722</v>
      </c>
      <c r="D12" s="335"/>
      <c r="E12" s="337">
        <f>AVERAGE(E6:F10)</f>
        <v>0.54973107879495764</v>
      </c>
      <c r="F12" s="339"/>
      <c r="G12" s="337">
        <f>AVERAGE(G6:H10)</f>
        <v>0.57514206306283167</v>
      </c>
      <c r="H12" s="337"/>
      <c r="I12" s="335">
        <f>AVERAGE(I6:J10)</f>
        <v>0.54516741556197168</v>
      </c>
      <c r="J12" s="335"/>
      <c r="K12" s="24"/>
      <c r="L12" s="24"/>
      <c r="M12" s="337">
        <f>AVERAGE(M6:N10)</f>
        <v>0.57062010453314793</v>
      </c>
      <c r="N12" s="337"/>
      <c r="O12" s="335">
        <f>AVERAGE(O6:P10)</f>
        <v>0.55860155051964411</v>
      </c>
      <c r="P12" s="336"/>
      <c r="Q12" s="337">
        <f>AVERAGE(Q6:R10)</f>
        <v>0.67487651141961491</v>
      </c>
      <c r="R12" s="337"/>
      <c r="S12" s="335">
        <f>AVERAGE(S6:T10)</f>
        <v>0.54485409327514589</v>
      </c>
      <c r="T12" s="335"/>
      <c r="U12" s="187"/>
      <c r="V12" s="187"/>
      <c r="X12" s="335">
        <f>AVERAGE(X6:Y10)</f>
        <v>0.34621104985142936</v>
      </c>
      <c r="Y12" s="335"/>
      <c r="Z12" s="337">
        <f>AVERAGE(Z6:AA10)</f>
        <v>0.41444873032925278</v>
      </c>
      <c r="AA12" s="339"/>
      <c r="AB12" s="335">
        <f>AVERAGE(AB6:AC10)</f>
        <v>0.38374079126072236</v>
      </c>
      <c r="AC12" s="335"/>
      <c r="AD12" s="337">
        <f>AVERAGE(AD6,AE6,AE7,AD8:AE10)</f>
        <v>0.40474606049271561</v>
      </c>
      <c r="AE12" s="337"/>
      <c r="AF12" s="263"/>
      <c r="AH12" s="337">
        <f>AVERAGE(AH6:AI10)</f>
        <v>2.1762279488066413E-2</v>
      </c>
      <c r="AI12" s="337"/>
      <c r="AJ12" s="335">
        <f>AVERAGE(AJ6:AK10)</f>
        <v>1.1430646835005187E-2</v>
      </c>
      <c r="AK12" s="336"/>
      <c r="AL12" s="335">
        <f>AVERAGE(AL6:AM10)</f>
        <v>5.7614666205465223E-2</v>
      </c>
      <c r="AM12" s="335"/>
      <c r="AN12" s="337">
        <f>AVERAGE(AN6,AO6:AO7,AN8:AO10)</f>
        <v>6.3822014681578845E-2</v>
      </c>
      <c r="AO12" s="337"/>
      <c r="AP12" s="263"/>
      <c r="AR12" s="335">
        <f>AVERAGE(AS11,AR11)</f>
        <v>1</v>
      </c>
      <c r="AS12" s="336"/>
      <c r="AT12" s="335">
        <f>AVERAGE(AU11,AT11)</f>
        <v>1</v>
      </c>
      <c r="AU12" s="336"/>
      <c r="AV12" s="335">
        <f>AVERAGE(AV11,AW11)</f>
        <v>0.83333333333333326</v>
      </c>
      <c r="AW12" s="335"/>
      <c r="AX12" s="335">
        <f>AVERAGE(AX11:AY11)</f>
        <v>0.97172619047619047</v>
      </c>
      <c r="AY12" s="335"/>
    </row>
    <row r="13" spans="1:52" s="184" customFormat="1">
      <c r="A13" s="4" t="s">
        <v>775</v>
      </c>
      <c r="B13" s="4"/>
      <c r="C13" s="335">
        <f>AVERAGE(C6:F10)</f>
        <v>0.53271116704036481</v>
      </c>
      <c r="D13" s="335"/>
      <c r="E13" s="335"/>
      <c r="F13" s="336"/>
      <c r="G13" s="335">
        <f>AVERAGE(G6:J10)</f>
        <v>0.56094354582558215</v>
      </c>
      <c r="H13" s="335"/>
      <c r="I13" s="335"/>
      <c r="J13" s="336"/>
      <c r="K13" s="24"/>
      <c r="L13" s="24"/>
      <c r="M13" s="335">
        <f>AVERAGE(M6:P10)</f>
        <v>0.56461082752639613</v>
      </c>
      <c r="N13" s="335"/>
      <c r="O13" s="335"/>
      <c r="P13" s="336"/>
      <c r="Q13" s="335">
        <f>AVERAGE(Q6:T10)</f>
        <v>0.61328694493012958</v>
      </c>
      <c r="R13" s="335"/>
      <c r="S13" s="335"/>
      <c r="T13" s="336"/>
      <c r="U13" s="187"/>
      <c r="V13" s="187"/>
      <c r="X13" s="335">
        <f>AVERAGE(X6:AA10)</f>
        <v>0.38032989009034107</v>
      </c>
      <c r="Y13" s="335"/>
      <c r="Z13" s="335"/>
      <c r="AA13" s="336"/>
      <c r="AB13" s="335">
        <f>AVERAGE(AB6:AE10)</f>
        <v>0.39369065563377176</v>
      </c>
      <c r="AC13" s="335"/>
      <c r="AD13" s="335"/>
      <c r="AE13" s="336"/>
      <c r="AF13" s="187"/>
      <c r="AH13" s="335">
        <f>AVERAGE(AH6:AK10)</f>
        <v>1.6596463161535801E-2</v>
      </c>
      <c r="AI13" s="335"/>
      <c r="AJ13" s="335"/>
      <c r="AK13" s="336"/>
      <c r="AL13" s="335">
        <f>AVERAGE(AL6:AO10)</f>
        <v>6.055498916783484E-2</v>
      </c>
      <c r="AM13" s="335"/>
      <c r="AN13" s="335"/>
      <c r="AO13" s="336"/>
      <c r="AP13" s="187"/>
      <c r="AR13" s="335">
        <f>AVERAGE(AR6:AT6,AR8:AS8,AR9:AU10)</f>
        <v>1</v>
      </c>
      <c r="AS13" s="335"/>
      <c r="AT13" s="335"/>
      <c r="AU13" s="336"/>
      <c r="AV13" s="335">
        <f>AVERAGE(AV6:AX6,AX8,AV9:AY9,AV10:AX10)</f>
        <v>0.8885281385281385</v>
      </c>
      <c r="AW13" s="335"/>
      <c r="AX13" s="335"/>
      <c r="AY13" s="336"/>
    </row>
    <row r="14" spans="1:52" s="180" customFormat="1">
      <c r="A14" s="258" t="s">
        <v>676</v>
      </c>
      <c r="B14" s="258"/>
      <c r="C14" s="338">
        <f>AVERAGE(C6:J10)</f>
        <v>0.54646540285880418</v>
      </c>
      <c r="D14" s="338"/>
      <c r="E14" s="338"/>
      <c r="F14" s="338"/>
      <c r="G14" s="338"/>
      <c r="H14" s="338"/>
      <c r="I14" s="338"/>
      <c r="J14" s="338"/>
      <c r="K14" s="5"/>
      <c r="L14" s="5"/>
      <c r="M14" s="338">
        <f>AVERAGE(M6:T10)</f>
        <v>0.58832483344103548</v>
      </c>
      <c r="N14" s="338"/>
      <c r="O14" s="338"/>
      <c r="P14" s="338"/>
      <c r="Q14" s="338"/>
      <c r="R14" s="338"/>
      <c r="S14" s="338"/>
      <c r="T14" s="338"/>
      <c r="U14" s="261"/>
      <c r="V14" s="261"/>
      <c r="X14" s="338">
        <f>AVERAGE(X6:AE10)</f>
        <v>0.38683898099611502</v>
      </c>
      <c r="Y14" s="338"/>
      <c r="Z14" s="338"/>
      <c r="AA14" s="338"/>
      <c r="AB14" s="338"/>
      <c r="AC14" s="338"/>
      <c r="AD14" s="338"/>
      <c r="AE14" s="338"/>
      <c r="AF14" s="261"/>
      <c r="AH14" s="338">
        <f>AVERAGE(AH6:AO10)</f>
        <v>3.8012155318450716E-2</v>
      </c>
      <c r="AI14" s="338"/>
      <c r="AJ14" s="338"/>
      <c r="AK14" s="338"/>
      <c r="AL14" s="338"/>
      <c r="AM14" s="338"/>
      <c r="AN14" s="338"/>
      <c r="AO14" s="338"/>
      <c r="AP14" s="261"/>
      <c r="AR14" s="338">
        <f>AVERAGE(AR6:AT6,AS7,AR8:AS10,AT9:AU10,AV6:AX6,AX8,AV9:AX10,AY8:AY9)</f>
        <v>0.9528388278388279</v>
      </c>
      <c r="AS14" s="338"/>
      <c r="AT14" s="338"/>
      <c r="AU14" s="338"/>
      <c r="AV14" s="338"/>
      <c r="AW14" s="338"/>
      <c r="AX14" s="338"/>
      <c r="AY14" s="338"/>
    </row>
    <row r="15" spans="1:52">
      <c r="C15">
        <f>_xlfn.STDEV.P(C6:C10)</f>
        <v>3.5458368901316185E-2</v>
      </c>
      <c r="D15">
        <f>_xlfn.STDEV.P(D6:D10)</f>
        <v>0.10590735953919801</v>
      </c>
      <c r="E15">
        <f t="shared" ref="E15:J15" si="9">_xlfn.STDEV.P(E6:E10)</f>
        <v>9.5006005727030857E-2</v>
      </c>
      <c r="F15">
        <f t="shared" si="9"/>
        <v>0.11933880653440893</v>
      </c>
      <c r="G15">
        <f t="shared" si="9"/>
        <v>0.14789329743133986</v>
      </c>
      <c r="H15">
        <f t="shared" si="9"/>
        <v>0.12243470518310789</v>
      </c>
      <c r="I15">
        <f t="shared" si="9"/>
        <v>8.9921365994916097E-2</v>
      </c>
      <c r="J15">
        <f t="shared" si="9"/>
        <v>9.5823483660461381E-2</v>
      </c>
      <c r="M15">
        <f>_xlfn.STDEV.P(M6:M10)</f>
        <v>0.16691047332764586</v>
      </c>
      <c r="N15">
        <f>_xlfn.STDEV.P(N6:N10)</f>
        <v>0.27363123921871163</v>
      </c>
      <c r="O15">
        <f t="shared" ref="O15:T15" si="10">_xlfn.STDEV.P(O6:O10)</f>
        <v>0.19054734127403725</v>
      </c>
      <c r="P15">
        <f t="shared" si="10"/>
        <v>0.21455264351082154</v>
      </c>
      <c r="Q15">
        <f t="shared" si="10"/>
        <v>0.16606059118419686</v>
      </c>
      <c r="R15">
        <f t="shared" si="10"/>
        <v>0.12896489824189533</v>
      </c>
      <c r="S15">
        <f t="shared" si="10"/>
        <v>0.22710379518371782</v>
      </c>
      <c r="T15">
        <f t="shared" si="10"/>
        <v>0.19608034861089757</v>
      </c>
      <c r="X15">
        <f>_xlfn.STDEV.P(X6:X10)</f>
        <v>6.7704260858978613E-2</v>
      </c>
      <c r="Y15">
        <f>_xlfn.STDEV.P(Y6:Y10)</f>
        <v>7.3690961837250143E-2</v>
      </c>
      <c r="Z15">
        <f t="shared" ref="Z15:AE15" si="11">_xlfn.STDEV.P(Z6:Z10)</f>
        <v>0.20296724729378765</v>
      </c>
      <c r="AA15">
        <f t="shared" si="11"/>
        <v>0.2037193627607338</v>
      </c>
      <c r="AB15">
        <f t="shared" si="11"/>
        <v>0.19402613082971848</v>
      </c>
      <c r="AC15">
        <f t="shared" si="11"/>
        <v>0.14614224332922332</v>
      </c>
      <c r="AD15">
        <f t="shared" si="11"/>
        <v>0.24330904938691719</v>
      </c>
      <c r="AE15">
        <f t="shared" si="11"/>
        <v>0.18190391359561736</v>
      </c>
    </row>
    <row r="16" spans="1:52">
      <c r="D16">
        <f>_xlfn.STDEV.P(C6:D10)</f>
        <v>7.9642113485707114E-2</v>
      </c>
    </row>
    <row r="17" spans="1:51">
      <c r="AR17" s="332">
        <f>_xlfn.STDEV.P(AR5:AS9)</f>
        <v>0.33071891388307384</v>
      </c>
      <c r="AS17" s="332"/>
      <c r="AT17" s="332">
        <f>_xlfn.STDEV.P(AT5:AU9)</f>
        <v>0.48412291827592713</v>
      </c>
      <c r="AU17" s="332"/>
      <c r="AV17" s="332">
        <f>_xlfn.STDEV.P(AV5:AW9)</f>
        <v>0.48412291827592713</v>
      </c>
      <c r="AW17" s="332"/>
      <c r="AX17" s="332">
        <f>_xlfn.STDEV.P(AX5:AY9)</f>
        <v>0.43414340285038511</v>
      </c>
      <c r="AY17" s="332"/>
    </row>
    <row r="18" spans="1:51">
      <c r="A18" t="s">
        <v>790</v>
      </c>
      <c r="C18" s="332">
        <f>_xlfn.STDEV.P(C6:D10)</f>
        <v>7.9642113485707114E-2</v>
      </c>
      <c r="D18" s="332"/>
      <c r="E18" s="334">
        <f>_xlfn.STDEV.P(E6:F10)</f>
        <v>0.10807733974044223</v>
      </c>
      <c r="F18" s="334"/>
      <c r="G18" s="334">
        <f>_xlfn.STDEV.P(G6:H10)</f>
        <v>0.13927315058335038</v>
      </c>
      <c r="H18" s="334"/>
      <c r="I18" s="332">
        <f>_xlfn.STDEV.P(I6:J10)</f>
        <v>9.5694188472944419E-2</v>
      </c>
      <c r="J18" s="332"/>
      <c r="M18" s="334">
        <f>_xlfn.STDEV.P(M6:N10)</f>
        <v>0.228173323349732</v>
      </c>
      <c r="N18" s="334"/>
      <c r="O18" s="334">
        <f>_xlfn.STDEV.P(O6:P10)</f>
        <v>0.20609212531922522</v>
      </c>
      <c r="P18" s="334"/>
      <c r="Q18" s="332">
        <f>_xlfn.STDEV.P(Q6:R10)</f>
        <v>0.148675773940662</v>
      </c>
      <c r="R18" s="332"/>
      <c r="S18" s="334">
        <f>_xlfn.STDEV.P(S6:T10)</f>
        <v>0.21082947475683722</v>
      </c>
      <c r="T18" s="334"/>
      <c r="X18" s="332">
        <f>_xlfn.STDEV.P(X6:Y10)</f>
        <v>7.0820715542746243E-2</v>
      </c>
      <c r="Y18" s="332"/>
      <c r="Z18" s="334">
        <f>_xlfn.STDEV.P(Z6:AA10)</f>
        <v>0.20367691864615275</v>
      </c>
      <c r="AA18" s="334"/>
      <c r="AB18" s="334">
        <f>_xlfn.STDEV.P(AB6:AC10)</f>
        <v>0.17474145170229011</v>
      </c>
      <c r="AC18" s="334"/>
      <c r="AD18" s="334">
        <f>_xlfn.STDEV.P(AD6:AE10)</f>
        <v>0.21457621245468761</v>
      </c>
      <c r="AE18" s="334"/>
      <c r="AH18" s="332">
        <f>_xlfn.STDEV.P(AH5:AI9)</f>
        <v>1.2248888998766104E-2</v>
      </c>
      <c r="AI18" s="332"/>
      <c r="AJ18" s="332">
        <f>_xlfn.STDEV.P(AJ5:AK9)</f>
        <v>1.4178809179109837E-2</v>
      </c>
      <c r="AK18" s="332"/>
      <c r="AL18" s="332">
        <f>_xlfn.STDEV.P(AL5:AM9)</f>
        <v>3.9203199854099924E-2</v>
      </c>
      <c r="AM18" s="332"/>
      <c r="AN18" s="332">
        <f>_xlfn.STDEV.P(AN5:AO9)</f>
        <v>8.1403499765454079E-2</v>
      </c>
      <c r="AO18" s="332"/>
    </row>
    <row r="19" spans="1:51">
      <c r="A19" t="s">
        <v>792</v>
      </c>
      <c r="C19" s="332">
        <f>_xlfn.STDEV.P(C6:J10)</f>
        <v>0.11029541677316008</v>
      </c>
      <c r="D19" s="332"/>
      <c r="E19" s="332"/>
      <c r="F19" s="332"/>
      <c r="G19" s="332"/>
      <c r="H19" s="332"/>
      <c r="I19" s="332"/>
      <c r="J19" s="332"/>
      <c r="M19" s="332">
        <f>_xlfn.STDEV.P(M6:T10)</f>
        <v>0.20695257397206038</v>
      </c>
      <c r="N19" s="332"/>
      <c r="O19" s="332"/>
      <c r="P19" s="332"/>
      <c r="Q19" s="332"/>
      <c r="R19" s="332"/>
      <c r="S19" s="332"/>
      <c r="T19" s="332"/>
      <c r="X19" s="332">
        <f>_xlfn.STDEV.P(X6:AE10)</f>
        <v>0.17627499983593636</v>
      </c>
      <c r="Y19" s="332"/>
      <c r="Z19" s="332"/>
      <c r="AA19" s="332"/>
      <c r="AB19" s="332"/>
      <c r="AC19" s="332"/>
      <c r="AD19" s="332"/>
      <c r="AE19" s="332"/>
      <c r="AH19" s="332">
        <f>_xlfn.STDEV.P(AH6:AO10)</f>
        <v>5.9887000339178507E-2</v>
      </c>
      <c r="AI19" s="332"/>
      <c r="AJ19" s="332"/>
      <c r="AK19" s="332"/>
      <c r="AL19" s="332"/>
      <c r="AM19" s="332"/>
      <c r="AN19" s="332"/>
      <c r="AO19" s="332"/>
      <c r="AR19" s="332">
        <f>_xlfn.STDEV.P(AR6:AT6,AW6:AX6,AR8:AS10,AT9:AX10,AX8)</f>
        <v>3.3728229528674082E-2</v>
      </c>
      <c r="AS19" s="332"/>
      <c r="AT19" s="332"/>
      <c r="AU19" s="332"/>
      <c r="AV19" s="332"/>
      <c r="AW19" s="332"/>
      <c r="AX19" s="332"/>
      <c r="AY19" s="332"/>
    </row>
    <row r="26" spans="1:51">
      <c r="W26" s="332"/>
      <c r="X26" s="332"/>
      <c r="Y26" s="332"/>
      <c r="Z26" s="332"/>
      <c r="AA26" s="332"/>
      <c r="AB26" s="332"/>
      <c r="AC26" s="332"/>
      <c r="AD26" s="332"/>
    </row>
    <row r="27" spans="1:51">
      <c r="W27" s="332"/>
      <c r="X27" s="332"/>
      <c r="Y27" s="332"/>
      <c r="Z27" s="332"/>
      <c r="AA27" s="332"/>
      <c r="AB27" s="332"/>
      <c r="AC27" s="332"/>
      <c r="AD27" s="332"/>
    </row>
    <row r="28" spans="1:51">
      <c r="W28" s="332"/>
      <c r="X28" s="332"/>
      <c r="Y28" s="332"/>
      <c r="Z28" s="332"/>
      <c r="AA28" s="332"/>
      <c r="AB28" s="332"/>
      <c r="AC28" s="332"/>
      <c r="AD28" s="332"/>
    </row>
    <row r="29" spans="1:51">
      <c r="W29" s="332"/>
      <c r="X29" s="332"/>
      <c r="Y29" s="332"/>
      <c r="Z29" s="332"/>
      <c r="AA29" s="332"/>
      <c r="AB29" s="332"/>
      <c r="AC29" s="332"/>
      <c r="AD29" s="332"/>
    </row>
  </sheetData>
  <mergeCells count="73">
    <mergeCell ref="AT12:AU12"/>
    <mergeCell ref="AV12:AW12"/>
    <mergeCell ref="AX12:AY12"/>
    <mergeCell ref="AR14:AY14"/>
    <mergeCell ref="AH4:AO4"/>
    <mergeCell ref="AR4:AY4"/>
    <mergeCell ref="AH12:AI12"/>
    <mergeCell ref="AJ12:AK12"/>
    <mergeCell ref="AL12:AM12"/>
    <mergeCell ref="AN12:AO12"/>
    <mergeCell ref="AH14:AO14"/>
    <mergeCell ref="AR12:AS12"/>
    <mergeCell ref="AH13:AK13"/>
    <mergeCell ref="AL13:AO13"/>
    <mergeCell ref="AR13:AU13"/>
    <mergeCell ref="AV13:AY13"/>
    <mergeCell ref="AB12:AC12"/>
    <mergeCell ref="AD12:AE12"/>
    <mergeCell ref="X14:AE14"/>
    <mergeCell ref="X4:AE4"/>
    <mergeCell ref="M4:T4"/>
    <mergeCell ref="X12:Y12"/>
    <mergeCell ref="Z12:AA12"/>
    <mergeCell ref="X13:AA13"/>
    <mergeCell ref="AB13:AE13"/>
    <mergeCell ref="C4:J4"/>
    <mergeCell ref="O12:P12"/>
    <mergeCell ref="Q12:R12"/>
    <mergeCell ref="S12:T12"/>
    <mergeCell ref="M14:T14"/>
    <mergeCell ref="C14:J14"/>
    <mergeCell ref="C12:D12"/>
    <mergeCell ref="E12:F12"/>
    <mergeCell ref="G12:H12"/>
    <mergeCell ref="I12:J12"/>
    <mergeCell ref="M12:N12"/>
    <mergeCell ref="C13:F13"/>
    <mergeCell ref="G13:J13"/>
    <mergeCell ref="M13:P13"/>
    <mergeCell ref="Q13:T13"/>
    <mergeCell ref="C18:D18"/>
    <mergeCell ref="E18:F18"/>
    <mergeCell ref="G18:H18"/>
    <mergeCell ref="I18:J18"/>
    <mergeCell ref="M18:N18"/>
    <mergeCell ref="O18:P18"/>
    <mergeCell ref="Q18:R18"/>
    <mergeCell ref="S18:T18"/>
    <mergeCell ref="X18:Y18"/>
    <mergeCell ref="Z18:AA18"/>
    <mergeCell ref="AB18:AC18"/>
    <mergeCell ref="AD18:AE18"/>
    <mergeCell ref="AH18:AI18"/>
    <mergeCell ref="AJ18:AK18"/>
    <mergeCell ref="AL18:AM18"/>
    <mergeCell ref="AN18:AO18"/>
    <mergeCell ref="AR17:AS17"/>
    <mergeCell ref="AT17:AU17"/>
    <mergeCell ref="AV17:AW17"/>
    <mergeCell ref="AX17:AY17"/>
    <mergeCell ref="C19:J19"/>
    <mergeCell ref="M19:T19"/>
    <mergeCell ref="X19:AE19"/>
    <mergeCell ref="AH19:AO19"/>
    <mergeCell ref="AR19:AY19"/>
    <mergeCell ref="W26:AD26"/>
    <mergeCell ref="W29:AD29"/>
    <mergeCell ref="Y28:Z28"/>
    <mergeCell ref="W28:X28"/>
    <mergeCell ref="AA28:AB28"/>
    <mergeCell ref="AC28:AD28"/>
    <mergeCell ref="W27:Z27"/>
    <mergeCell ref="AA27:AD27"/>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444FE-E179-4D41-97F2-AE7E0EFD72A6}">
  <dimension ref="A1:BU344"/>
  <sheetViews>
    <sheetView zoomScale="60" zoomScaleNormal="60" workbookViewId="0">
      <pane ySplit="1" topLeftCell="A2" activePane="bottomLeft" state="frozen"/>
      <selection pane="bottomLeft" activeCell="BR230" sqref="BR230:BU230"/>
    </sheetView>
  </sheetViews>
  <sheetFormatPr baseColWidth="10" defaultRowHeight="15"/>
  <cols>
    <col min="3" max="3" width="8.33203125" style="76" customWidth="1"/>
    <col min="4" max="4" width="10.5" customWidth="1"/>
    <col min="5" max="5" width="10.33203125" customWidth="1"/>
    <col min="6" max="9" width="9.6640625" customWidth="1"/>
    <col min="10" max="10" width="11.6640625" bestFit="1" customWidth="1"/>
    <col min="11" max="11" width="11.6640625" customWidth="1"/>
    <col min="12" max="12" width="13" style="2" customWidth="1"/>
    <col min="13" max="13" width="14.1640625" customWidth="1"/>
    <col min="14" max="14" width="9.6640625" style="115" customWidth="1"/>
    <col min="15" max="15" width="9.83203125" style="81" customWidth="1"/>
    <col min="16" max="16" width="9.6640625" style="81" customWidth="1"/>
    <col min="17" max="18" width="9.6640625" style="125" customWidth="1"/>
    <col min="19" max="19" width="9.6640625" style="82" customWidth="1"/>
    <col min="20" max="20" width="9.6640625" style="115" customWidth="1"/>
    <col min="21" max="22" width="9.6640625" style="81" customWidth="1"/>
    <col min="23" max="24" width="9.6640625" style="125" customWidth="1"/>
    <col min="25" max="25" width="9.6640625" style="82" customWidth="1"/>
    <col min="26" max="26" width="9.6640625" style="115" customWidth="1"/>
    <col min="27" max="28" width="9.6640625" style="81" customWidth="1"/>
    <col min="29" max="30" width="9.6640625" style="125" customWidth="1"/>
    <col min="31" max="31" width="9.6640625" style="82" customWidth="1"/>
    <col min="32" max="32" width="10.1640625" style="115" customWidth="1"/>
    <col min="33" max="34" width="9.6640625" style="81" customWidth="1"/>
    <col min="35" max="35" width="9.6640625" style="82" customWidth="1"/>
    <col min="36" max="36" width="9.6640625" style="81" customWidth="1"/>
    <col min="37" max="37" width="9.6640625" style="81" hidden="1" customWidth="1"/>
    <col min="38" max="38" width="9.6640625" style="115" hidden="1" customWidth="1"/>
    <col min="39" max="39" width="9.6640625" style="122" hidden="1" customWidth="1"/>
    <col min="40" max="40" width="9" style="101" hidden="1" customWidth="1"/>
    <col min="41" max="41" width="7.1640625" hidden="1" customWidth="1"/>
    <col min="42" max="42" width="10.6640625" hidden="1" customWidth="1"/>
    <col min="43" max="44" width="0" style="101" hidden="1" customWidth="1"/>
    <col min="45" max="47" width="0" hidden="1" customWidth="1"/>
    <col min="48" max="48" width="8" style="119" hidden="1" customWidth="1"/>
    <col min="49" max="50" width="0" style="101" hidden="1" customWidth="1"/>
    <col min="51" max="51" width="15.1640625" style="101" hidden="1" customWidth="1"/>
    <col min="52" max="53" width="0" style="101" hidden="1" customWidth="1"/>
    <col min="54" max="54" width="15.1640625" style="85" hidden="1" customWidth="1"/>
    <col min="55" max="55" width="12.6640625" hidden="1" customWidth="1"/>
    <col min="56" max="56" width="0" style="101" hidden="1" customWidth="1"/>
    <col min="57" max="59" width="0" hidden="1" customWidth="1"/>
    <col min="60" max="60" width="26" hidden="1" customWidth="1"/>
    <col min="61" max="61" width="0" hidden="1" customWidth="1"/>
    <col min="63" max="68" width="0" hidden="1" customWidth="1"/>
  </cols>
  <sheetData>
    <row r="1" spans="1:69" s="86" customFormat="1" ht="88" customHeight="1">
      <c r="B1" s="86" t="s">
        <v>311</v>
      </c>
      <c r="C1" s="86" t="s">
        <v>303</v>
      </c>
      <c r="D1" s="86" t="s">
        <v>304</v>
      </c>
      <c r="E1" s="86" t="s">
        <v>362</v>
      </c>
      <c r="F1" s="86" t="s">
        <v>355</v>
      </c>
      <c r="G1" s="86" t="s">
        <v>356</v>
      </c>
      <c r="H1" s="86" t="s">
        <v>372</v>
      </c>
      <c r="I1" s="86" t="s">
        <v>532</v>
      </c>
      <c r="J1" s="86" t="s">
        <v>361</v>
      </c>
      <c r="K1" s="86" t="s">
        <v>677</v>
      </c>
      <c r="L1" s="86" t="s">
        <v>678</v>
      </c>
      <c r="M1" s="87" t="s">
        <v>363</v>
      </c>
      <c r="N1" s="113" t="s">
        <v>527</v>
      </c>
      <c r="O1" s="116" t="s">
        <v>522</v>
      </c>
      <c r="P1" s="116" t="s">
        <v>523</v>
      </c>
      <c r="Q1" s="116" t="s">
        <v>519</v>
      </c>
      <c r="R1" s="116" t="s">
        <v>520</v>
      </c>
      <c r="S1" s="88" t="s">
        <v>521</v>
      </c>
      <c r="T1" s="113" t="s">
        <v>526</v>
      </c>
      <c r="U1" s="116" t="s">
        <v>524</v>
      </c>
      <c r="V1" s="116" t="s">
        <v>525</v>
      </c>
      <c r="W1" s="116" t="s">
        <v>519</v>
      </c>
      <c r="X1" s="116" t="s">
        <v>520</v>
      </c>
      <c r="Y1" s="88" t="s">
        <v>521</v>
      </c>
      <c r="Z1" s="113" t="s">
        <v>528</v>
      </c>
      <c r="AA1" s="116" t="s">
        <v>533</v>
      </c>
      <c r="AB1" s="116" t="s">
        <v>534</v>
      </c>
      <c r="AC1" s="116" t="s">
        <v>519</v>
      </c>
      <c r="AD1" s="116" t="s">
        <v>520</v>
      </c>
      <c r="AE1" s="88" t="s">
        <v>521</v>
      </c>
      <c r="AF1" s="113" t="s">
        <v>529</v>
      </c>
      <c r="AG1" s="116" t="s">
        <v>531</v>
      </c>
      <c r="AH1" s="116" t="s">
        <v>530</v>
      </c>
      <c r="AI1" s="88" t="s">
        <v>535</v>
      </c>
      <c r="AJ1" s="88" t="s">
        <v>520</v>
      </c>
      <c r="AK1" s="88" t="s">
        <v>521</v>
      </c>
      <c r="AL1" s="113" t="s">
        <v>536</v>
      </c>
      <c r="AM1" s="117" t="s">
        <v>354</v>
      </c>
      <c r="AN1" s="117" t="s">
        <v>357</v>
      </c>
      <c r="AO1" s="88" t="s">
        <v>370</v>
      </c>
      <c r="AP1" s="88" t="s">
        <v>368</v>
      </c>
      <c r="AQ1" s="117" t="s">
        <v>384</v>
      </c>
      <c r="AR1" s="117" t="s">
        <v>385</v>
      </c>
      <c r="AS1" s="88" t="s">
        <v>367</v>
      </c>
      <c r="AT1" s="88" t="s">
        <v>413</v>
      </c>
      <c r="AU1" s="88" t="s">
        <v>369</v>
      </c>
      <c r="AV1" s="117" t="s">
        <v>373</v>
      </c>
      <c r="AW1" s="123" t="s">
        <v>518</v>
      </c>
      <c r="AX1" s="123"/>
      <c r="AY1" s="117" t="s">
        <v>517</v>
      </c>
      <c r="AZ1" s="117" t="s">
        <v>386</v>
      </c>
      <c r="BA1" s="117" t="s">
        <v>414</v>
      </c>
      <c r="BB1" s="112" t="s">
        <v>415</v>
      </c>
      <c r="BC1" s="89" t="s">
        <v>364</v>
      </c>
      <c r="BD1" s="117" t="s">
        <v>365</v>
      </c>
      <c r="BE1" s="90" t="s">
        <v>371</v>
      </c>
      <c r="BF1" s="117" t="s">
        <v>416</v>
      </c>
      <c r="BG1" s="117" t="s">
        <v>408</v>
      </c>
      <c r="BH1" s="86" t="s">
        <v>366</v>
      </c>
      <c r="BI1" s="86" t="s">
        <v>358</v>
      </c>
      <c r="BK1" s="86" t="s">
        <v>353</v>
      </c>
      <c r="BL1" s="86" t="s">
        <v>348</v>
      </c>
      <c r="BM1" s="86" t="s">
        <v>349</v>
      </c>
      <c r="BN1" s="86" t="s">
        <v>350</v>
      </c>
      <c r="BO1" s="86" t="s">
        <v>351</v>
      </c>
      <c r="BP1" s="86" t="s">
        <v>352</v>
      </c>
    </row>
    <row r="2" spans="1:69" s="75" customFormat="1">
      <c r="A2" s="73" t="s">
        <v>343</v>
      </c>
      <c r="B2" s="94">
        <v>45178</v>
      </c>
      <c r="C2" s="99" t="s">
        <v>156</v>
      </c>
      <c r="D2" s="78">
        <f>VLOOKUP($C$2,Overview!$Q$2:$AS$64,23,FALSE)</f>
        <v>0.12287169416637536</v>
      </c>
      <c r="E2" s="78" t="str">
        <f>VLOOKUP($C$2,Overview!$Q$2:$AS$64,24,FALSE)</f>
        <v>low</v>
      </c>
      <c r="F2" s="75">
        <f>VLOOKUP($C$2,Overview!$Q$2:$AS$64,13,FALSE)</f>
        <v>14</v>
      </c>
      <c r="G2" s="75">
        <f>VLOOKUP($C$2,Overview!$Q$2:$AS$64,16,FALSE)</f>
        <v>6</v>
      </c>
      <c r="H2" s="75">
        <f>VLOOKUP($C$2,Overview!$Q$2:$AS$64,18,FALSE)</f>
        <v>6</v>
      </c>
      <c r="I2" s="75">
        <f>VLOOKUP($C$2,Overview!$Q$2:$AS$64,19,FALSE)</f>
        <v>12</v>
      </c>
      <c r="J2" s="191"/>
      <c r="K2" s="157" t="str">
        <f>VLOOKUP($C$2,Overview!$Q$2:$AS$64,5,FALSE)</f>
        <v>8-2, 3-8</v>
      </c>
      <c r="L2" s="91"/>
      <c r="M2" s="73"/>
      <c r="N2" s="114"/>
      <c r="O2" s="80"/>
      <c r="P2" s="80"/>
      <c r="Q2" s="124"/>
      <c r="R2" s="124"/>
      <c r="S2" s="80"/>
      <c r="T2" s="114"/>
      <c r="U2" s="80"/>
      <c r="V2" s="80"/>
      <c r="W2" s="124"/>
      <c r="X2" s="124"/>
      <c r="Y2" s="80"/>
      <c r="Z2" s="114"/>
      <c r="AA2" s="80"/>
      <c r="AB2" s="80"/>
      <c r="AC2" s="124"/>
      <c r="AD2" s="124"/>
      <c r="AE2" s="80"/>
      <c r="AF2" s="114"/>
      <c r="AI2" s="80"/>
      <c r="AJ2" s="80"/>
      <c r="AK2" s="80"/>
      <c r="AL2" s="114"/>
      <c r="AM2" s="121"/>
      <c r="AN2" s="101"/>
      <c r="AQ2" s="101"/>
      <c r="AR2" s="101"/>
      <c r="AV2" s="119"/>
      <c r="AW2" s="101"/>
      <c r="AX2" s="101"/>
      <c r="AY2" s="101"/>
      <c r="AZ2" s="102"/>
      <c r="BA2" s="102"/>
      <c r="BB2" s="84"/>
      <c r="BD2" s="101"/>
      <c r="BH2" s="73"/>
      <c r="BI2" s="74"/>
      <c r="BK2" s="74"/>
      <c r="BL2" s="74"/>
      <c r="BM2" s="74"/>
      <c r="BN2" s="74"/>
      <c r="BO2" s="74"/>
      <c r="BP2" s="74"/>
    </row>
    <row r="3" spans="1:69">
      <c r="A3" t="s">
        <v>305</v>
      </c>
      <c r="C3" s="98"/>
      <c r="J3" t="s">
        <v>679</v>
      </c>
      <c r="K3" s="296" t="s">
        <v>787</v>
      </c>
      <c r="L3" s="210" t="s">
        <v>149</v>
      </c>
      <c r="M3" s="77"/>
      <c r="O3" s="81">
        <f t="shared" ref="O3:O8" si="0">P3-0</f>
        <v>13</v>
      </c>
      <c r="P3" s="81">
        <f t="shared" ref="P3:P8" si="1">$F$2-1</f>
        <v>13</v>
      </c>
      <c r="Q3" s="129">
        <f t="shared" ref="Q3:Q8" si="2">O3/$F$2</f>
        <v>0.9285714285714286</v>
      </c>
      <c r="R3" s="129">
        <f t="shared" ref="R3:R8" si="3">O3/P3</f>
        <v>1</v>
      </c>
      <c r="S3" s="127">
        <f t="shared" ref="S3:S8" si="4">2*(Q3*R3)/(Q3+R3)</f>
        <v>0.96296296296296302</v>
      </c>
      <c r="U3" s="81">
        <f t="shared" ref="U3:U8" si="5">V3-0</f>
        <v>6</v>
      </c>
      <c r="V3" s="81">
        <f t="shared" ref="V3:V8" si="6">$G$2-0</f>
        <v>6</v>
      </c>
      <c r="W3" s="129">
        <f t="shared" ref="W3:W8" si="7">U3/$G$2</f>
        <v>1</v>
      </c>
      <c r="X3" s="129">
        <f t="shared" ref="X3:X8" si="8">U3/V3</f>
        <v>1</v>
      </c>
      <c r="Y3" s="127">
        <f t="shared" ref="Y3:Y8" si="9">2*(W3*X3)/(W3+X3)</f>
        <v>1</v>
      </c>
      <c r="AA3" s="81">
        <f t="shared" ref="AA3:AA8" si="10">AB3-0</f>
        <v>11</v>
      </c>
      <c r="AB3" s="81">
        <f t="shared" ref="AB3:AB8" si="11">$I$2-1</f>
        <v>11</v>
      </c>
      <c r="AC3" s="129">
        <f t="shared" ref="AC3:AC8" si="12">AA3/$I$2</f>
        <v>0.91666666666666663</v>
      </c>
      <c r="AD3" s="129">
        <f t="shared" ref="AD3:AD8" si="13">AA3/AB3</f>
        <v>1</v>
      </c>
      <c r="AE3" s="127">
        <f t="shared" ref="AE3:AE8" si="14">2*(AC3*AD3)/(AC3+AD3)</f>
        <v>0.95652173913043481</v>
      </c>
      <c r="AG3" s="41">
        <f t="shared" ref="AG3:AG8" si="15">AH3-0</f>
        <v>3</v>
      </c>
      <c r="AH3">
        <v>3</v>
      </c>
      <c r="AI3" s="127">
        <f t="shared" ref="AI3:AI8" si="16">AG3/$H$2</f>
        <v>0.5</v>
      </c>
      <c r="AJ3" s="127">
        <f>AG3/AH3</f>
        <v>1</v>
      </c>
      <c r="AK3" s="81">
        <f>2*(AI3*AJ3)/(AI3+AJ3)</f>
        <v>0.66666666666666663</v>
      </c>
      <c r="AM3" s="122">
        <v>0</v>
      </c>
      <c r="AN3" s="101">
        <v>0</v>
      </c>
      <c r="AO3">
        <v>263</v>
      </c>
      <c r="AP3">
        <v>15</v>
      </c>
      <c r="AQ3" s="101">
        <v>8</v>
      </c>
      <c r="AR3" s="101">
        <v>7</v>
      </c>
      <c r="AS3">
        <v>6</v>
      </c>
      <c r="AT3" s="107"/>
      <c r="AU3">
        <v>1</v>
      </c>
      <c r="AV3" s="119">
        <v>3</v>
      </c>
      <c r="AW3" s="101">
        <f>($F$2-N3)/$F$2</f>
        <v>1</v>
      </c>
      <c r="AY3" s="101">
        <f>($G$2-AN3)/$G$2</f>
        <v>1</v>
      </c>
      <c r="AZ3" s="101">
        <f>AR3/AQ3</f>
        <v>0.875</v>
      </c>
      <c r="BA3" s="101">
        <f>AT3/AS3</f>
        <v>0</v>
      </c>
      <c r="BB3" s="85">
        <f>(AW3+AY3+AZ3+BA3)/4</f>
        <v>0.71875</v>
      </c>
      <c r="BC3" s="13">
        <f>AP3/$H$2</f>
        <v>2.5</v>
      </c>
      <c r="BD3" s="118">
        <f>AV3/AP3</f>
        <v>0.2</v>
      </c>
      <c r="BE3" s="13">
        <f>AO3/AP3</f>
        <v>17.533333333333335</v>
      </c>
      <c r="BF3" s="13">
        <f>AT3/$H$2</f>
        <v>0</v>
      </c>
      <c r="BG3" s="13">
        <f>AR3/$H$2</f>
        <v>1.1666666666666667</v>
      </c>
      <c r="BQ3" t="str">
        <f>_xlfn.CONCAT($C$2," &amp; ",J3," &amp; ",Q3," &amp; ",R3," &amp; ",S3," &amp; ",W3," &amp; ",X3," &amp; ",Y3," &amp; ",AC3," &amp; ",AD3," &amp; ",AE3," &amp; ",AG3," &amp; ",AH3," &amp; ",AI3," &amp; ",AJ3, " \\ \hline")</f>
        <v>6-2 &amp; k=1 &amp; 0.928571428571429 &amp; 1 &amp; 0.962962962962963 &amp; 1 &amp; 1 &amp; 1 &amp; 0.916666666666667 &amp; 1 &amp; 0.956521739130435 &amp; 3 &amp; 3 &amp; 0.5 &amp; 1 \\ \hline</v>
      </c>
    </row>
    <row r="4" spans="1:69">
      <c r="A4" t="s">
        <v>306</v>
      </c>
      <c r="C4" s="98"/>
      <c r="J4" t="s">
        <v>679</v>
      </c>
      <c r="L4" s="210" t="s">
        <v>149</v>
      </c>
      <c r="M4" s="108"/>
      <c r="O4" s="81">
        <f t="shared" si="0"/>
        <v>13</v>
      </c>
      <c r="P4" s="81">
        <f t="shared" si="1"/>
        <v>13</v>
      </c>
      <c r="Q4" s="129">
        <f t="shared" si="2"/>
        <v>0.9285714285714286</v>
      </c>
      <c r="R4" s="129">
        <f t="shared" si="3"/>
        <v>1</v>
      </c>
      <c r="S4" s="127">
        <f t="shared" si="4"/>
        <v>0.96296296296296302</v>
      </c>
      <c r="U4" s="81">
        <f t="shared" si="5"/>
        <v>6</v>
      </c>
      <c r="V4" s="81">
        <f t="shared" si="6"/>
        <v>6</v>
      </c>
      <c r="W4" s="129">
        <f t="shared" si="7"/>
        <v>1</v>
      </c>
      <c r="X4" s="129">
        <f t="shared" si="8"/>
        <v>1</v>
      </c>
      <c r="Y4" s="127">
        <f t="shared" si="9"/>
        <v>1</v>
      </c>
      <c r="AA4" s="81">
        <f t="shared" si="10"/>
        <v>11</v>
      </c>
      <c r="AB4" s="81">
        <f t="shared" si="11"/>
        <v>11</v>
      </c>
      <c r="AC4" s="129">
        <f t="shared" si="12"/>
        <v>0.91666666666666663</v>
      </c>
      <c r="AD4" s="129">
        <f t="shared" si="13"/>
        <v>1</v>
      </c>
      <c r="AE4" s="127">
        <f t="shared" si="14"/>
        <v>0.95652173913043481</v>
      </c>
      <c r="AG4" s="41">
        <f t="shared" si="15"/>
        <v>4</v>
      </c>
      <c r="AH4">
        <v>4</v>
      </c>
      <c r="AI4" s="127">
        <f t="shared" si="16"/>
        <v>0.66666666666666663</v>
      </c>
      <c r="AJ4" s="127">
        <f t="shared" ref="AJ4:AJ67" si="17">AG4/AH4</f>
        <v>1</v>
      </c>
      <c r="AK4" s="81">
        <f>2*(AI4*AJ4)/(AI4+AJ4)</f>
        <v>0.8</v>
      </c>
      <c r="AM4" s="122">
        <v>0</v>
      </c>
      <c r="AN4" s="101">
        <v>0</v>
      </c>
      <c r="AO4">
        <v>268</v>
      </c>
      <c r="AP4">
        <v>14</v>
      </c>
      <c r="AQ4" s="101">
        <v>6</v>
      </c>
      <c r="AR4" s="101">
        <v>6</v>
      </c>
      <c r="AS4">
        <v>8</v>
      </c>
      <c r="AT4" s="107"/>
      <c r="AU4">
        <v>0</v>
      </c>
      <c r="AV4" s="119">
        <v>5</v>
      </c>
      <c r="AW4" s="101">
        <f>($F$2-N4)/$F$2</f>
        <v>1</v>
      </c>
      <c r="AY4" s="101">
        <f>($G$2-AN4)/$G$2</f>
        <v>1</v>
      </c>
      <c r="AZ4" s="101">
        <f>AR4/AQ4</f>
        <v>1</v>
      </c>
      <c r="BA4" s="101">
        <f>AT4/AS4</f>
        <v>0</v>
      </c>
      <c r="BB4" s="85">
        <f>(AW4+AY4+AZ4+BA4)/4</f>
        <v>0.75</v>
      </c>
      <c r="BC4" s="13">
        <f>AP4/$H$2</f>
        <v>2.3333333333333335</v>
      </c>
      <c r="BD4" s="118">
        <f>AV4/AP4</f>
        <v>0.35714285714285715</v>
      </c>
      <c r="BE4" s="13">
        <f>AO4/AP4</f>
        <v>19.142857142857142</v>
      </c>
      <c r="BF4" s="13">
        <f>AT4/$H$2</f>
        <v>0</v>
      </c>
      <c r="BG4" s="13">
        <f>AR4/$H$2</f>
        <v>1</v>
      </c>
      <c r="BQ4" t="str">
        <f t="shared" ref="BQ4:BQ8" si="18">_xlfn.CONCAT($C$2," &amp; ",J4," &amp; ",Q4," &amp; ",R4," &amp; ",S4," &amp; ",W4," &amp; ",X4," &amp; ",Y4," &amp; ",AC4," &amp; ",AD4," &amp; ",AE4," &amp; ",AG4," &amp; ",AH4," &amp; ",AI4," &amp; ",AJ4, " \\ \hline")</f>
        <v>6-2 &amp; k=1 &amp; 0.928571428571429 &amp; 1 &amp; 0.962962962962963 &amp; 1 &amp; 1 &amp; 1 &amp; 0.916666666666667 &amp; 1 &amp; 0.956521739130435 &amp; 4 &amp; 4 &amp; 0.666666666666667 &amp; 1 \\ \hline</v>
      </c>
    </row>
    <row r="5" spans="1:69">
      <c r="A5" t="s">
        <v>307</v>
      </c>
      <c r="C5" s="98"/>
      <c r="J5" t="s">
        <v>680</v>
      </c>
      <c r="L5" s="210" t="s">
        <v>683</v>
      </c>
      <c r="M5" s="77"/>
      <c r="O5" s="81">
        <f t="shared" si="0"/>
        <v>13</v>
      </c>
      <c r="P5" s="81">
        <f t="shared" si="1"/>
        <v>13</v>
      </c>
      <c r="Q5" s="129">
        <f t="shared" si="2"/>
        <v>0.9285714285714286</v>
      </c>
      <c r="R5" s="129">
        <f t="shared" si="3"/>
        <v>1</v>
      </c>
      <c r="S5" s="127">
        <f t="shared" si="4"/>
        <v>0.96296296296296302</v>
      </c>
      <c r="U5" s="81">
        <f t="shared" si="5"/>
        <v>6</v>
      </c>
      <c r="V5" s="81">
        <f t="shared" si="6"/>
        <v>6</v>
      </c>
      <c r="W5" s="129">
        <f t="shared" si="7"/>
        <v>1</v>
      </c>
      <c r="X5" s="129">
        <f t="shared" si="8"/>
        <v>1</v>
      </c>
      <c r="Y5" s="127">
        <f t="shared" si="9"/>
        <v>1</v>
      </c>
      <c r="AA5" s="81">
        <f t="shared" si="10"/>
        <v>11</v>
      </c>
      <c r="AB5" s="81">
        <f t="shared" si="11"/>
        <v>11</v>
      </c>
      <c r="AC5" s="129">
        <f t="shared" si="12"/>
        <v>0.91666666666666663</v>
      </c>
      <c r="AD5" s="129">
        <f t="shared" si="13"/>
        <v>1</v>
      </c>
      <c r="AE5" s="127">
        <f t="shared" si="14"/>
        <v>0.95652173913043481</v>
      </c>
      <c r="AG5" s="41">
        <f t="shared" si="15"/>
        <v>6</v>
      </c>
      <c r="AH5">
        <v>6</v>
      </c>
      <c r="AI5" s="127">
        <f t="shared" si="16"/>
        <v>1</v>
      </c>
      <c r="AJ5" s="127">
        <f t="shared" si="17"/>
        <v>1</v>
      </c>
      <c r="AK5" s="81">
        <f>2*(AI5*AJ5)/(AI5+AJ5)</f>
        <v>1</v>
      </c>
      <c r="AM5" s="122">
        <v>0</v>
      </c>
      <c r="AN5" s="101">
        <v>0</v>
      </c>
      <c r="AO5">
        <v>310</v>
      </c>
      <c r="AP5">
        <v>19</v>
      </c>
      <c r="AQ5" s="101">
        <v>7</v>
      </c>
      <c r="AR5" s="101">
        <v>7</v>
      </c>
      <c r="AS5">
        <v>15</v>
      </c>
      <c r="AT5" s="107"/>
      <c r="AU5">
        <v>0</v>
      </c>
      <c r="AV5" s="119">
        <v>7</v>
      </c>
      <c r="AW5" s="101">
        <f>($F$2-N5)/$F$2</f>
        <v>1</v>
      </c>
      <c r="AY5" s="101">
        <f>($G$2-AN5)/$G$2</f>
        <v>1</v>
      </c>
      <c r="AZ5" s="101">
        <f>AR5/AQ5</f>
        <v>1</v>
      </c>
      <c r="BA5" s="101">
        <f>AT5/AS5</f>
        <v>0</v>
      </c>
      <c r="BB5" s="85">
        <f>(AW5+AY5+AZ5+BA5)/4</f>
        <v>0.75</v>
      </c>
      <c r="BC5" s="13">
        <f>AP5/$H$2</f>
        <v>3.1666666666666665</v>
      </c>
      <c r="BD5" s="118">
        <f>AV5/AP5</f>
        <v>0.36842105263157893</v>
      </c>
      <c r="BE5" s="13">
        <f>AO5/AP5</f>
        <v>16.315789473684209</v>
      </c>
      <c r="BF5" s="13">
        <f>AT5/$H$2</f>
        <v>0</v>
      </c>
      <c r="BG5" s="13">
        <f>AR5/$H$2</f>
        <v>1.1666666666666667</v>
      </c>
      <c r="BQ5" t="str">
        <f t="shared" si="18"/>
        <v>6-2 &amp; k=2 &amp; 0.928571428571429 &amp; 1 &amp; 0.962962962962963 &amp; 1 &amp; 1 &amp; 1 &amp; 0.916666666666667 &amp; 1 &amp; 0.956521739130435 &amp; 6 &amp; 6 &amp; 1 &amp; 1 \\ \hline</v>
      </c>
    </row>
    <row r="6" spans="1:69">
      <c r="A6" t="s">
        <v>308</v>
      </c>
      <c r="C6" s="98"/>
      <c r="J6" t="s">
        <v>680</v>
      </c>
      <c r="K6" s="107"/>
      <c r="L6" s="210" t="s">
        <v>683</v>
      </c>
      <c r="M6" s="77"/>
      <c r="O6" s="81">
        <f t="shared" si="0"/>
        <v>13</v>
      </c>
      <c r="P6" s="81">
        <f t="shared" si="1"/>
        <v>13</v>
      </c>
      <c r="Q6" s="129">
        <f t="shared" si="2"/>
        <v>0.9285714285714286</v>
      </c>
      <c r="R6" s="129">
        <f t="shared" si="3"/>
        <v>1</v>
      </c>
      <c r="S6" s="127">
        <f t="shared" si="4"/>
        <v>0.96296296296296302</v>
      </c>
      <c r="U6" s="81">
        <f t="shared" si="5"/>
        <v>6</v>
      </c>
      <c r="V6" s="81">
        <f t="shared" si="6"/>
        <v>6</v>
      </c>
      <c r="W6" s="129">
        <f t="shared" si="7"/>
        <v>1</v>
      </c>
      <c r="X6" s="129">
        <f t="shared" si="8"/>
        <v>1</v>
      </c>
      <c r="Y6" s="127">
        <f t="shared" si="9"/>
        <v>1</v>
      </c>
      <c r="AA6" s="81">
        <f t="shared" si="10"/>
        <v>11</v>
      </c>
      <c r="AB6" s="81">
        <f t="shared" si="11"/>
        <v>11</v>
      </c>
      <c r="AC6" s="129">
        <f t="shared" si="12"/>
        <v>0.91666666666666663</v>
      </c>
      <c r="AD6" s="129">
        <f t="shared" si="13"/>
        <v>1</v>
      </c>
      <c r="AE6" s="127">
        <f t="shared" si="14"/>
        <v>0.95652173913043481</v>
      </c>
      <c r="AG6" s="41">
        <f t="shared" si="15"/>
        <v>8</v>
      </c>
      <c r="AH6">
        <v>8</v>
      </c>
      <c r="AI6" s="127">
        <f t="shared" si="16"/>
        <v>1.3333333333333333</v>
      </c>
      <c r="AJ6" s="127">
        <f t="shared" si="17"/>
        <v>1</v>
      </c>
      <c r="AK6" s="81">
        <f>2*(AI6*AJ6)/(AI6+AJ6)</f>
        <v>1.142857142857143</v>
      </c>
      <c r="AM6" s="122">
        <v>0</v>
      </c>
      <c r="AN6" s="101">
        <v>0</v>
      </c>
      <c r="AO6">
        <v>180</v>
      </c>
      <c r="AP6">
        <v>11</v>
      </c>
      <c r="AQ6" s="101">
        <v>9</v>
      </c>
      <c r="AR6" s="101">
        <v>9</v>
      </c>
      <c r="AS6">
        <v>1</v>
      </c>
      <c r="AT6" s="107"/>
      <c r="AU6">
        <v>1</v>
      </c>
      <c r="AV6" s="119">
        <v>7</v>
      </c>
      <c r="AW6" s="101">
        <f>($F$2-N6)/$F$2</f>
        <v>1</v>
      </c>
      <c r="AY6" s="101">
        <f>($G$2-AN6)/$G$2</f>
        <v>1</v>
      </c>
      <c r="AZ6" s="101">
        <f>AR6/AQ6</f>
        <v>1</v>
      </c>
      <c r="BA6" s="101">
        <f>AT6/AS6</f>
        <v>0</v>
      </c>
      <c r="BB6" s="85">
        <f>(AW6+AY6+AZ6+BA6)/4</f>
        <v>0.75</v>
      </c>
      <c r="BC6" s="13">
        <f>AP6/$H$2</f>
        <v>1.8333333333333333</v>
      </c>
      <c r="BD6" s="118">
        <f>AV6/AP6</f>
        <v>0.63636363636363635</v>
      </c>
      <c r="BE6" s="13">
        <f>AO6/AP6</f>
        <v>16.363636363636363</v>
      </c>
      <c r="BF6" s="13">
        <f>AT6/$H$2</f>
        <v>0</v>
      </c>
      <c r="BG6" s="13">
        <f>AR6/$H$2</f>
        <v>1.5</v>
      </c>
      <c r="BQ6" t="str">
        <f t="shared" si="18"/>
        <v>6-2 &amp; k=2 &amp; 0.928571428571429 &amp; 1 &amp; 0.962962962962963 &amp; 1 &amp; 1 &amp; 1 &amp; 0.916666666666667 &amp; 1 &amp; 0.956521739130435 &amp; 8 &amp; 8 &amp; 1.33333333333333 &amp; 1 \\ \hline</v>
      </c>
    </row>
    <row r="7" spans="1:69">
      <c r="A7" t="s">
        <v>309</v>
      </c>
      <c r="C7" s="98"/>
      <c r="J7" t="s">
        <v>681</v>
      </c>
      <c r="L7" s="210" t="s">
        <v>684</v>
      </c>
      <c r="M7" s="77"/>
      <c r="O7" s="81">
        <f t="shared" si="0"/>
        <v>13</v>
      </c>
      <c r="P7" s="81">
        <f t="shared" si="1"/>
        <v>13</v>
      </c>
      <c r="Q7" s="129">
        <f t="shared" si="2"/>
        <v>0.9285714285714286</v>
      </c>
      <c r="R7" s="129">
        <f t="shared" si="3"/>
        <v>1</v>
      </c>
      <c r="S7" s="127">
        <f t="shared" si="4"/>
        <v>0.96296296296296302</v>
      </c>
      <c r="U7" s="81">
        <f t="shared" si="5"/>
        <v>6</v>
      </c>
      <c r="V7" s="81">
        <f t="shared" si="6"/>
        <v>6</v>
      </c>
      <c r="W7" s="129">
        <f t="shared" si="7"/>
        <v>1</v>
      </c>
      <c r="X7" s="129">
        <f t="shared" si="8"/>
        <v>1</v>
      </c>
      <c r="Y7" s="127">
        <f t="shared" si="9"/>
        <v>1</v>
      </c>
      <c r="AA7" s="81">
        <f t="shared" si="10"/>
        <v>11</v>
      </c>
      <c r="AB7" s="81">
        <f t="shared" si="11"/>
        <v>11</v>
      </c>
      <c r="AC7" s="129">
        <f t="shared" si="12"/>
        <v>0.91666666666666663</v>
      </c>
      <c r="AD7" s="129">
        <f t="shared" si="13"/>
        <v>1</v>
      </c>
      <c r="AE7" s="127">
        <f t="shared" si="14"/>
        <v>0.95652173913043481</v>
      </c>
      <c r="AG7" s="41">
        <f t="shared" si="15"/>
        <v>7</v>
      </c>
      <c r="AH7">
        <v>7</v>
      </c>
      <c r="AI7" s="127">
        <f t="shared" si="16"/>
        <v>1.1666666666666667</v>
      </c>
      <c r="AJ7" s="127">
        <f t="shared" si="17"/>
        <v>1</v>
      </c>
      <c r="AT7" s="107"/>
      <c r="BC7" s="13"/>
      <c r="BD7" s="118"/>
      <c r="BE7" s="13"/>
      <c r="BF7" s="13"/>
      <c r="BG7" s="13"/>
      <c r="BQ7" t="str">
        <f t="shared" si="18"/>
        <v>6-2 &amp; k=3 &amp; 0.928571428571429 &amp; 1 &amp; 0.962962962962963 &amp; 1 &amp; 1 &amp; 1 &amp; 0.916666666666667 &amp; 1 &amp; 0.956521739130435 &amp; 7 &amp; 7 &amp; 1.16666666666667 &amp; 1 \\ \hline</v>
      </c>
    </row>
    <row r="8" spans="1:69">
      <c r="A8" t="s">
        <v>667</v>
      </c>
      <c r="C8" s="98"/>
      <c r="J8" t="s">
        <v>681</v>
      </c>
      <c r="L8" s="210" t="s">
        <v>684</v>
      </c>
      <c r="M8" s="77"/>
      <c r="O8" s="81">
        <f t="shared" si="0"/>
        <v>13</v>
      </c>
      <c r="P8" s="81">
        <f t="shared" si="1"/>
        <v>13</v>
      </c>
      <c r="Q8" s="129">
        <f t="shared" si="2"/>
        <v>0.9285714285714286</v>
      </c>
      <c r="R8" s="129">
        <f t="shared" si="3"/>
        <v>1</v>
      </c>
      <c r="S8" s="127">
        <f t="shared" si="4"/>
        <v>0.96296296296296302</v>
      </c>
      <c r="U8" s="81">
        <f t="shared" si="5"/>
        <v>6</v>
      </c>
      <c r="V8" s="81">
        <f t="shared" si="6"/>
        <v>6</v>
      </c>
      <c r="W8" s="129">
        <f t="shared" si="7"/>
        <v>1</v>
      </c>
      <c r="X8" s="129">
        <f t="shared" si="8"/>
        <v>1</v>
      </c>
      <c r="Y8" s="127">
        <f t="shared" si="9"/>
        <v>1</v>
      </c>
      <c r="AA8" s="81">
        <f t="shared" si="10"/>
        <v>11</v>
      </c>
      <c r="AB8" s="81">
        <f t="shared" si="11"/>
        <v>11</v>
      </c>
      <c r="AC8" s="129">
        <f t="shared" si="12"/>
        <v>0.91666666666666663</v>
      </c>
      <c r="AD8" s="129">
        <f t="shared" si="13"/>
        <v>1</v>
      </c>
      <c r="AE8" s="127">
        <f t="shared" si="14"/>
        <v>0.95652173913043481</v>
      </c>
      <c r="AG8" s="41">
        <f t="shared" si="15"/>
        <v>8</v>
      </c>
      <c r="AH8">
        <v>8</v>
      </c>
      <c r="AI8" s="127">
        <f t="shared" si="16"/>
        <v>1.3333333333333333</v>
      </c>
      <c r="AJ8" s="127">
        <f t="shared" si="17"/>
        <v>1</v>
      </c>
      <c r="AT8" s="107"/>
      <c r="BC8" s="13"/>
      <c r="BD8" s="118"/>
      <c r="BE8" s="13"/>
      <c r="BF8" s="13"/>
      <c r="BG8" s="13"/>
      <c r="BQ8" t="str">
        <f t="shared" si="18"/>
        <v>6-2 &amp; k=3 &amp; 0.928571428571429 &amp; 1 &amp; 0.962962962962963 &amp; 1 &amp; 1 &amp; 1 &amp; 0.916666666666667 &amp; 1 &amp; 0.956521739130435 &amp; 8 &amp; 8 &amp; 1.33333333333333 &amp; 1 \\ \hline</v>
      </c>
    </row>
    <row r="9" spans="1:69">
      <c r="C9" s="98"/>
      <c r="Q9" s="129"/>
      <c r="R9" s="129"/>
      <c r="S9" s="127"/>
      <c r="W9" s="129"/>
      <c r="X9" s="129"/>
      <c r="Y9" s="127"/>
      <c r="AC9" s="129"/>
      <c r="AD9" s="129"/>
      <c r="AE9" s="127"/>
      <c r="AG9"/>
      <c r="AH9"/>
      <c r="AI9" s="127"/>
      <c r="AJ9" s="127"/>
    </row>
    <row r="10" spans="1:69" s="73" customFormat="1">
      <c r="A10" s="73" t="s">
        <v>344</v>
      </c>
      <c r="B10" s="94">
        <v>45178</v>
      </c>
      <c r="C10" s="99" t="s">
        <v>151</v>
      </c>
      <c r="D10" s="78">
        <f>VLOOKUP($C$10,Overview!$Q$2:$AS$64,23,FALSE)</f>
        <v>0.13115245937088071</v>
      </c>
      <c r="E10" s="78" t="str">
        <f>VLOOKUP($C$10,Overview!$Q$2:$AS$64,24,FALSE)</f>
        <v>low</v>
      </c>
      <c r="F10" s="75">
        <f>VLOOKUP(C10,Overview!$Q$2:$AS$64,13,FALSE)</f>
        <v>13</v>
      </c>
      <c r="G10" s="75">
        <f>VLOOKUP(C10,Overview!$Q$2:$AS$64,16,FALSE)</f>
        <v>6</v>
      </c>
      <c r="H10" s="75">
        <f>VLOOKUP(C10,Overview!$Q$2:$AS$64,18,FALSE)</f>
        <v>7</v>
      </c>
      <c r="I10" s="75">
        <f>VLOOKUP($C$10,Overview!$Q$2:$AS$64,19,FALSE)</f>
        <v>13</v>
      </c>
      <c r="J10" s="106"/>
      <c r="K10" s="292" t="str">
        <f>VLOOKUP($C$10,Overview!$Q$2:$AS$64,5,FALSE)</f>
        <v>3-7, 3-8</v>
      </c>
      <c r="L10" s="293" t="s">
        <v>783</v>
      </c>
      <c r="N10" s="114"/>
      <c r="O10" s="80"/>
      <c r="P10" s="80"/>
      <c r="Q10" s="130"/>
      <c r="R10" s="130"/>
      <c r="S10" s="128"/>
      <c r="T10" s="114"/>
      <c r="U10" s="80"/>
      <c r="V10" s="80"/>
      <c r="W10" s="130"/>
      <c r="X10" s="130"/>
      <c r="Y10" s="128"/>
      <c r="Z10" s="114"/>
      <c r="AA10" s="80"/>
      <c r="AB10" s="80"/>
      <c r="AC10" s="130"/>
      <c r="AD10" s="130"/>
      <c r="AE10" s="128"/>
      <c r="AF10" s="114"/>
      <c r="AI10" s="128"/>
      <c r="AJ10" s="127"/>
      <c r="AK10" s="80"/>
      <c r="AL10" s="114"/>
      <c r="AM10" s="121"/>
      <c r="AN10" s="100"/>
      <c r="AQ10" s="100"/>
      <c r="AR10" s="100"/>
      <c r="AV10" s="120"/>
      <c r="AW10" s="100"/>
      <c r="AX10" s="100"/>
      <c r="AY10" s="100"/>
      <c r="AZ10" s="100"/>
      <c r="BA10" s="100"/>
      <c r="BB10" s="84"/>
      <c r="BD10" s="100"/>
      <c r="BQ10"/>
    </row>
    <row r="11" spans="1:69">
      <c r="A11" t="s">
        <v>305</v>
      </c>
      <c r="C11" s="98"/>
      <c r="J11" t="s">
        <v>679</v>
      </c>
      <c r="K11" s="296" t="s">
        <v>787</v>
      </c>
      <c r="L11" s="210" t="s">
        <v>149</v>
      </c>
      <c r="M11" s="77"/>
      <c r="O11" s="81">
        <f>P11-5</f>
        <v>8</v>
      </c>
      <c r="P11" s="81">
        <f t="shared" ref="P11:P16" si="19">$F$10-0</f>
        <v>13</v>
      </c>
      <c r="Q11" s="129">
        <f t="shared" ref="Q11:Q16" si="20">O11/$F$10</f>
        <v>0.61538461538461542</v>
      </c>
      <c r="R11" s="129">
        <f t="shared" ref="R11:R16" si="21">O11/P11</f>
        <v>0.61538461538461542</v>
      </c>
      <c r="S11" s="127">
        <f t="shared" ref="S11:S16" si="22">2*(Q11*R11)/(Q11+R11)</f>
        <v>0.61538461538461542</v>
      </c>
      <c r="U11" s="81">
        <f>V11-2</f>
        <v>3</v>
      </c>
      <c r="V11" s="81">
        <f t="shared" ref="V11:V16" si="23">$G$10-1</f>
        <v>5</v>
      </c>
      <c r="W11" s="129">
        <f t="shared" ref="W11:W16" si="24">U11/$G$10</f>
        <v>0.5</v>
      </c>
      <c r="X11" s="129">
        <f t="shared" ref="X11:X16" si="25">U11/V11</f>
        <v>0.6</v>
      </c>
      <c r="Y11" s="127">
        <f t="shared" ref="Y11:Y16" si="26">2*(W11*X11)/(W11+X11)</f>
        <v>0.54545454545454541</v>
      </c>
      <c r="AA11" s="81">
        <f t="shared" ref="AA11:AA16" si="27">AB11-2</f>
        <v>11</v>
      </c>
      <c r="AB11" s="81">
        <f t="shared" ref="AB11:AB16" si="28">$I$10-0</f>
        <v>13</v>
      </c>
      <c r="AC11" s="129">
        <f t="shared" ref="AC11:AC16" si="29">AA11/$I$10</f>
        <v>0.84615384615384615</v>
      </c>
      <c r="AD11" s="129">
        <f t="shared" ref="AD11:AD16" si="30">AA11/AB11</f>
        <v>0.84615384615384615</v>
      </c>
      <c r="AE11" s="127">
        <f t="shared" ref="AE11:AE16" si="31">2*(AC11*AD11)/(AC11+AD11)</f>
        <v>0.84615384615384615</v>
      </c>
      <c r="AG11" s="14">
        <f>AH11-0</f>
        <v>9</v>
      </c>
      <c r="AH11">
        <v>9</v>
      </c>
      <c r="AI11" s="127">
        <f t="shared" ref="AI11:AI16" si="32">AG11/$H$10</f>
        <v>1.2857142857142858</v>
      </c>
      <c r="AJ11" s="127">
        <f t="shared" si="17"/>
        <v>1</v>
      </c>
      <c r="AM11" s="122">
        <v>1</v>
      </c>
      <c r="AN11" s="101">
        <v>1</v>
      </c>
      <c r="AO11">
        <v>262</v>
      </c>
      <c r="AP11">
        <v>11</v>
      </c>
      <c r="AQ11" s="101">
        <v>7</v>
      </c>
      <c r="AR11" s="101">
        <v>6</v>
      </c>
      <c r="AS11">
        <v>2</v>
      </c>
      <c r="AT11" s="107"/>
      <c r="AU11">
        <v>2</v>
      </c>
      <c r="AV11" s="119">
        <v>5</v>
      </c>
      <c r="AW11" s="101">
        <f>($F$10-N11)/$F$10</f>
        <v>1</v>
      </c>
      <c r="AY11" s="101">
        <f>($G$10-AN11)/$G$10</f>
        <v>0.83333333333333337</v>
      </c>
      <c r="AZ11" s="101">
        <f>AR11/AQ11</f>
        <v>0.8571428571428571</v>
      </c>
      <c r="BA11" s="101">
        <f>AT11/AS11</f>
        <v>0</v>
      </c>
      <c r="BB11" s="85">
        <f>(AW11+AY11+AZ11)/3</f>
        <v>0.89682539682539686</v>
      </c>
      <c r="BC11" s="13">
        <f>AP11/$H$10</f>
        <v>1.5714285714285714</v>
      </c>
      <c r="BD11" s="118">
        <f>AV11/AP11</f>
        <v>0.45454545454545453</v>
      </c>
      <c r="BE11" s="13">
        <f>AO11/AP11</f>
        <v>23.818181818181817</v>
      </c>
      <c r="BF11" s="13">
        <f>AT11/$H$2</f>
        <v>0</v>
      </c>
      <c r="BG11" s="13">
        <f>AR11/$H$10</f>
        <v>0.8571428571428571</v>
      </c>
      <c r="BQ11" t="str">
        <f>_xlfn.CONCAT($C$10," &amp; ",J11," &amp; ",Q11," &amp; ",R11," &amp; ",S11," &amp; ",W11," &amp; ",X11," &amp; ",Y11," &amp; ",AC11," &amp; ",AD11," &amp; ",AE11," &amp; ",AG11," &amp; ",AH11," &amp; ",AI11," &amp; ",AJ11, " \\ \hline")</f>
        <v>5-1 &amp; k=1 &amp; 0.615384615384615 &amp; 0.615384615384615 &amp; 0.615384615384615 &amp; 0.5 &amp; 0.6 &amp; 0.545454545454545 &amp; 0.846153846153846 &amp; 0.846153846153846 &amp; 0.846153846153846 &amp; 9 &amp; 9 &amp; 1.28571428571429 &amp; 1 \\ \hline</v>
      </c>
    </row>
    <row r="12" spans="1:69">
      <c r="A12" t="s">
        <v>306</v>
      </c>
      <c r="C12" s="98"/>
      <c r="J12" t="s">
        <v>679</v>
      </c>
      <c r="L12" s="211" t="s">
        <v>149</v>
      </c>
      <c r="M12" s="108"/>
      <c r="O12" s="81">
        <f>P12-2</f>
        <v>11</v>
      </c>
      <c r="P12" s="81">
        <f t="shared" si="19"/>
        <v>13</v>
      </c>
      <c r="Q12" s="129">
        <f t="shared" si="20"/>
        <v>0.84615384615384615</v>
      </c>
      <c r="R12" s="129">
        <f t="shared" si="21"/>
        <v>0.84615384615384615</v>
      </c>
      <c r="S12" s="127">
        <f t="shared" si="22"/>
        <v>0.84615384615384615</v>
      </c>
      <c r="U12" s="81">
        <f>V12-1</f>
        <v>4</v>
      </c>
      <c r="V12" s="81">
        <f t="shared" si="23"/>
        <v>5</v>
      </c>
      <c r="W12" s="129">
        <f t="shared" si="24"/>
        <v>0.66666666666666663</v>
      </c>
      <c r="X12" s="129">
        <f t="shared" si="25"/>
        <v>0.8</v>
      </c>
      <c r="Y12" s="127">
        <f t="shared" si="26"/>
        <v>0.72727272727272718</v>
      </c>
      <c r="AA12" s="81">
        <f t="shared" si="27"/>
        <v>11</v>
      </c>
      <c r="AB12" s="81">
        <f t="shared" si="28"/>
        <v>13</v>
      </c>
      <c r="AC12" s="129">
        <f t="shared" si="29"/>
        <v>0.84615384615384615</v>
      </c>
      <c r="AD12" s="129">
        <f t="shared" si="30"/>
        <v>0.84615384615384615</v>
      </c>
      <c r="AE12" s="127">
        <f t="shared" si="31"/>
        <v>0.84615384615384615</v>
      </c>
      <c r="AG12" s="14">
        <f>AH12-1</f>
        <v>11</v>
      </c>
      <c r="AH12">
        <v>12</v>
      </c>
      <c r="AI12" s="127">
        <f t="shared" si="32"/>
        <v>1.5714285714285714</v>
      </c>
      <c r="AJ12" s="127">
        <f t="shared" si="17"/>
        <v>0.91666666666666663</v>
      </c>
      <c r="AM12" s="122">
        <v>1</v>
      </c>
      <c r="AN12" s="101">
        <v>1</v>
      </c>
      <c r="AO12">
        <v>327</v>
      </c>
      <c r="AP12">
        <v>15</v>
      </c>
      <c r="AQ12" s="101">
        <v>7</v>
      </c>
      <c r="AR12" s="101">
        <v>6</v>
      </c>
      <c r="AS12">
        <v>8</v>
      </c>
      <c r="AT12" s="107"/>
      <c r="AU12">
        <v>0</v>
      </c>
      <c r="AV12" s="119">
        <v>7</v>
      </c>
      <c r="AW12" s="101">
        <f>($F$10-N12)/$F$10</f>
        <v>1</v>
      </c>
      <c r="AY12" s="101">
        <f>($G$10-AN12)/$G$10</f>
        <v>0.83333333333333337</v>
      </c>
      <c r="AZ12" s="101">
        <f>AR12/AQ12</f>
        <v>0.8571428571428571</v>
      </c>
      <c r="BA12" s="101">
        <f>AT12/AS12</f>
        <v>0</v>
      </c>
      <c r="BB12" s="85">
        <f>(AW12+AY12+AZ12)/3</f>
        <v>0.89682539682539686</v>
      </c>
      <c r="BC12" s="13">
        <f>AP12/$H$10</f>
        <v>2.1428571428571428</v>
      </c>
      <c r="BD12" s="118">
        <f>AV12/AP12</f>
        <v>0.46666666666666667</v>
      </c>
      <c r="BE12" s="13">
        <f>AO12/AP12</f>
        <v>21.8</v>
      </c>
      <c r="BF12" s="13">
        <f>AT12/$H$2</f>
        <v>0</v>
      </c>
      <c r="BG12" s="13">
        <f>AR12/$H$10</f>
        <v>0.8571428571428571</v>
      </c>
      <c r="BQ12" t="str">
        <f t="shared" ref="BQ12:BQ16" si="33">_xlfn.CONCAT($C$10," &amp; ",J12," &amp; ",Q12," &amp; ",R12," &amp; ",S12," &amp; ",W12," &amp; ",X12," &amp; ",Y12," &amp; ",AC12," &amp; ",AD12," &amp; ",AE12," &amp; ",AG12," &amp; ",AH12," &amp; ",AI12," &amp; ",AJ12, " \\ \hline")</f>
        <v>5-1 &amp; k=1 &amp; 0.846153846153846 &amp; 0.846153846153846 &amp; 0.846153846153846 &amp; 0.666666666666667 &amp; 0.8 &amp; 0.727272727272727 &amp; 0.846153846153846 &amp; 0.846153846153846 &amp; 0.846153846153846 &amp; 11 &amp; 12 &amp; 1.57142857142857 &amp; 0.916666666666667 \\ \hline</v>
      </c>
    </row>
    <row r="13" spans="1:69">
      <c r="A13" t="s">
        <v>307</v>
      </c>
      <c r="C13" s="98"/>
      <c r="J13" t="s">
        <v>680</v>
      </c>
      <c r="L13" s="174" t="s">
        <v>682</v>
      </c>
      <c r="M13" s="77"/>
      <c r="O13" s="81">
        <f>P13-5</f>
        <v>8</v>
      </c>
      <c r="P13" s="81">
        <f t="shared" si="19"/>
        <v>13</v>
      </c>
      <c r="Q13" s="129">
        <f t="shared" si="20"/>
        <v>0.61538461538461542</v>
      </c>
      <c r="R13" s="129">
        <f t="shared" si="21"/>
        <v>0.61538461538461542</v>
      </c>
      <c r="S13" s="127">
        <f t="shared" si="22"/>
        <v>0.61538461538461542</v>
      </c>
      <c r="U13" s="81">
        <f>V13-2</f>
        <v>3</v>
      </c>
      <c r="V13" s="81">
        <f t="shared" si="23"/>
        <v>5</v>
      </c>
      <c r="W13" s="129">
        <f t="shared" si="24"/>
        <v>0.5</v>
      </c>
      <c r="X13" s="129">
        <f t="shared" si="25"/>
        <v>0.6</v>
      </c>
      <c r="Y13" s="127">
        <f t="shared" si="26"/>
        <v>0.54545454545454541</v>
      </c>
      <c r="AA13" s="81">
        <f t="shared" si="27"/>
        <v>11</v>
      </c>
      <c r="AB13" s="81">
        <f t="shared" si="28"/>
        <v>13</v>
      </c>
      <c r="AC13" s="129">
        <f t="shared" si="29"/>
        <v>0.84615384615384615</v>
      </c>
      <c r="AD13" s="129">
        <f t="shared" si="30"/>
        <v>0.84615384615384615</v>
      </c>
      <c r="AE13" s="127">
        <f t="shared" si="31"/>
        <v>0.84615384615384615</v>
      </c>
      <c r="AG13" s="14">
        <f>AH13-0</f>
        <v>9</v>
      </c>
      <c r="AH13">
        <v>9</v>
      </c>
      <c r="AI13" s="127">
        <f t="shared" si="32"/>
        <v>1.2857142857142858</v>
      </c>
      <c r="AJ13" s="127">
        <f t="shared" si="17"/>
        <v>1</v>
      </c>
      <c r="AM13" s="122">
        <v>1</v>
      </c>
      <c r="AN13" s="101">
        <v>1</v>
      </c>
      <c r="AO13">
        <v>260</v>
      </c>
      <c r="AP13" s="107">
        <v>16</v>
      </c>
      <c r="AQ13" s="101">
        <v>7</v>
      </c>
      <c r="AR13" s="101">
        <v>6</v>
      </c>
      <c r="AS13">
        <v>7</v>
      </c>
      <c r="AT13" s="107"/>
      <c r="AU13">
        <v>2</v>
      </c>
      <c r="AV13" s="119">
        <v>9</v>
      </c>
      <c r="AW13" s="101">
        <f>($F$10-N13)/$F$10</f>
        <v>1</v>
      </c>
      <c r="AY13" s="101">
        <f>($G$10-AN13)/$G$10</f>
        <v>0.83333333333333337</v>
      </c>
      <c r="AZ13" s="101">
        <f>AR13/AQ13</f>
        <v>0.8571428571428571</v>
      </c>
      <c r="BA13" s="101">
        <f>AT13/AS13</f>
        <v>0</v>
      </c>
      <c r="BB13" s="85">
        <f>(AW13+AY13+AZ13)/3</f>
        <v>0.89682539682539686</v>
      </c>
      <c r="BC13" s="13">
        <f>AP13/$H$10</f>
        <v>2.2857142857142856</v>
      </c>
      <c r="BD13" s="118">
        <f>AV13/AP13</f>
        <v>0.5625</v>
      </c>
      <c r="BE13" s="13">
        <f>AO13/AP13</f>
        <v>16.25</v>
      </c>
      <c r="BF13" s="13">
        <f>AT13/$H$2</f>
        <v>0</v>
      </c>
      <c r="BG13" s="13">
        <f>AR13/$H$10</f>
        <v>0.8571428571428571</v>
      </c>
      <c r="BQ13" t="str">
        <f t="shared" si="33"/>
        <v>5-1 &amp; k=2 &amp; 0.615384615384615 &amp; 0.615384615384615 &amp; 0.615384615384615 &amp; 0.5 &amp; 0.6 &amp; 0.545454545454545 &amp; 0.846153846153846 &amp; 0.846153846153846 &amp; 0.846153846153846 &amp; 9 &amp; 9 &amp; 1.28571428571429 &amp; 1 \\ \hline</v>
      </c>
    </row>
    <row r="14" spans="1:69">
      <c r="A14" t="s">
        <v>308</v>
      </c>
      <c r="C14" s="98"/>
      <c r="J14" t="s">
        <v>680</v>
      </c>
      <c r="L14" s="174" t="s">
        <v>682</v>
      </c>
      <c r="M14" s="77"/>
      <c r="O14" s="81">
        <f>P14-2</f>
        <v>11</v>
      </c>
      <c r="P14" s="81">
        <f t="shared" si="19"/>
        <v>13</v>
      </c>
      <c r="Q14" s="129">
        <f t="shared" si="20"/>
        <v>0.84615384615384615</v>
      </c>
      <c r="R14" s="129">
        <f t="shared" si="21"/>
        <v>0.84615384615384615</v>
      </c>
      <c r="S14" s="127">
        <f t="shared" si="22"/>
        <v>0.84615384615384615</v>
      </c>
      <c r="U14" s="81">
        <f>V14-1</f>
        <v>4</v>
      </c>
      <c r="V14" s="81">
        <f t="shared" si="23"/>
        <v>5</v>
      </c>
      <c r="W14" s="129">
        <f t="shared" si="24"/>
        <v>0.66666666666666663</v>
      </c>
      <c r="X14" s="129">
        <f t="shared" si="25"/>
        <v>0.8</v>
      </c>
      <c r="Y14" s="127">
        <f t="shared" si="26"/>
        <v>0.72727272727272718</v>
      </c>
      <c r="AA14" s="81">
        <f t="shared" si="27"/>
        <v>11</v>
      </c>
      <c r="AB14" s="81">
        <f t="shared" si="28"/>
        <v>13</v>
      </c>
      <c r="AC14" s="129">
        <f t="shared" si="29"/>
        <v>0.84615384615384615</v>
      </c>
      <c r="AD14" s="129">
        <f t="shared" si="30"/>
        <v>0.84615384615384615</v>
      </c>
      <c r="AE14" s="127">
        <f t="shared" si="31"/>
        <v>0.84615384615384615</v>
      </c>
      <c r="AG14" s="14">
        <f>AH14-1</f>
        <v>8</v>
      </c>
      <c r="AH14">
        <v>9</v>
      </c>
      <c r="AI14" s="127">
        <f t="shared" si="32"/>
        <v>1.1428571428571428</v>
      </c>
      <c r="AJ14" s="127">
        <f t="shared" si="17"/>
        <v>0.88888888888888884</v>
      </c>
      <c r="AM14" s="122">
        <v>1</v>
      </c>
      <c r="AN14" s="101">
        <v>1</v>
      </c>
      <c r="AO14">
        <v>309</v>
      </c>
      <c r="AP14">
        <v>16</v>
      </c>
      <c r="AQ14" s="101">
        <v>8</v>
      </c>
      <c r="AR14" s="101">
        <v>7</v>
      </c>
      <c r="AS14">
        <v>8</v>
      </c>
      <c r="AT14" s="107"/>
      <c r="AU14">
        <v>0</v>
      </c>
      <c r="AV14" s="119">
        <v>6</v>
      </c>
      <c r="AW14" s="101">
        <f>($F$10-N14)/$F$10</f>
        <v>1</v>
      </c>
      <c r="AY14" s="101">
        <f>($G$10-AN14)/$G$10</f>
        <v>0.83333333333333337</v>
      </c>
      <c r="AZ14" s="101">
        <f>AR14/AQ14</f>
        <v>0.875</v>
      </c>
      <c r="BA14" s="101">
        <f>AT14/AS14</f>
        <v>0</v>
      </c>
      <c r="BB14" s="85">
        <f>(AW14+AY14+AZ14)/3</f>
        <v>0.90277777777777779</v>
      </c>
      <c r="BC14" s="13">
        <f>AP14/$H$10</f>
        <v>2.2857142857142856</v>
      </c>
      <c r="BD14" s="118">
        <f>AV14/AP14</f>
        <v>0.375</v>
      </c>
      <c r="BE14" s="13">
        <f>AO14/AP14</f>
        <v>19.3125</v>
      </c>
      <c r="BF14" s="13">
        <f>AT14/$H$2</f>
        <v>0</v>
      </c>
      <c r="BG14" s="13">
        <f>AR14/$H$10</f>
        <v>1</v>
      </c>
      <c r="BQ14" t="str">
        <f t="shared" si="33"/>
        <v>5-1 &amp; k=2 &amp; 0.846153846153846 &amp; 0.846153846153846 &amp; 0.846153846153846 &amp; 0.666666666666667 &amp; 0.8 &amp; 0.727272727272727 &amp; 0.846153846153846 &amp; 0.846153846153846 &amp; 0.846153846153846 &amp; 8 &amp; 9 &amp; 1.14285714285714 &amp; 0.888888888888889 \\ \hline</v>
      </c>
    </row>
    <row r="15" spans="1:69">
      <c r="A15" t="s">
        <v>309</v>
      </c>
      <c r="C15" s="98"/>
      <c r="J15" t="s">
        <v>681</v>
      </c>
      <c r="L15" s="174" t="s">
        <v>685</v>
      </c>
      <c r="M15" s="77"/>
      <c r="O15" s="81">
        <f>P15-1</f>
        <v>12</v>
      </c>
      <c r="P15" s="81">
        <f t="shared" si="19"/>
        <v>13</v>
      </c>
      <c r="Q15" s="129">
        <f t="shared" si="20"/>
        <v>0.92307692307692313</v>
      </c>
      <c r="R15" s="129">
        <f t="shared" si="21"/>
        <v>0.92307692307692313</v>
      </c>
      <c r="S15" s="127">
        <f t="shared" si="22"/>
        <v>0.92307692307692313</v>
      </c>
      <c r="U15" s="81">
        <f>V15-0</f>
        <v>5</v>
      </c>
      <c r="V15" s="81">
        <f t="shared" si="23"/>
        <v>5</v>
      </c>
      <c r="W15" s="129">
        <f t="shared" si="24"/>
        <v>0.83333333333333337</v>
      </c>
      <c r="X15" s="129">
        <f t="shared" si="25"/>
        <v>1</v>
      </c>
      <c r="Y15" s="127">
        <f t="shared" si="26"/>
        <v>0.90909090909090906</v>
      </c>
      <c r="AA15" s="81">
        <f t="shared" si="27"/>
        <v>11</v>
      </c>
      <c r="AB15" s="81">
        <f t="shared" si="28"/>
        <v>13</v>
      </c>
      <c r="AC15" s="129">
        <f t="shared" si="29"/>
        <v>0.84615384615384615</v>
      </c>
      <c r="AD15" s="129">
        <f t="shared" si="30"/>
        <v>0.84615384615384615</v>
      </c>
      <c r="AE15" s="127">
        <f t="shared" si="31"/>
        <v>0.84615384615384615</v>
      </c>
      <c r="AG15" s="14">
        <f>AH15-1</f>
        <v>8</v>
      </c>
      <c r="AH15">
        <v>9</v>
      </c>
      <c r="AI15" s="127">
        <f t="shared" si="32"/>
        <v>1.1428571428571428</v>
      </c>
      <c r="AJ15" s="127">
        <f t="shared" si="17"/>
        <v>0.88888888888888884</v>
      </c>
      <c r="AT15" s="107"/>
      <c r="BC15" s="13"/>
      <c r="BD15" s="118"/>
      <c r="BE15" s="13"/>
      <c r="BF15" s="13"/>
      <c r="BG15" s="13"/>
      <c r="BQ15" t="str">
        <f t="shared" si="33"/>
        <v>5-1 &amp; k=3 &amp; 0.923076923076923 &amp; 0.923076923076923 &amp; 0.923076923076923 &amp; 0.833333333333333 &amp; 1 &amp; 0.909090909090909 &amp; 0.846153846153846 &amp; 0.846153846153846 &amp; 0.846153846153846 &amp; 8 &amp; 9 &amp; 1.14285714285714 &amp; 0.888888888888889 \\ \hline</v>
      </c>
    </row>
    <row r="16" spans="1:69">
      <c r="A16" t="s">
        <v>667</v>
      </c>
      <c r="C16" s="98"/>
      <c r="J16" t="s">
        <v>681</v>
      </c>
      <c r="L16" s="174" t="s">
        <v>685</v>
      </c>
      <c r="M16" s="77"/>
      <c r="O16" s="81">
        <f>P16-5</f>
        <v>8</v>
      </c>
      <c r="P16" s="81">
        <f t="shared" si="19"/>
        <v>13</v>
      </c>
      <c r="Q16" s="129">
        <f t="shared" si="20"/>
        <v>0.61538461538461542</v>
      </c>
      <c r="R16" s="129">
        <f t="shared" si="21"/>
        <v>0.61538461538461542</v>
      </c>
      <c r="S16" s="127">
        <f t="shared" si="22"/>
        <v>0.61538461538461542</v>
      </c>
      <c r="U16" s="81">
        <f>V16-2</f>
        <v>3</v>
      </c>
      <c r="V16" s="81">
        <f t="shared" si="23"/>
        <v>5</v>
      </c>
      <c r="W16" s="129">
        <f t="shared" si="24"/>
        <v>0.5</v>
      </c>
      <c r="X16" s="129">
        <f t="shared" si="25"/>
        <v>0.6</v>
      </c>
      <c r="Y16" s="127">
        <f t="shared" si="26"/>
        <v>0.54545454545454541</v>
      </c>
      <c r="AA16" s="81">
        <f t="shared" si="27"/>
        <v>11</v>
      </c>
      <c r="AB16" s="81">
        <f t="shared" si="28"/>
        <v>13</v>
      </c>
      <c r="AC16" s="129">
        <f t="shared" si="29"/>
        <v>0.84615384615384615</v>
      </c>
      <c r="AD16" s="129">
        <f t="shared" si="30"/>
        <v>0.84615384615384615</v>
      </c>
      <c r="AE16" s="127">
        <f t="shared" si="31"/>
        <v>0.84615384615384615</v>
      </c>
      <c r="AG16" s="14">
        <f>AH16-0</f>
        <v>9</v>
      </c>
      <c r="AH16">
        <v>9</v>
      </c>
      <c r="AI16" s="127">
        <f t="shared" si="32"/>
        <v>1.2857142857142858</v>
      </c>
      <c r="AJ16" s="127">
        <f t="shared" si="17"/>
        <v>1</v>
      </c>
      <c r="AT16" s="107"/>
      <c r="BC16" s="13"/>
      <c r="BD16" s="118"/>
      <c r="BE16" s="13"/>
      <c r="BF16" s="13"/>
      <c r="BG16" s="13"/>
      <c r="BQ16" t="str">
        <f t="shared" si="33"/>
        <v>5-1 &amp; k=3 &amp; 0.615384615384615 &amp; 0.615384615384615 &amp; 0.615384615384615 &amp; 0.5 &amp; 0.6 &amp; 0.545454545454545 &amp; 0.846153846153846 &amp; 0.846153846153846 &amp; 0.846153846153846 &amp; 9 &amp; 9 &amp; 1.28571428571429 &amp; 1 \\ \hline</v>
      </c>
    </row>
    <row r="17" spans="1:69">
      <c r="C17" s="98"/>
      <c r="Q17" s="129"/>
      <c r="R17" s="129"/>
      <c r="S17" s="127"/>
      <c r="W17" s="129"/>
      <c r="X17" s="129"/>
      <c r="Y17" s="127"/>
      <c r="AC17" s="129"/>
      <c r="AD17" s="129"/>
      <c r="AE17" s="127"/>
      <c r="AG17" s="14"/>
      <c r="AH17"/>
      <c r="AI17" s="127"/>
      <c r="AJ17" s="127"/>
    </row>
    <row r="18" spans="1:69" s="73" customFormat="1">
      <c r="A18" s="73" t="s">
        <v>312</v>
      </c>
      <c r="B18" s="94">
        <v>45178</v>
      </c>
      <c r="C18" s="93" t="s">
        <v>145</v>
      </c>
      <c r="D18" s="78">
        <f>VLOOKUP($C$18,Overview!$Q$2:$AS$64,23,FALSE)</f>
        <v>0.15253833769305328</v>
      </c>
      <c r="E18" s="78" t="str">
        <f>VLOOKUP($C$18,Overview!$Q$2:$AS$64,24,FALSE)</f>
        <v>low</v>
      </c>
      <c r="F18" s="75">
        <f>VLOOKUP(C18,Overview!$Q$2:$AS$64,13,FALSE)</f>
        <v>14</v>
      </c>
      <c r="G18" s="75">
        <f>VLOOKUP(C18,Overview!$Q$2:$AS$64,16,FALSE)</f>
        <v>7</v>
      </c>
      <c r="H18" s="75">
        <f>VLOOKUP(C18,Overview!$Q$2:$AS$64,18,FALSE)</f>
        <v>7</v>
      </c>
      <c r="I18" s="75">
        <f>VLOOKUP($C$18,Overview!$Q$2:$AS$64,19,FALSE)</f>
        <v>14</v>
      </c>
      <c r="J18" s="106"/>
      <c r="K18" s="294" t="str">
        <f>VLOOKUP($C$18,Overview!$Q$2:$AS$64,5,FALSE)</f>
        <v>5-1, 3-8</v>
      </c>
      <c r="L18" s="293" t="s">
        <v>784</v>
      </c>
      <c r="N18" s="114"/>
      <c r="O18" s="80"/>
      <c r="P18" s="80"/>
      <c r="Q18" s="130"/>
      <c r="R18" s="130"/>
      <c r="S18" s="128"/>
      <c r="T18" s="114"/>
      <c r="U18" s="80"/>
      <c r="V18" s="80"/>
      <c r="W18" s="130"/>
      <c r="X18" s="130"/>
      <c r="Y18" s="128"/>
      <c r="Z18" s="114"/>
      <c r="AA18" s="80"/>
      <c r="AB18" s="80"/>
      <c r="AC18" s="130"/>
      <c r="AD18" s="130"/>
      <c r="AE18" s="128"/>
      <c r="AF18" s="114"/>
      <c r="AI18" s="128"/>
      <c r="AJ18" s="127"/>
      <c r="AK18" s="80"/>
      <c r="AL18" s="114"/>
      <c r="AM18" s="121"/>
      <c r="AN18" s="100"/>
      <c r="AQ18" s="100"/>
      <c r="AR18" s="100"/>
      <c r="AV18" s="120"/>
      <c r="AW18" s="100"/>
      <c r="AX18" s="100"/>
      <c r="AY18" s="100"/>
      <c r="AZ18" s="100"/>
      <c r="BA18" s="100"/>
      <c r="BB18" s="84"/>
      <c r="BD18" s="100"/>
      <c r="BQ18"/>
    </row>
    <row r="19" spans="1:69">
      <c r="A19" t="s">
        <v>305</v>
      </c>
      <c r="C19" s="110" t="s">
        <v>614</v>
      </c>
      <c r="J19" t="s">
        <v>679</v>
      </c>
      <c r="K19" s="296" t="s">
        <v>787</v>
      </c>
      <c r="L19" s="211" t="s">
        <v>152</v>
      </c>
      <c r="M19" s="77"/>
      <c r="O19" s="81">
        <f>P19-0</f>
        <v>14</v>
      </c>
      <c r="P19" s="81">
        <f t="shared" ref="P19:P24" si="34">$F$18-0</f>
        <v>14</v>
      </c>
      <c r="Q19" s="129">
        <f t="shared" ref="Q19:Q24" si="35">O19/$F$18</f>
        <v>1</v>
      </c>
      <c r="R19" s="129">
        <f t="shared" ref="R19:R24" si="36">O19/P19</f>
        <v>1</v>
      </c>
      <c r="S19" s="127">
        <f t="shared" ref="S19:S24" si="37">2*(Q19*R19)/(Q19+R19)</f>
        <v>1</v>
      </c>
      <c r="U19" s="81">
        <f>V19-0</f>
        <v>7</v>
      </c>
      <c r="V19" s="81">
        <f>$G$18-0</f>
        <v>7</v>
      </c>
      <c r="W19" s="129">
        <f t="shared" ref="W19:W24" si="38">U19/$G$18</f>
        <v>1</v>
      </c>
      <c r="X19" s="129">
        <f t="shared" ref="X19:X24" si="39">U19/V19</f>
        <v>1</v>
      </c>
      <c r="Y19" s="127">
        <f t="shared" ref="Y19:Y24" si="40">2*(W19*X19)/(W19+X19)</f>
        <v>1</v>
      </c>
      <c r="AA19" s="81">
        <f>AB19-0</f>
        <v>14</v>
      </c>
      <c r="AB19" s="81">
        <f t="shared" ref="AB19:AB24" si="41">$I$18-0</f>
        <v>14</v>
      </c>
      <c r="AC19" s="129">
        <f t="shared" ref="AC19:AC24" si="42">AA19/$I$18</f>
        <v>1</v>
      </c>
      <c r="AD19" s="129">
        <f t="shared" ref="AD19:AD24" si="43">AA19/AB19</f>
        <v>1</v>
      </c>
      <c r="AE19" s="127">
        <f t="shared" ref="AE19:AE24" si="44">2*(AC19*AD19)/(AC19+AD19)</f>
        <v>1</v>
      </c>
      <c r="AG19">
        <f>AH19-0</f>
        <v>10</v>
      </c>
      <c r="AH19">
        <v>10</v>
      </c>
      <c r="AI19" s="127">
        <f t="shared" ref="AI19:AI24" si="45">AG19/$H$18</f>
        <v>1.4285714285714286</v>
      </c>
      <c r="AJ19" s="127">
        <f t="shared" si="17"/>
        <v>1</v>
      </c>
      <c r="AM19" s="122">
        <v>1</v>
      </c>
      <c r="AN19" s="101">
        <v>1</v>
      </c>
      <c r="AO19">
        <v>187</v>
      </c>
      <c r="AP19">
        <v>12</v>
      </c>
      <c r="AQ19" s="101">
        <v>12</v>
      </c>
      <c r="AR19" s="101">
        <v>10</v>
      </c>
      <c r="AS19">
        <v>0</v>
      </c>
      <c r="AT19">
        <v>0</v>
      </c>
      <c r="AU19">
        <v>0</v>
      </c>
      <c r="AV19" s="119">
        <v>8</v>
      </c>
      <c r="AW19" s="101">
        <f>($F$18-N19)/$F$18</f>
        <v>1</v>
      </c>
      <c r="AY19" s="101">
        <f>($G$18-AN19)/$G$18</f>
        <v>0.8571428571428571</v>
      </c>
      <c r="AZ19" s="101">
        <f>AR19/AQ19</f>
        <v>0.83333333333333337</v>
      </c>
      <c r="BA19" s="101">
        <v>0</v>
      </c>
      <c r="BB19" s="85">
        <f>(AW19+AY19+AZ19+BA19)/4</f>
        <v>0.67261904761904767</v>
      </c>
      <c r="BC19" s="13">
        <f>AP19/$H$18</f>
        <v>1.7142857142857142</v>
      </c>
      <c r="BD19" s="118">
        <f>AV19/AP19</f>
        <v>0.66666666666666663</v>
      </c>
      <c r="BE19" s="13">
        <f>AO19/AP19</f>
        <v>15.583333333333334</v>
      </c>
      <c r="BF19" s="13">
        <f>AT19/$H$18</f>
        <v>0</v>
      </c>
      <c r="BG19" s="13">
        <f>AR19/$H$18</f>
        <v>1.4285714285714286</v>
      </c>
      <c r="BQ19" t="str">
        <f>_xlfn.CONCAT($C$18," &amp; ",J19," &amp; ",Q19," &amp; ",R19," &amp; ",S19," &amp; ",W19," &amp; ",X19," &amp; ",Y19," &amp; ",AC19," &amp; ",AD19," &amp; ",AE19," &amp; ",AG19," &amp; ",AH19," &amp; ",AI19," &amp; ",AJ19, " \\ \hline")</f>
        <v>3-4 &amp; k=1 &amp; 1 &amp; 1 &amp; 1 &amp; 1 &amp; 1 &amp; 1 &amp; 1 &amp; 1 &amp; 1 &amp; 10 &amp; 10 &amp; 1.42857142857143 &amp; 1 \\ \hline</v>
      </c>
    </row>
    <row r="20" spans="1:69">
      <c r="A20" t="s">
        <v>306</v>
      </c>
      <c r="C20" s="98"/>
      <c r="J20" t="s">
        <v>679</v>
      </c>
      <c r="L20" s="211" t="s">
        <v>152</v>
      </c>
      <c r="M20" s="77"/>
      <c r="O20" s="81">
        <f>P20-1</f>
        <v>13</v>
      </c>
      <c r="P20" s="81">
        <f t="shared" si="34"/>
        <v>14</v>
      </c>
      <c r="Q20" s="129">
        <f t="shared" si="35"/>
        <v>0.9285714285714286</v>
      </c>
      <c r="R20" s="129">
        <f t="shared" si="36"/>
        <v>0.9285714285714286</v>
      </c>
      <c r="S20" s="127">
        <f t="shared" si="37"/>
        <v>0.9285714285714286</v>
      </c>
      <c r="U20" s="81">
        <f>V20-1</f>
        <v>6</v>
      </c>
      <c r="V20" s="81">
        <f>$G$18-0</f>
        <v>7</v>
      </c>
      <c r="W20" s="129">
        <f t="shared" si="38"/>
        <v>0.8571428571428571</v>
      </c>
      <c r="X20" s="129">
        <f t="shared" si="39"/>
        <v>0.8571428571428571</v>
      </c>
      <c r="Y20" s="127">
        <f t="shared" si="40"/>
        <v>0.8571428571428571</v>
      </c>
      <c r="AA20" s="81">
        <f>AB20-1</f>
        <v>13</v>
      </c>
      <c r="AB20" s="81">
        <f t="shared" si="41"/>
        <v>14</v>
      </c>
      <c r="AC20" s="129">
        <f t="shared" si="42"/>
        <v>0.9285714285714286</v>
      </c>
      <c r="AD20" s="129">
        <f t="shared" si="43"/>
        <v>0.9285714285714286</v>
      </c>
      <c r="AE20" s="127">
        <f t="shared" si="44"/>
        <v>0.9285714285714286</v>
      </c>
      <c r="AG20">
        <f>AH20-0</f>
        <v>11</v>
      </c>
      <c r="AH20">
        <v>11</v>
      </c>
      <c r="AI20" s="127">
        <f t="shared" si="45"/>
        <v>1.5714285714285714</v>
      </c>
      <c r="AJ20" s="127">
        <f t="shared" si="17"/>
        <v>1</v>
      </c>
      <c r="AM20" s="122">
        <v>1</v>
      </c>
      <c r="AN20" s="101">
        <v>1</v>
      </c>
      <c r="AO20">
        <v>357</v>
      </c>
      <c r="AP20" s="107">
        <v>24</v>
      </c>
      <c r="AQ20" s="101">
        <v>10</v>
      </c>
      <c r="AR20" s="101">
        <v>9</v>
      </c>
      <c r="AS20">
        <v>7</v>
      </c>
      <c r="AT20">
        <v>6</v>
      </c>
      <c r="AU20">
        <v>1</v>
      </c>
      <c r="AV20" s="119">
        <v>8</v>
      </c>
      <c r="AW20" s="101">
        <f>($F$18-N20)/$F$18</f>
        <v>1</v>
      </c>
      <c r="AY20" s="101">
        <f>($G$18-AN20)/$G$18</f>
        <v>0.8571428571428571</v>
      </c>
      <c r="AZ20" s="101">
        <f>AR20/AQ20</f>
        <v>0.9</v>
      </c>
      <c r="BA20" s="101">
        <f>AT20/AS20</f>
        <v>0.8571428571428571</v>
      </c>
      <c r="BB20" s="85">
        <f>(AW20+AY20+AZ20+BA20)/4</f>
        <v>0.90357142857142858</v>
      </c>
      <c r="BC20" s="13">
        <f>AP20/$H$18</f>
        <v>3.4285714285714284</v>
      </c>
      <c r="BD20" s="118">
        <f>AV20/AP20</f>
        <v>0.33333333333333331</v>
      </c>
      <c r="BE20" s="13">
        <f>AO20/AP20</f>
        <v>14.875</v>
      </c>
      <c r="BF20" s="13">
        <f>AT20/$H$18</f>
        <v>0.8571428571428571</v>
      </c>
      <c r="BG20" s="13">
        <f>AR20/$H$18</f>
        <v>1.2857142857142858</v>
      </c>
      <c r="BQ20" t="str">
        <f t="shared" ref="BQ20:BQ24" si="46">_xlfn.CONCAT($C$18," &amp; ",J20," &amp; ",Q20," &amp; ",R20," &amp; ",S20," &amp; ",W20," &amp; ",X20," &amp; ",Y20," &amp; ",AC20," &amp; ",AD20," &amp; ",AE20," &amp; ",AG20," &amp; ",AH20," &amp; ",AI20," &amp; ",AJ20, " \\ \hline")</f>
        <v>3-4 &amp; k=1 &amp; 0.928571428571429 &amp; 0.928571428571429 &amp; 0.928571428571429 &amp; 0.857142857142857 &amp; 0.857142857142857 &amp; 0.857142857142857 &amp; 0.928571428571429 &amp; 0.928571428571429 &amp; 0.928571428571429 &amp; 11 &amp; 11 &amp; 1.57142857142857 &amp; 1 \\ \hline</v>
      </c>
    </row>
    <row r="21" spans="1:69">
      <c r="A21" t="s">
        <v>307</v>
      </c>
      <c r="C21" s="98"/>
      <c r="J21" t="s">
        <v>680</v>
      </c>
      <c r="L21" s="211" t="s">
        <v>603</v>
      </c>
      <c r="M21" s="108"/>
      <c r="O21" s="81">
        <f>P21-1</f>
        <v>13</v>
      </c>
      <c r="P21" s="81">
        <f t="shared" si="34"/>
        <v>14</v>
      </c>
      <c r="Q21" s="129">
        <f t="shared" si="35"/>
        <v>0.9285714285714286</v>
      </c>
      <c r="R21" s="129">
        <f t="shared" si="36"/>
        <v>0.9285714285714286</v>
      </c>
      <c r="S21" s="127">
        <f t="shared" si="37"/>
        <v>0.9285714285714286</v>
      </c>
      <c r="U21" s="81">
        <f>V21-1</f>
        <v>6</v>
      </c>
      <c r="V21" s="81">
        <f>$G$18-0</f>
        <v>7</v>
      </c>
      <c r="W21" s="129">
        <f t="shared" si="38"/>
        <v>0.8571428571428571</v>
      </c>
      <c r="X21" s="129">
        <f t="shared" si="39"/>
        <v>0.8571428571428571</v>
      </c>
      <c r="Y21" s="127">
        <f t="shared" si="40"/>
        <v>0.8571428571428571</v>
      </c>
      <c r="AA21" s="81">
        <f>AB21-2</f>
        <v>12</v>
      </c>
      <c r="AB21" s="81">
        <f t="shared" si="41"/>
        <v>14</v>
      </c>
      <c r="AC21" s="129">
        <f t="shared" si="42"/>
        <v>0.8571428571428571</v>
      </c>
      <c r="AD21" s="129">
        <f t="shared" si="43"/>
        <v>0.8571428571428571</v>
      </c>
      <c r="AE21" s="127">
        <f t="shared" si="44"/>
        <v>0.8571428571428571</v>
      </c>
      <c r="AG21">
        <f>AH21-1</f>
        <v>9</v>
      </c>
      <c r="AH21">
        <v>10</v>
      </c>
      <c r="AI21" s="127">
        <f t="shared" si="45"/>
        <v>1.2857142857142858</v>
      </c>
      <c r="AJ21" s="127">
        <f t="shared" si="17"/>
        <v>0.9</v>
      </c>
      <c r="AM21" s="122">
        <v>0</v>
      </c>
      <c r="AN21" s="101">
        <v>0</v>
      </c>
      <c r="AO21">
        <v>246</v>
      </c>
      <c r="AP21">
        <v>15</v>
      </c>
      <c r="AQ21" s="101">
        <v>9</v>
      </c>
      <c r="AR21" s="101">
        <v>9</v>
      </c>
      <c r="AS21">
        <v>6</v>
      </c>
      <c r="AT21">
        <v>6</v>
      </c>
      <c r="AU21">
        <v>0</v>
      </c>
      <c r="AV21" s="119">
        <v>9</v>
      </c>
      <c r="AW21" s="101">
        <f>($F$18-N21)/$F$18</f>
        <v>1</v>
      </c>
      <c r="AY21" s="101">
        <f>($G$18-AN21)/$G$18</f>
        <v>1</v>
      </c>
      <c r="AZ21" s="101">
        <f>AR21/AQ21</f>
        <v>1</v>
      </c>
      <c r="BA21" s="101">
        <f>AT21/AS21</f>
        <v>1</v>
      </c>
      <c r="BB21" s="85">
        <f>(AW21+AY21+AZ21+BA21)/4</f>
        <v>1</v>
      </c>
      <c r="BC21" s="13">
        <f>AP21/$H$18</f>
        <v>2.1428571428571428</v>
      </c>
      <c r="BD21" s="118">
        <f>AV21/AP21</f>
        <v>0.6</v>
      </c>
      <c r="BE21" s="13">
        <f>AO21/AP21</f>
        <v>16.399999999999999</v>
      </c>
      <c r="BF21" s="13">
        <f>AT21/$H$18</f>
        <v>0.8571428571428571</v>
      </c>
      <c r="BG21" s="13">
        <f>AR21/$H$18</f>
        <v>1.2857142857142858</v>
      </c>
      <c r="BQ21" t="str">
        <f t="shared" si="46"/>
        <v>3-4 &amp; k=2 &amp; 0.928571428571429 &amp; 0.928571428571429 &amp; 0.928571428571429 &amp; 0.857142857142857 &amp; 0.857142857142857 &amp; 0.857142857142857 &amp; 0.857142857142857 &amp; 0.857142857142857 &amp; 0.857142857142857 &amp; 9 &amp; 10 &amp; 1.28571428571429 &amp; 0.9 \\ \hline</v>
      </c>
    </row>
    <row r="22" spans="1:69">
      <c r="A22" t="s">
        <v>308</v>
      </c>
      <c r="C22" s="98"/>
      <c r="J22" t="s">
        <v>680</v>
      </c>
      <c r="L22" s="211" t="s">
        <v>603</v>
      </c>
      <c r="M22" s="77"/>
      <c r="O22" s="81">
        <f>P22-2</f>
        <v>12</v>
      </c>
      <c r="P22" s="81">
        <f t="shared" si="34"/>
        <v>14</v>
      </c>
      <c r="Q22" s="129">
        <f t="shared" si="35"/>
        <v>0.8571428571428571</v>
      </c>
      <c r="R22" s="129">
        <f t="shared" si="36"/>
        <v>0.8571428571428571</v>
      </c>
      <c r="S22" s="127">
        <f t="shared" si="37"/>
        <v>0.8571428571428571</v>
      </c>
      <c r="U22" s="81">
        <f>V22-2</f>
        <v>5</v>
      </c>
      <c r="V22" s="81">
        <f>$G$18-0</f>
        <v>7</v>
      </c>
      <c r="W22" s="129">
        <f t="shared" si="38"/>
        <v>0.7142857142857143</v>
      </c>
      <c r="X22" s="129">
        <f t="shared" si="39"/>
        <v>0.7142857142857143</v>
      </c>
      <c r="Y22" s="127">
        <f t="shared" si="40"/>
        <v>0.7142857142857143</v>
      </c>
      <c r="AA22" s="81">
        <f>AB22-1</f>
        <v>13</v>
      </c>
      <c r="AB22" s="81">
        <f t="shared" si="41"/>
        <v>14</v>
      </c>
      <c r="AC22" s="129">
        <f t="shared" si="42"/>
        <v>0.9285714285714286</v>
      </c>
      <c r="AD22" s="129">
        <f t="shared" si="43"/>
        <v>0.9285714285714286</v>
      </c>
      <c r="AE22" s="127">
        <f t="shared" si="44"/>
        <v>0.9285714285714286</v>
      </c>
      <c r="AG22">
        <f>AH22-1</f>
        <v>6</v>
      </c>
      <c r="AH22">
        <v>7</v>
      </c>
      <c r="AI22" s="127">
        <f t="shared" si="45"/>
        <v>0.8571428571428571</v>
      </c>
      <c r="AJ22" s="127">
        <f t="shared" si="17"/>
        <v>0.8571428571428571</v>
      </c>
      <c r="AM22" s="122">
        <v>0</v>
      </c>
      <c r="AN22" s="101">
        <v>0</v>
      </c>
      <c r="AO22">
        <v>273</v>
      </c>
      <c r="AP22">
        <v>17</v>
      </c>
      <c r="AQ22" s="101">
        <v>14</v>
      </c>
      <c r="AR22" s="101">
        <v>13</v>
      </c>
      <c r="AS22">
        <v>3</v>
      </c>
      <c r="AT22">
        <v>3</v>
      </c>
      <c r="AU22">
        <v>0</v>
      </c>
      <c r="AV22" s="119">
        <v>9</v>
      </c>
      <c r="AW22" s="101">
        <f>($F$18-N22)/$F$18</f>
        <v>1</v>
      </c>
      <c r="AY22" s="101">
        <f>($G$18-AN22)/$G$18</f>
        <v>1</v>
      </c>
      <c r="AZ22" s="101">
        <f>AR22/AQ22</f>
        <v>0.9285714285714286</v>
      </c>
      <c r="BA22" s="101">
        <f>AT22/AS22</f>
        <v>1</v>
      </c>
      <c r="BB22" s="85">
        <f>(AW22+AY22+AZ22+BA22)/4</f>
        <v>0.98214285714285721</v>
      </c>
      <c r="BC22" s="13">
        <f>AP22/$H$18</f>
        <v>2.4285714285714284</v>
      </c>
      <c r="BD22" s="118">
        <f>AV22/AP22</f>
        <v>0.52941176470588236</v>
      </c>
      <c r="BE22" s="13">
        <f>AO22/AP22</f>
        <v>16.058823529411764</v>
      </c>
      <c r="BF22" s="13">
        <f>AT22/$H$18</f>
        <v>0.42857142857142855</v>
      </c>
      <c r="BG22" s="13">
        <f>AR22/$H$18</f>
        <v>1.8571428571428572</v>
      </c>
      <c r="BQ22" t="str">
        <f t="shared" si="46"/>
        <v>3-4 &amp; k=2 &amp; 0.857142857142857 &amp; 0.857142857142857 &amp; 0.857142857142857 &amp; 0.714285714285714 &amp; 0.714285714285714 &amp; 0.714285714285714 &amp; 0.928571428571429 &amp; 0.928571428571429 &amp; 0.928571428571429 &amp; 6 &amp; 7 &amp; 0.857142857142857 &amp; 0.857142857142857 \\ \hline</v>
      </c>
    </row>
    <row r="23" spans="1:69">
      <c r="A23" t="s">
        <v>309</v>
      </c>
      <c r="C23" s="98"/>
      <c r="J23" t="s">
        <v>681</v>
      </c>
      <c r="L23" s="211" t="s">
        <v>686</v>
      </c>
      <c r="M23" s="77"/>
      <c r="O23" s="81">
        <f>P23-3</f>
        <v>11</v>
      </c>
      <c r="P23" s="163">
        <f t="shared" si="34"/>
        <v>14</v>
      </c>
      <c r="Q23" s="129">
        <f t="shared" si="35"/>
        <v>0.7857142857142857</v>
      </c>
      <c r="R23" s="129">
        <f t="shared" si="36"/>
        <v>0.7857142857142857</v>
      </c>
      <c r="S23" s="127">
        <f t="shared" si="37"/>
        <v>0.7857142857142857</v>
      </c>
      <c r="U23" s="81">
        <f>V23-2</f>
        <v>4</v>
      </c>
      <c r="V23" s="81">
        <f>$G$18-1</f>
        <v>6</v>
      </c>
      <c r="W23" s="129">
        <f t="shared" si="38"/>
        <v>0.5714285714285714</v>
      </c>
      <c r="X23" s="129">
        <f t="shared" si="39"/>
        <v>0.66666666666666663</v>
      </c>
      <c r="Y23" s="127">
        <f t="shared" si="40"/>
        <v>0.61538461538461531</v>
      </c>
      <c r="AA23" s="81">
        <f>AB23-1</f>
        <v>13</v>
      </c>
      <c r="AB23" s="81">
        <f t="shared" si="41"/>
        <v>14</v>
      </c>
      <c r="AC23" s="129">
        <f t="shared" si="42"/>
        <v>0.9285714285714286</v>
      </c>
      <c r="AD23" s="129">
        <f t="shared" si="43"/>
        <v>0.9285714285714286</v>
      </c>
      <c r="AE23" s="127">
        <f t="shared" si="44"/>
        <v>0.9285714285714286</v>
      </c>
      <c r="AG23">
        <f>AH23-0</f>
        <v>10</v>
      </c>
      <c r="AH23">
        <v>10</v>
      </c>
      <c r="AI23" s="127">
        <f t="shared" si="45"/>
        <v>1.4285714285714286</v>
      </c>
      <c r="AJ23" s="127">
        <f t="shared" si="17"/>
        <v>1</v>
      </c>
      <c r="BC23" s="13"/>
      <c r="BD23" s="118"/>
      <c r="BE23" s="13"/>
      <c r="BF23" s="13"/>
      <c r="BG23" s="13"/>
      <c r="BQ23" t="str">
        <f t="shared" si="46"/>
        <v>3-4 &amp; k=3 &amp; 0.785714285714286 &amp; 0.785714285714286 &amp; 0.785714285714286 &amp; 0.571428571428571 &amp; 0.666666666666667 &amp; 0.615384615384615 &amp; 0.928571428571429 &amp; 0.928571428571429 &amp; 0.928571428571429 &amp; 10 &amp; 10 &amp; 1.42857142857143 &amp; 1 \\ \hline</v>
      </c>
    </row>
    <row r="24" spans="1:69">
      <c r="A24" t="s">
        <v>667</v>
      </c>
      <c r="C24" s="98"/>
      <c r="J24" t="s">
        <v>681</v>
      </c>
      <c r="L24" s="211" t="s">
        <v>686</v>
      </c>
      <c r="M24" s="77"/>
      <c r="O24" s="81">
        <f>P24-3</f>
        <v>11</v>
      </c>
      <c r="P24" s="81">
        <f t="shared" si="34"/>
        <v>14</v>
      </c>
      <c r="Q24" s="129">
        <f t="shared" si="35"/>
        <v>0.7857142857142857</v>
      </c>
      <c r="R24" s="129">
        <f t="shared" si="36"/>
        <v>0.7857142857142857</v>
      </c>
      <c r="S24" s="127">
        <f t="shared" si="37"/>
        <v>0.7857142857142857</v>
      </c>
      <c r="U24" s="81">
        <f>V24-2</f>
        <v>4</v>
      </c>
      <c r="V24" s="81">
        <f>$G$18-1</f>
        <v>6</v>
      </c>
      <c r="W24" s="129">
        <f t="shared" si="38"/>
        <v>0.5714285714285714</v>
      </c>
      <c r="X24" s="129">
        <f t="shared" si="39"/>
        <v>0.66666666666666663</v>
      </c>
      <c r="Y24" s="127">
        <f t="shared" si="40"/>
        <v>0.61538461538461531</v>
      </c>
      <c r="AA24" s="81">
        <f>AB24-1</f>
        <v>13</v>
      </c>
      <c r="AB24" s="81">
        <f t="shared" si="41"/>
        <v>14</v>
      </c>
      <c r="AC24" s="129">
        <f t="shared" si="42"/>
        <v>0.9285714285714286</v>
      </c>
      <c r="AD24" s="129">
        <f t="shared" si="43"/>
        <v>0.9285714285714286</v>
      </c>
      <c r="AE24" s="127">
        <f t="shared" si="44"/>
        <v>0.9285714285714286</v>
      </c>
      <c r="AG24">
        <f>AH24-1</f>
        <v>7</v>
      </c>
      <c r="AH24">
        <v>8</v>
      </c>
      <c r="AI24" s="127">
        <f t="shared" si="45"/>
        <v>1</v>
      </c>
      <c r="AJ24" s="127">
        <f t="shared" si="17"/>
        <v>0.875</v>
      </c>
      <c r="BC24" s="13"/>
      <c r="BD24" s="118"/>
      <c r="BE24" s="13"/>
      <c r="BF24" s="13"/>
      <c r="BG24" s="13"/>
      <c r="BQ24" t="str">
        <f t="shared" si="46"/>
        <v>3-4 &amp; k=3 &amp; 0.785714285714286 &amp; 0.785714285714286 &amp; 0.785714285714286 &amp; 0.571428571428571 &amp; 0.666666666666667 &amp; 0.615384615384615 &amp; 0.928571428571429 &amp; 0.928571428571429 &amp; 0.928571428571429 &amp; 7 &amp; 8 &amp; 1 &amp; 0.875 \\ \hline</v>
      </c>
    </row>
    <row r="25" spans="1:69">
      <c r="C25" s="98"/>
      <c r="Q25" s="129"/>
      <c r="R25" s="129"/>
      <c r="S25" s="127"/>
      <c r="W25" s="129"/>
      <c r="X25" s="129"/>
      <c r="Y25" s="127"/>
      <c r="AC25" s="129"/>
      <c r="AD25" s="129"/>
      <c r="AE25" s="127"/>
      <c r="AG25"/>
      <c r="AH25"/>
      <c r="AI25" s="127"/>
      <c r="AJ25" s="127"/>
    </row>
    <row r="26" spans="1:69" s="73" customFormat="1">
      <c r="A26" s="73" t="s">
        <v>313</v>
      </c>
      <c r="B26" s="94">
        <v>45178</v>
      </c>
      <c r="C26" s="93" t="s">
        <v>143</v>
      </c>
      <c r="D26" s="78">
        <f>VLOOKUP($C$26,Overview!$Q$2:$AS$64,23,FALSE)</f>
        <v>0.22130077615194707</v>
      </c>
      <c r="E26" s="78" t="str">
        <f>VLOOKUP($C$26,Overview!$Q$2:$AS$64,24,FALSE)</f>
        <v>low</v>
      </c>
      <c r="F26" s="75">
        <f>VLOOKUP(C26,Overview!$Q$2:$AS$64,13,FALSE)</f>
        <v>21</v>
      </c>
      <c r="G26" s="75">
        <f>VLOOKUP(C26,Overview!$Q$2:$AS$64,16,FALSE)</f>
        <v>4</v>
      </c>
      <c r="H26" s="75">
        <f>VLOOKUP(C26,Overview!$Q$2:$AS$64,18,FALSE)</f>
        <v>10</v>
      </c>
      <c r="I26" s="75">
        <f>VLOOKUP($C$26,Overview!$Q$2:$AS$64,19,FALSE)</f>
        <v>21</v>
      </c>
      <c r="K26" s="294" t="str">
        <f>VLOOKUP($C$26,Overview!$Q$2:$AS$64,5,FALSE)</f>
        <v>5-1, 3-8</v>
      </c>
      <c r="L26" s="293" t="s">
        <v>785</v>
      </c>
      <c r="N26" s="114"/>
      <c r="O26" s="80"/>
      <c r="P26" s="80"/>
      <c r="Q26" s="130"/>
      <c r="R26" s="130"/>
      <c r="S26" s="128"/>
      <c r="T26" s="114"/>
      <c r="U26" s="80"/>
      <c r="V26" s="80"/>
      <c r="W26" s="130"/>
      <c r="X26" s="130"/>
      <c r="Y26" s="128"/>
      <c r="Z26" s="114"/>
      <c r="AA26" s="80"/>
      <c r="AB26" s="80"/>
      <c r="AC26" s="130"/>
      <c r="AD26" s="130"/>
      <c r="AE26" s="128"/>
      <c r="AF26" s="114"/>
      <c r="AI26" s="128"/>
      <c r="AJ26" s="127"/>
      <c r="AK26" s="80"/>
      <c r="AL26" s="114"/>
      <c r="AM26" s="121"/>
      <c r="AN26" s="100"/>
      <c r="AQ26" s="100"/>
      <c r="AR26" s="100"/>
      <c r="AV26" s="120"/>
      <c r="AW26" s="100"/>
      <c r="AX26" s="100"/>
      <c r="AY26" s="100"/>
      <c r="AZ26" s="100"/>
      <c r="BA26" s="100"/>
      <c r="BB26" s="84"/>
      <c r="BD26" s="100"/>
      <c r="BQ26"/>
    </row>
    <row r="27" spans="1:69">
      <c r="A27" t="s">
        <v>305</v>
      </c>
      <c r="C27" s="98"/>
      <c r="J27" t="s">
        <v>679</v>
      </c>
      <c r="K27" s="296" t="s">
        <v>787</v>
      </c>
      <c r="L27" s="211" t="s">
        <v>161</v>
      </c>
      <c r="M27" s="77"/>
      <c r="O27" s="81">
        <f t="shared" ref="O27:O32" si="47">P27-0</f>
        <v>21</v>
      </c>
      <c r="P27" s="81">
        <f t="shared" ref="P27:P32" si="48">$F$26</f>
        <v>21</v>
      </c>
      <c r="Q27" s="129">
        <f t="shared" ref="Q27:Q32" si="49">O27/$F$26</f>
        <v>1</v>
      </c>
      <c r="R27" s="129">
        <f t="shared" ref="R27:R32" si="50">O27/P27</f>
        <v>1</v>
      </c>
      <c r="S27" s="127">
        <f t="shared" ref="S27:S32" si="51">2*(Q27*R27)/(Q27+R27)</f>
        <v>1</v>
      </c>
      <c r="U27" s="81">
        <f>V27-0</f>
        <v>4</v>
      </c>
      <c r="V27" s="81">
        <f>G26</f>
        <v>4</v>
      </c>
      <c r="W27" s="129">
        <f t="shared" ref="W27:W32" si="52">U27/$G$26</f>
        <v>1</v>
      </c>
      <c r="X27" s="129">
        <f t="shared" ref="X27:X32" si="53">U27/V27</f>
        <v>1</v>
      </c>
      <c r="Y27" s="127">
        <f t="shared" ref="Y27:Y32" si="54">2*(W27*X27)/(W27+X27)</f>
        <v>1</v>
      </c>
      <c r="AA27" s="81">
        <f>AB27-0</f>
        <v>21</v>
      </c>
      <c r="AB27" s="81">
        <f>I26</f>
        <v>21</v>
      </c>
      <c r="AC27" s="129">
        <f t="shared" ref="AC27:AC32" si="55">AA27/$I$26</f>
        <v>1</v>
      </c>
      <c r="AD27" s="129">
        <f t="shared" ref="AD27:AD32" si="56">AA27/AB27</f>
        <v>1</v>
      </c>
      <c r="AE27" s="127">
        <f t="shared" ref="AE27:AE32" si="57">2*(AC27*AD27)/(AC27+AD27)</f>
        <v>1</v>
      </c>
      <c r="AG27">
        <f t="shared" ref="AG27:AG32" si="58">AH27-0</f>
        <v>7</v>
      </c>
      <c r="AH27">
        <v>7</v>
      </c>
      <c r="AI27" s="127">
        <f t="shared" ref="AI27:AI32" si="59">AG27/$H$26</f>
        <v>0.7</v>
      </c>
      <c r="AJ27" s="127">
        <f t="shared" si="17"/>
        <v>1</v>
      </c>
      <c r="AM27" s="122">
        <v>0</v>
      </c>
      <c r="AN27" s="101">
        <v>0</v>
      </c>
      <c r="AO27">
        <v>199</v>
      </c>
      <c r="AP27">
        <v>13</v>
      </c>
      <c r="AQ27" s="101">
        <v>13</v>
      </c>
      <c r="AR27" s="101">
        <v>13</v>
      </c>
      <c r="AS27">
        <v>0</v>
      </c>
      <c r="AT27">
        <v>0</v>
      </c>
      <c r="AU27">
        <v>0</v>
      </c>
      <c r="AV27" s="119">
        <v>11</v>
      </c>
      <c r="AW27" s="101">
        <f>($F$26-N27)/$F$26</f>
        <v>1</v>
      </c>
      <c r="AY27" s="101">
        <f>($G$26-AN27)/$G$26</f>
        <v>1</v>
      </c>
      <c r="AZ27" s="101">
        <f>AR27/AQ27</f>
        <v>1</v>
      </c>
      <c r="BA27" s="101">
        <v>0</v>
      </c>
      <c r="BB27" s="85">
        <f>(AW27+AY27+AZ27+BA27)/4</f>
        <v>0.75</v>
      </c>
      <c r="BC27" s="13">
        <f>AP27/$H$26</f>
        <v>1.3</v>
      </c>
      <c r="BD27" s="118">
        <f>AV27/AP27</f>
        <v>0.84615384615384615</v>
      </c>
      <c r="BE27" s="13">
        <f>AO27/AP27</f>
        <v>15.307692307692308</v>
      </c>
      <c r="BF27" s="13">
        <f>AT27/$H$26</f>
        <v>0</v>
      </c>
      <c r="BG27" s="13">
        <f>AR27/$H$26</f>
        <v>1.3</v>
      </c>
      <c r="BQ27" t="str">
        <f>_xlfn.CONCAT($C$26," &amp; ",J27," &amp; ",Q27," &amp; ",R27," &amp; ",S27," &amp; ",W27," &amp; ",X27," &amp; ",Y27," &amp; ",AC27," &amp; ",AD27," &amp; ",AE27," &amp; ",AG27," &amp; ",AH27," &amp; ",AI27," &amp; ",AJ27, " \\ \hline")</f>
        <v>3-2 &amp; k=1 &amp; 1 &amp; 1 &amp; 1 &amp; 1 &amp; 1 &amp; 1 &amp; 1 &amp; 1 &amp; 1 &amp; 7 &amp; 7 &amp; 0.7 &amp; 1 \\ \hline</v>
      </c>
    </row>
    <row r="28" spans="1:69">
      <c r="A28" t="s">
        <v>306</v>
      </c>
      <c r="C28" s="98"/>
      <c r="J28" t="s">
        <v>679</v>
      </c>
      <c r="L28" s="211" t="s">
        <v>161</v>
      </c>
      <c r="M28" s="77"/>
      <c r="O28" s="81">
        <f t="shared" si="47"/>
        <v>21</v>
      </c>
      <c r="P28" s="81">
        <f t="shared" si="48"/>
        <v>21</v>
      </c>
      <c r="Q28" s="129">
        <f t="shared" si="49"/>
        <v>1</v>
      </c>
      <c r="R28" s="129">
        <f t="shared" si="50"/>
        <v>1</v>
      </c>
      <c r="S28" s="127">
        <f t="shared" si="51"/>
        <v>1</v>
      </c>
      <c r="U28" s="81">
        <v>4</v>
      </c>
      <c r="V28" s="81">
        <v>4</v>
      </c>
      <c r="W28" s="129">
        <f t="shared" si="52"/>
        <v>1</v>
      </c>
      <c r="X28" s="129">
        <f t="shared" si="53"/>
        <v>1</v>
      </c>
      <c r="Y28" s="127">
        <f t="shared" si="54"/>
        <v>1</v>
      </c>
      <c r="AA28" s="81">
        <v>21</v>
      </c>
      <c r="AB28" s="81">
        <v>21</v>
      </c>
      <c r="AC28" s="129">
        <f t="shared" si="55"/>
        <v>1</v>
      </c>
      <c r="AD28" s="129">
        <f t="shared" si="56"/>
        <v>1</v>
      </c>
      <c r="AE28" s="127">
        <f t="shared" si="57"/>
        <v>1</v>
      </c>
      <c r="AG28">
        <f t="shared" si="58"/>
        <v>4</v>
      </c>
      <c r="AH28">
        <v>4</v>
      </c>
      <c r="AI28" s="127">
        <f t="shared" si="59"/>
        <v>0.4</v>
      </c>
      <c r="AJ28" s="127">
        <f t="shared" si="17"/>
        <v>1</v>
      </c>
      <c r="AM28" s="122">
        <v>0</v>
      </c>
      <c r="AN28" s="101">
        <v>0</v>
      </c>
      <c r="AO28">
        <v>397</v>
      </c>
      <c r="AP28" s="107">
        <v>22</v>
      </c>
      <c r="AQ28" s="101">
        <v>12</v>
      </c>
      <c r="AR28" s="101">
        <v>12</v>
      </c>
      <c r="AS28">
        <v>8</v>
      </c>
      <c r="AT28">
        <v>8</v>
      </c>
      <c r="AU28">
        <v>2</v>
      </c>
      <c r="AV28" s="119">
        <v>9</v>
      </c>
      <c r="AW28" s="101">
        <f>($F$18-N28)/$F$18</f>
        <v>1</v>
      </c>
      <c r="AY28" s="101">
        <f>($G$18-AN28)/$G$18</f>
        <v>1</v>
      </c>
      <c r="AZ28" s="101">
        <f>AR28/AQ28</f>
        <v>1</v>
      </c>
      <c r="BA28" s="101">
        <f>AT28/AS28</f>
        <v>1</v>
      </c>
      <c r="BB28" s="85">
        <f>(AW28+AY28+AZ28+BA28)/4</f>
        <v>1</v>
      </c>
      <c r="BC28" s="13">
        <f>AP28/$H$26</f>
        <v>2.2000000000000002</v>
      </c>
      <c r="BD28" s="118">
        <f>AV28/AP28</f>
        <v>0.40909090909090912</v>
      </c>
      <c r="BE28" s="13">
        <f>AO28/AP28</f>
        <v>18.045454545454547</v>
      </c>
      <c r="BF28" s="13">
        <f>AT28/$H$26</f>
        <v>0.8</v>
      </c>
      <c r="BG28" s="13">
        <f>AR28/$H$26</f>
        <v>1.2</v>
      </c>
      <c r="BQ28" t="str">
        <f t="shared" ref="BQ28:BQ32" si="60">_xlfn.CONCAT($C$26," &amp; ",J28," &amp; ",Q28," &amp; ",R28," &amp; ",S28," &amp; ",W28," &amp; ",X28," &amp; ",Y28," &amp; ",AC28," &amp; ",AD28," &amp; ",AE28," &amp; ",AG28," &amp; ",AH28," &amp; ",AI28," &amp; ",AJ28, " \\ \hline")</f>
        <v>3-2 &amp; k=1 &amp; 1 &amp; 1 &amp; 1 &amp; 1 &amp; 1 &amp; 1 &amp; 1 &amp; 1 &amp; 1 &amp; 4 &amp; 4 &amp; 0.4 &amp; 1 \\ \hline</v>
      </c>
    </row>
    <row r="29" spans="1:69">
      <c r="A29" t="s">
        <v>307</v>
      </c>
      <c r="C29" s="98"/>
      <c r="J29" t="s">
        <v>680</v>
      </c>
      <c r="K29" s="107"/>
      <c r="L29" s="211" t="s">
        <v>663</v>
      </c>
      <c r="M29" s="77"/>
      <c r="O29" s="81">
        <f t="shared" si="47"/>
        <v>21</v>
      </c>
      <c r="P29" s="81">
        <f t="shared" si="48"/>
        <v>21</v>
      </c>
      <c r="Q29" s="129">
        <f t="shared" si="49"/>
        <v>1</v>
      </c>
      <c r="R29" s="129">
        <f t="shared" si="50"/>
        <v>1</v>
      </c>
      <c r="S29" s="127">
        <f t="shared" si="51"/>
        <v>1</v>
      </c>
      <c r="U29" s="81">
        <v>4</v>
      </c>
      <c r="V29" s="81">
        <v>4</v>
      </c>
      <c r="W29" s="129">
        <f t="shared" si="52"/>
        <v>1</v>
      </c>
      <c r="X29" s="129">
        <f t="shared" si="53"/>
        <v>1</v>
      </c>
      <c r="Y29" s="127">
        <f t="shared" si="54"/>
        <v>1</v>
      </c>
      <c r="AA29" s="81">
        <v>21</v>
      </c>
      <c r="AB29" s="81">
        <v>21</v>
      </c>
      <c r="AC29" s="129">
        <f t="shared" si="55"/>
        <v>1</v>
      </c>
      <c r="AD29" s="129">
        <f t="shared" si="56"/>
        <v>1</v>
      </c>
      <c r="AE29" s="127">
        <f t="shared" si="57"/>
        <v>1</v>
      </c>
      <c r="AG29">
        <f t="shared" si="58"/>
        <v>3</v>
      </c>
      <c r="AH29">
        <v>3</v>
      </c>
      <c r="AI29" s="127">
        <f t="shared" si="59"/>
        <v>0.3</v>
      </c>
      <c r="AJ29" s="127">
        <f t="shared" si="17"/>
        <v>1</v>
      </c>
      <c r="AM29" s="122">
        <v>0</v>
      </c>
      <c r="AN29" s="101">
        <v>0</v>
      </c>
      <c r="AO29">
        <v>216</v>
      </c>
      <c r="AP29">
        <v>14</v>
      </c>
      <c r="AQ29" s="101">
        <v>11</v>
      </c>
      <c r="AR29" s="101">
        <v>11</v>
      </c>
      <c r="AS29">
        <v>3</v>
      </c>
      <c r="AT29">
        <v>3</v>
      </c>
      <c r="AU29">
        <v>0</v>
      </c>
      <c r="AV29" s="119">
        <v>8</v>
      </c>
      <c r="AW29" s="101">
        <f>($F$18-N29)/$F$18</f>
        <v>1</v>
      </c>
      <c r="AY29" s="101">
        <f>($G$18-AN29)/$G$18</f>
        <v>1</v>
      </c>
      <c r="AZ29" s="101">
        <f>AR29/AQ29</f>
        <v>1</v>
      </c>
      <c r="BA29" s="101">
        <f>AT29/AS29</f>
        <v>1</v>
      </c>
      <c r="BB29" s="85">
        <f>(AW29+AY29+AZ29+BA29)/4</f>
        <v>1</v>
      </c>
      <c r="BC29" s="13">
        <f>AP29/$H$26</f>
        <v>1.4</v>
      </c>
      <c r="BD29" s="118">
        <f>AV29/AP29</f>
        <v>0.5714285714285714</v>
      </c>
      <c r="BE29" s="13">
        <f>AO29/AP29</f>
        <v>15.428571428571429</v>
      </c>
      <c r="BF29" s="13">
        <f>AT29/$H$26</f>
        <v>0.3</v>
      </c>
      <c r="BG29" s="13">
        <f>AR29/$H$26</f>
        <v>1.1000000000000001</v>
      </c>
      <c r="BQ29" t="str">
        <f t="shared" si="60"/>
        <v>3-2 &amp; k=2 &amp; 1 &amp; 1 &amp; 1 &amp; 1 &amp; 1 &amp; 1 &amp; 1 &amp; 1 &amp; 1 &amp; 3 &amp; 3 &amp; 0.3 &amp; 1 \\ \hline</v>
      </c>
    </row>
    <row r="30" spans="1:69">
      <c r="A30" t="s">
        <v>308</v>
      </c>
      <c r="C30" s="98"/>
      <c r="J30" t="s">
        <v>680</v>
      </c>
      <c r="L30" s="211" t="s">
        <v>663</v>
      </c>
      <c r="M30" s="77"/>
      <c r="O30" s="81">
        <f t="shared" si="47"/>
        <v>21</v>
      </c>
      <c r="P30" s="81">
        <f t="shared" si="48"/>
        <v>21</v>
      </c>
      <c r="Q30" s="129">
        <f t="shared" si="49"/>
        <v>1</v>
      </c>
      <c r="R30" s="129">
        <f t="shared" si="50"/>
        <v>1</v>
      </c>
      <c r="S30" s="127">
        <f t="shared" si="51"/>
        <v>1</v>
      </c>
      <c r="U30" s="81">
        <v>4</v>
      </c>
      <c r="V30" s="81">
        <v>4</v>
      </c>
      <c r="W30" s="129">
        <f t="shared" si="52"/>
        <v>1</v>
      </c>
      <c r="X30" s="129">
        <f t="shared" si="53"/>
        <v>1</v>
      </c>
      <c r="Y30" s="127">
        <f t="shared" si="54"/>
        <v>1</v>
      </c>
      <c r="AA30" s="81">
        <v>21</v>
      </c>
      <c r="AB30" s="81">
        <v>21</v>
      </c>
      <c r="AC30" s="129">
        <f t="shared" si="55"/>
        <v>1</v>
      </c>
      <c r="AD30" s="129">
        <f t="shared" si="56"/>
        <v>1</v>
      </c>
      <c r="AE30" s="127">
        <f t="shared" si="57"/>
        <v>1</v>
      </c>
      <c r="AG30">
        <f t="shared" si="58"/>
        <v>8</v>
      </c>
      <c r="AH30">
        <v>8</v>
      </c>
      <c r="AI30" s="127">
        <f t="shared" si="59"/>
        <v>0.8</v>
      </c>
      <c r="AJ30" s="127">
        <f t="shared" si="17"/>
        <v>1</v>
      </c>
      <c r="AM30" s="122">
        <v>0</v>
      </c>
      <c r="AN30" s="101">
        <v>0</v>
      </c>
      <c r="AO30">
        <v>215</v>
      </c>
      <c r="AP30">
        <v>14</v>
      </c>
      <c r="AQ30" s="101">
        <v>12</v>
      </c>
      <c r="AR30" s="101">
        <v>12</v>
      </c>
      <c r="AS30">
        <v>2</v>
      </c>
      <c r="AT30">
        <v>2</v>
      </c>
      <c r="AU30">
        <v>0</v>
      </c>
      <c r="AV30" s="119">
        <v>10</v>
      </c>
      <c r="AW30" s="101">
        <f>($F$18-N30)/$F$18</f>
        <v>1</v>
      </c>
      <c r="AY30" s="101">
        <f>($G$18-AN30)/$G$18</f>
        <v>1</v>
      </c>
      <c r="AZ30" s="101">
        <f>AR30/AQ30</f>
        <v>1</v>
      </c>
      <c r="BA30" s="101">
        <f>AT30/AS30</f>
        <v>1</v>
      </c>
      <c r="BB30" s="85">
        <f>(AW30+AY30+AZ30+BA30)/4</f>
        <v>1</v>
      </c>
      <c r="BC30" s="13">
        <f>AP30/$H$26</f>
        <v>1.4</v>
      </c>
      <c r="BD30" s="118">
        <f>AV30/AP30</f>
        <v>0.7142857142857143</v>
      </c>
      <c r="BE30" s="13">
        <f>AO30/AP30</f>
        <v>15.357142857142858</v>
      </c>
      <c r="BF30" s="13">
        <f>AT30/$H$26</f>
        <v>0.2</v>
      </c>
      <c r="BG30" s="13">
        <f>AR30/$H$26</f>
        <v>1.2</v>
      </c>
      <c r="BQ30" t="str">
        <f t="shared" si="60"/>
        <v>3-2 &amp; k=2 &amp; 1 &amp; 1 &amp; 1 &amp; 1 &amp; 1 &amp; 1 &amp; 1 &amp; 1 &amp; 1 &amp; 8 &amp; 8 &amp; 0.8 &amp; 1 \\ \hline</v>
      </c>
    </row>
    <row r="31" spans="1:69">
      <c r="A31" t="s">
        <v>309</v>
      </c>
      <c r="C31" s="98"/>
      <c r="J31" t="s">
        <v>681</v>
      </c>
      <c r="L31" s="211" t="s">
        <v>687</v>
      </c>
      <c r="M31" s="77"/>
      <c r="O31" s="81">
        <f t="shared" si="47"/>
        <v>21</v>
      </c>
      <c r="P31" s="81">
        <f t="shared" si="48"/>
        <v>21</v>
      </c>
      <c r="Q31" s="129">
        <f t="shared" si="49"/>
        <v>1</v>
      </c>
      <c r="R31" s="129">
        <f t="shared" si="50"/>
        <v>1</v>
      </c>
      <c r="S31" s="127">
        <f t="shared" si="51"/>
        <v>1</v>
      </c>
      <c r="U31" s="81">
        <v>4</v>
      </c>
      <c r="V31" s="81">
        <v>4</v>
      </c>
      <c r="W31" s="129">
        <f t="shared" si="52"/>
        <v>1</v>
      </c>
      <c r="X31" s="129">
        <f t="shared" si="53"/>
        <v>1</v>
      </c>
      <c r="Y31" s="127">
        <f t="shared" si="54"/>
        <v>1</v>
      </c>
      <c r="AA31" s="81">
        <v>21</v>
      </c>
      <c r="AB31" s="81">
        <v>21</v>
      </c>
      <c r="AC31" s="129">
        <f t="shared" si="55"/>
        <v>1</v>
      </c>
      <c r="AD31" s="129">
        <f t="shared" si="56"/>
        <v>1</v>
      </c>
      <c r="AE31" s="127">
        <f t="shared" si="57"/>
        <v>1</v>
      </c>
      <c r="AG31">
        <f t="shared" si="58"/>
        <v>8</v>
      </c>
      <c r="AH31">
        <v>8</v>
      </c>
      <c r="AI31" s="127">
        <f t="shared" si="59"/>
        <v>0.8</v>
      </c>
      <c r="AJ31" s="127">
        <f t="shared" si="17"/>
        <v>1</v>
      </c>
      <c r="BC31" s="13"/>
      <c r="BD31" s="118"/>
      <c r="BE31" s="13"/>
      <c r="BF31" s="13"/>
      <c r="BG31" s="13"/>
      <c r="BQ31" t="str">
        <f t="shared" si="60"/>
        <v>3-2 &amp; k=3 &amp; 1 &amp; 1 &amp; 1 &amp; 1 &amp; 1 &amp; 1 &amp; 1 &amp; 1 &amp; 1 &amp; 8 &amp; 8 &amp; 0.8 &amp; 1 \\ \hline</v>
      </c>
    </row>
    <row r="32" spans="1:69">
      <c r="A32" t="s">
        <v>667</v>
      </c>
      <c r="C32" s="98"/>
      <c r="J32" t="s">
        <v>681</v>
      </c>
      <c r="L32" s="211" t="s">
        <v>687</v>
      </c>
      <c r="M32" s="77"/>
      <c r="O32" s="81">
        <f t="shared" si="47"/>
        <v>21</v>
      </c>
      <c r="P32" s="81">
        <f t="shared" si="48"/>
        <v>21</v>
      </c>
      <c r="Q32" s="129">
        <f t="shared" si="49"/>
        <v>1</v>
      </c>
      <c r="R32" s="129">
        <f t="shared" si="50"/>
        <v>1</v>
      </c>
      <c r="S32" s="127">
        <f t="shared" si="51"/>
        <v>1</v>
      </c>
      <c r="U32" s="81">
        <v>4</v>
      </c>
      <c r="V32" s="81">
        <v>4</v>
      </c>
      <c r="W32" s="129">
        <f t="shared" si="52"/>
        <v>1</v>
      </c>
      <c r="X32" s="129">
        <f t="shared" si="53"/>
        <v>1</v>
      </c>
      <c r="Y32" s="127">
        <f t="shared" si="54"/>
        <v>1</v>
      </c>
      <c r="AA32" s="81">
        <v>21</v>
      </c>
      <c r="AB32" s="81">
        <v>21</v>
      </c>
      <c r="AC32" s="129">
        <f t="shared" si="55"/>
        <v>1</v>
      </c>
      <c r="AD32" s="129">
        <f t="shared" si="56"/>
        <v>1</v>
      </c>
      <c r="AE32" s="127">
        <f t="shared" si="57"/>
        <v>1</v>
      </c>
      <c r="AG32">
        <f t="shared" si="58"/>
        <v>7</v>
      </c>
      <c r="AH32">
        <v>7</v>
      </c>
      <c r="AI32" s="127">
        <f t="shared" si="59"/>
        <v>0.7</v>
      </c>
      <c r="AJ32" s="127">
        <f t="shared" si="17"/>
        <v>1</v>
      </c>
      <c r="BC32" s="13"/>
      <c r="BD32" s="118"/>
      <c r="BE32" s="13"/>
      <c r="BF32" s="13"/>
      <c r="BG32" s="13"/>
      <c r="BQ32" t="str">
        <f t="shared" si="60"/>
        <v>3-2 &amp; k=3 &amp; 1 &amp; 1 &amp; 1 &amp; 1 &amp; 1 &amp; 1 &amp; 1 &amp; 1 &amp; 1 &amp; 7 &amp; 7 &amp; 0.7 &amp; 1 \\ \hline</v>
      </c>
    </row>
    <row r="33" spans="1:69">
      <c r="C33" s="98"/>
      <c r="Q33" s="129"/>
      <c r="R33" s="129"/>
      <c r="S33" s="127"/>
      <c r="W33" s="129"/>
      <c r="X33" s="129"/>
      <c r="Y33" s="127"/>
      <c r="AC33" s="129"/>
      <c r="AD33" s="129"/>
      <c r="AE33" s="127"/>
      <c r="AG33"/>
      <c r="AH33"/>
      <c r="AI33" s="127"/>
      <c r="AJ33" s="127"/>
    </row>
    <row r="34" spans="1:69" s="73" customFormat="1">
      <c r="A34" s="73" t="s">
        <v>314</v>
      </c>
      <c r="B34" s="94">
        <v>45178</v>
      </c>
      <c r="C34" s="93" t="s">
        <v>173</v>
      </c>
      <c r="D34" s="78">
        <f>VLOOKUP($C$34,Overview!$Q$2:$AS$64,23,FALSE)</f>
        <v>0.22869210498506434</v>
      </c>
      <c r="E34" s="78" t="str">
        <f>VLOOKUP($C$34,Overview!$Q$2:$AS$64,24,FALSE)</f>
        <v>low</v>
      </c>
      <c r="F34" s="75">
        <f>VLOOKUP(C34,Overview!$Q$2:$AS$64,13,FALSE)</f>
        <v>19</v>
      </c>
      <c r="G34" s="75">
        <f>VLOOKUP(C34,Overview!$Q$2:$AS$64,16,FALSE)</f>
        <v>9</v>
      </c>
      <c r="H34" s="75">
        <f>VLOOKUP(C34,Overview!$Q$2:$AS$64,18,FALSE)</f>
        <v>8</v>
      </c>
      <c r="I34" s="75">
        <f>VLOOKUP($C$34,Overview!$Q$2:$AS$64,19,FALSE)</f>
        <v>17</v>
      </c>
      <c r="K34" s="157" t="str">
        <f>VLOOKUP($C$34,Overview!$Q$2:$AS$64,5,FALSE)</f>
        <v>6-2, 3-8</v>
      </c>
      <c r="L34" s="91"/>
      <c r="N34" s="114"/>
      <c r="O34" s="80"/>
      <c r="P34" s="80"/>
      <c r="Q34" s="130"/>
      <c r="R34" s="130"/>
      <c r="S34" s="128"/>
      <c r="T34" s="114"/>
      <c r="U34" s="80"/>
      <c r="V34" s="80"/>
      <c r="W34" s="130"/>
      <c r="X34" s="130"/>
      <c r="Y34" s="128"/>
      <c r="Z34" s="114"/>
      <c r="AA34" s="80"/>
      <c r="AB34" s="80"/>
      <c r="AC34" s="130"/>
      <c r="AD34" s="130"/>
      <c r="AE34" s="128"/>
      <c r="AF34" s="114"/>
      <c r="AI34" s="128"/>
      <c r="AJ34" s="127"/>
      <c r="AK34" s="80"/>
      <c r="AL34" s="114"/>
      <c r="AM34" s="121"/>
      <c r="AN34" s="100"/>
      <c r="AQ34" s="100"/>
      <c r="AR34" s="100"/>
      <c r="AV34" s="120"/>
      <c r="AW34" s="100"/>
      <c r="AX34" s="100"/>
      <c r="AY34" s="100"/>
      <c r="AZ34" s="100"/>
      <c r="BA34" s="100"/>
      <c r="BB34" s="84"/>
      <c r="BD34" s="100"/>
      <c r="BQ34"/>
    </row>
    <row r="35" spans="1:69">
      <c r="A35" t="s">
        <v>305</v>
      </c>
      <c r="C35" s="110"/>
      <c r="J35" t="s">
        <v>679</v>
      </c>
      <c r="K35" s="296" t="s">
        <v>787</v>
      </c>
      <c r="L35" s="211" t="s">
        <v>161</v>
      </c>
      <c r="M35" s="77"/>
      <c r="O35" s="81">
        <f t="shared" ref="O35:O40" si="61">P35-0</f>
        <v>17</v>
      </c>
      <c r="P35" s="81">
        <f>$F$34-2</f>
        <v>17</v>
      </c>
      <c r="Q35" s="129">
        <f t="shared" ref="Q35:Q40" si="62">O35/$F$34</f>
        <v>0.89473684210526316</v>
      </c>
      <c r="R35" s="129">
        <f t="shared" ref="R35:R40" si="63">O35/P35</f>
        <v>1</v>
      </c>
      <c r="S35" s="127">
        <f t="shared" ref="S35:S40" si="64">2*(Q35*R35)/(Q35+R35)</f>
        <v>0.94444444444444442</v>
      </c>
      <c r="U35" s="81">
        <f t="shared" ref="U35:U40" si="65">V35-0</f>
        <v>9</v>
      </c>
      <c r="V35" s="81">
        <f>$G$34-0</f>
        <v>9</v>
      </c>
      <c r="W35" s="129">
        <f t="shared" ref="W35:W40" si="66">U35/$G$34</f>
        <v>1</v>
      </c>
      <c r="X35" s="129">
        <f t="shared" ref="X35:X40" si="67">U35/V35</f>
        <v>1</v>
      </c>
      <c r="Y35" s="127">
        <f t="shared" ref="Y35:Y40" si="68">2*(W35*X35)/(W35+X35)</f>
        <v>1</v>
      </c>
      <c r="AA35" s="81">
        <f t="shared" ref="AA35:AA40" si="69">AB35-0</f>
        <v>17</v>
      </c>
      <c r="AB35" s="81">
        <f>$I$34-0</f>
        <v>17</v>
      </c>
      <c r="AC35" s="129">
        <f t="shared" ref="AC35:AC40" si="70">AA35/$I$34</f>
        <v>1</v>
      </c>
      <c r="AD35" s="129">
        <f t="shared" ref="AD35:AD40" si="71">AA35/AB35</f>
        <v>1</v>
      </c>
      <c r="AE35" s="127">
        <f t="shared" ref="AE35:AE40" si="72">2*(AC35*AD35)/(AC35+AD35)</f>
        <v>1</v>
      </c>
      <c r="AG35">
        <f t="shared" ref="AG35:AG40" si="73">AH35-0</f>
        <v>9</v>
      </c>
      <c r="AH35">
        <v>9</v>
      </c>
      <c r="AI35" s="127">
        <f t="shared" ref="AI35:AI40" si="74">AG35/$H$34</f>
        <v>1.125</v>
      </c>
      <c r="AJ35" s="127">
        <f t="shared" si="17"/>
        <v>1</v>
      </c>
      <c r="AM35" s="122">
        <v>0</v>
      </c>
      <c r="AN35" s="101">
        <v>0</v>
      </c>
      <c r="AO35">
        <v>276</v>
      </c>
      <c r="AP35">
        <v>13</v>
      </c>
      <c r="AQ35" s="101">
        <v>11</v>
      </c>
      <c r="AR35" s="101">
        <v>11</v>
      </c>
      <c r="AS35">
        <v>2</v>
      </c>
      <c r="AT35">
        <v>2</v>
      </c>
      <c r="AU35">
        <v>0</v>
      </c>
      <c r="AV35" s="119">
        <v>10</v>
      </c>
      <c r="AW35" s="101">
        <f>($F$34-N35)/$F$34</f>
        <v>1</v>
      </c>
      <c r="AY35" s="101">
        <f>($G$34-AN35)/$G$34</f>
        <v>1</v>
      </c>
      <c r="AZ35" s="101">
        <f>AR35/AQ35</f>
        <v>1</v>
      </c>
      <c r="BA35" s="101">
        <f>AT35/AS35</f>
        <v>1</v>
      </c>
      <c r="BB35" s="85">
        <f>(AW35+AY35+AZ35+BA35)/4</f>
        <v>1</v>
      </c>
      <c r="BC35" s="13">
        <f>AP35/$H$34</f>
        <v>1.625</v>
      </c>
      <c r="BD35" s="118">
        <f>AV35/AP35</f>
        <v>0.76923076923076927</v>
      </c>
      <c r="BE35" s="13">
        <f>AO35/AP35</f>
        <v>21.23076923076923</v>
      </c>
      <c r="BF35" s="13">
        <f>AT35/$H$34</f>
        <v>0.25</v>
      </c>
      <c r="BG35" s="13">
        <f>AR35/$H$34</f>
        <v>1.375</v>
      </c>
      <c r="BQ35" t="str">
        <f>_xlfn.CONCAT($C$34," &amp; ",J35," &amp; ",Q35," &amp; ",R35," &amp; ",S35," &amp; ",W35," &amp; ",X35," &amp; ",Y35," &amp; ",AC35," &amp; ",AD35," &amp; ",AE35," &amp; ",AG35," &amp; ",AH35," &amp; ",AI35," &amp; ",AJ35, " \\ \hline")</f>
        <v>10-5 &amp; k=1 &amp; 0.894736842105263 &amp; 1 &amp; 0.944444444444444 &amp; 1 &amp; 1 &amp; 1 &amp; 1 &amp; 1 &amp; 1 &amp; 9 &amp; 9 &amp; 1.125 &amp; 1 \\ \hline</v>
      </c>
    </row>
    <row r="36" spans="1:69">
      <c r="A36" t="s">
        <v>306</v>
      </c>
      <c r="C36" s="98"/>
      <c r="J36" t="s">
        <v>679</v>
      </c>
      <c r="L36" s="211" t="s">
        <v>161</v>
      </c>
      <c r="M36" s="109"/>
      <c r="O36" s="81">
        <f t="shared" si="61"/>
        <v>17</v>
      </c>
      <c r="P36" s="81">
        <f>$F$34-2</f>
        <v>17</v>
      </c>
      <c r="Q36" s="129">
        <f t="shared" si="62"/>
        <v>0.89473684210526316</v>
      </c>
      <c r="R36" s="129">
        <f t="shared" si="63"/>
        <v>1</v>
      </c>
      <c r="S36" s="127">
        <f t="shared" si="64"/>
        <v>0.94444444444444442</v>
      </c>
      <c r="U36" s="81">
        <f t="shared" si="65"/>
        <v>9</v>
      </c>
      <c r="V36" s="81">
        <f>$G$34-0</f>
        <v>9</v>
      </c>
      <c r="W36" s="129">
        <f t="shared" si="66"/>
        <v>1</v>
      </c>
      <c r="X36" s="129">
        <f t="shared" si="67"/>
        <v>1</v>
      </c>
      <c r="Y36" s="127">
        <f t="shared" si="68"/>
        <v>1</v>
      </c>
      <c r="AA36" s="81">
        <f t="shared" si="69"/>
        <v>15</v>
      </c>
      <c r="AB36" s="81">
        <f>$I$34-2</f>
        <v>15</v>
      </c>
      <c r="AC36" s="129">
        <f t="shared" si="70"/>
        <v>0.88235294117647056</v>
      </c>
      <c r="AD36" s="129">
        <f t="shared" si="71"/>
        <v>1</v>
      </c>
      <c r="AE36" s="127">
        <f t="shared" si="72"/>
        <v>0.9375</v>
      </c>
      <c r="AG36">
        <f t="shared" si="73"/>
        <v>10</v>
      </c>
      <c r="AH36">
        <v>10</v>
      </c>
      <c r="AI36" s="127">
        <f t="shared" si="74"/>
        <v>1.25</v>
      </c>
      <c r="AJ36" s="127">
        <f t="shared" si="17"/>
        <v>1</v>
      </c>
      <c r="AM36" s="122">
        <v>0</v>
      </c>
      <c r="AN36" s="101">
        <v>0</v>
      </c>
      <c r="AO36">
        <v>295</v>
      </c>
      <c r="AP36">
        <v>17</v>
      </c>
      <c r="AQ36" s="101">
        <v>10</v>
      </c>
      <c r="AR36" s="101">
        <v>10</v>
      </c>
      <c r="AS36">
        <v>5</v>
      </c>
      <c r="AT36">
        <v>5</v>
      </c>
      <c r="AU36">
        <v>0</v>
      </c>
      <c r="AV36" s="119">
        <v>7</v>
      </c>
      <c r="AW36" s="101">
        <f>($F$18-N36)/$F$18</f>
        <v>1</v>
      </c>
      <c r="AY36" s="101">
        <f>($G$18-AN36)/$G$18</f>
        <v>1</v>
      </c>
      <c r="AZ36" s="101">
        <f>AR36/AQ36</f>
        <v>1</v>
      </c>
      <c r="BA36" s="101">
        <f>AT36/AS36</f>
        <v>1</v>
      </c>
      <c r="BB36" s="85">
        <f>(AW36+AY36+AZ36+BA36)/4</f>
        <v>1</v>
      </c>
      <c r="BC36" s="13">
        <f>AP36/$H$34</f>
        <v>2.125</v>
      </c>
      <c r="BD36" s="118">
        <f>AV36/AP36</f>
        <v>0.41176470588235292</v>
      </c>
      <c r="BE36" s="13">
        <f>AO36/AP36</f>
        <v>17.352941176470587</v>
      </c>
      <c r="BF36" s="13">
        <f>AT36/$H$34</f>
        <v>0.625</v>
      </c>
      <c r="BG36" s="13">
        <f>AR36/$H$34</f>
        <v>1.25</v>
      </c>
      <c r="BQ36" t="str">
        <f t="shared" ref="BQ36:BQ39" si="75">_xlfn.CONCAT($C$34," &amp; ",J36," &amp; ",Q36," &amp; ",R36," &amp; ",S36," &amp; ",W36," &amp; ",X36," &amp; ",Y36," &amp; ",AC36," &amp; ",AD36," &amp; ",AE36," &amp; ",AG36," &amp; ",AH36," &amp; ",AI36," &amp; ",AJ36, " \\ \hline")</f>
        <v>10-5 &amp; k=1 &amp; 0.894736842105263 &amp; 1 &amp; 0.944444444444444 &amp; 1 &amp; 1 &amp; 1 &amp; 0.882352941176471 &amp; 1 &amp; 0.9375 &amp; 10 &amp; 10 &amp; 1.25 &amp; 1 \\ \hline</v>
      </c>
    </row>
    <row r="37" spans="1:69">
      <c r="A37" t="s">
        <v>307</v>
      </c>
      <c r="C37" s="98"/>
      <c r="J37" t="s">
        <v>680</v>
      </c>
      <c r="L37" s="211" t="s">
        <v>688</v>
      </c>
      <c r="M37" s="77"/>
      <c r="O37" s="81">
        <f t="shared" si="61"/>
        <v>16</v>
      </c>
      <c r="P37" s="81">
        <f>$F$34-3</f>
        <v>16</v>
      </c>
      <c r="Q37" s="129">
        <f t="shared" si="62"/>
        <v>0.84210526315789469</v>
      </c>
      <c r="R37" s="129">
        <f t="shared" si="63"/>
        <v>1</v>
      </c>
      <c r="S37" s="127">
        <f t="shared" si="64"/>
        <v>0.91428571428571426</v>
      </c>
      <c r="U37" s="81">
        <f t="shared" si="65"/>
        <v>8</v>
      </c>
      <c r="V37" s="81">
        <f>$G$34-1</f>
        <v>8</v>
      </c>
      <c r="W37" s="129">
        <f t="shared" si="66"/>
        <v>0.88888888888888884</v>
      </c>
      <c r="X37" s="129">
        <f t="shared" si="67"/>
        <v>1</v>
      </c>
      <c r="Y37" s="127">
        <f t="shared" si="68"/>
        <v>0.94117647058823528</v>
      </c>
      <c r="AA37" s="81">
        <f t="shared" si="69"/>
        <v>14</v>
      </c>
      <c r="AB37" s="81">
        <f>$I$34-3</f>
        <v>14</v>
      </c>
      <c r="AC37" s="129">
        <f t="shared" si="70"/>
        <v>0.82352941176470584</v>
      </c>
      <c r="AD37" s="129">
        <f t="shared" si="71"/>
        <v>1</v>
      </c>
      <c r="AE37" s="127">
        <f t="shared" si="72"/>
        <v>0.90322580645161288</v>
      </c>
      <c r="AG37">
        <f t="shared" si="73"/>
        <v>10</v>
      </c>
      <c r="AH37">
        <v>10</v>
      </c>
      <c r="AI37" s="127">
        <f t="shared" si="74"/>
        <v>1.25</v>
      </c>
      <c r="AJ37" s="127">
        <f t="shared" si="17"/>
        <v>1</v>
      </c>
      <c r="AM37" s="122">
        <v>0</v>
      </c>
      <c r="AN37" s="101">
        <v>0</v>
      </c>
      <c r="AO37">
        <v>344</v>
      </c>
      <c r="AP37">
        <v>19</v>
      </c>
      <c r="AQ37" s="101">
        <v>13</v>
      </c>
      <c r="AR37" s="101">
        <v>13</v>
      </c>
      <c r="AS37">
        <v>5</v>
      </c>
      <c r="AT37">
        <v>5</v>
      </c>
      <c r="AU37">
        <v>0</v>
      </c>
      <c r="AV37" s="119">
        <v>7</v>
      </c>
      <c r="AW37" s="101">
        <f>($F$18-N37)/$F$18</f>
        <v>1</v>
      </c>
      <c r="AY37" s="101">
        <f>($G$18-AN37)/$G$18</f>
        <v>1</v>
      </c>
      <c r="AZ37" s="101">
        <f>AR37/AQ37</f>
        <v>1</v>
      </c>
      <c r="BA37" s="101">
        <f>AT37/AS37</f>
        <v>1</v>
      </c>
      <c r="BB37" s="85">
        <f>(AW37+AY37+AZ37+BA37)/4</f>
        <v>1</v>
      </c>
      <c r="BC37" s="13">
        <f>AP37/$H$34</f>
        <v>2.375</v>
      </c>
      <c r="BD37" s="118">
        <f>AV37/AP37</f>
        <v>0.36842105263157893</v>
      </c>
      <c r="BE37" s="13">
        <f>AO37/AP37</f>
        <v>18.105263157894736</v>
      </c>
      <c r="BF37" s="13">
        <f>AT37/$H$34</f>
        <v>0.625</v>
      </c>
      <c r="BG37" s="13">
        <f>AR37/$H$34</f>
        <v>1.625</v>
      </c>
      <c r="BQ37" t="str">
        <f t="shared" si="75"/>
        <v>10-5 &amp; k=2 &amp; 0.842105263157895 &amp; 1 &amp; 0.914285714285714 &amp; 0.888888888888889 &amp; 1 &amp; 0.941176470588235 &amp; 0.823529411764706 &amp; 1 &amp; 0.903225806451613 &amp; 10 &amp; 10 &amp; 1.25 &amp; 1 \\ \hline</v>
      </c>
    </row>
    <row r="38" spans="1:69">
      <c r="A38" t="s">
        <v>308</v>
      </c>
      <c r="C38" s="98"/>
      <c r="J38" t="s">
        <v>680</v>
      </c>
      <c r="L38" s="211" t="s">
        <v>688</v>
      </c>
      <c r="M38" s="77"/>
      <c r="O38" s="81">
        <f t="shared" si="61"/>
        <v>18</v>
      </c>
      <c r="P38" s="81">
        <f>$F$34-1</f>
        <v>18</v>
      </c>
      <c r="Q38" s="129">
        <f t="shared" si="62"/>
        <v>0.94736842105263153</v>
      </c>
      <c r="R38" s="129">
        <f t="shared" si="63"/>
        <v>1</v>
      </c>
      <c r="S38" s="127">
        <f t="shared" si="64"/>
        <v>0.97297297297297303</v>
      </c>
      <c r="U38" s="81">
        <f t="shared" si="65"/>
        <v>9</v>
      </c>
      <c r="V38" s="81">
        <f>$G$34-0</f>
        <v>9</v>
      </c>
      <c r="W38" s="129">
        <f t="shared" si="66"/>
        <v>1</v>
      </c>
      <c r="X38" s="129">
        <f t="shared" si="67"/>
        <v>1</v>
      </c>
      <c r="Y38" s="127">
        <f t="shared" si="68"/>
        <v>1</v>
      </c>
      <c r="AA38" s="81">
        <f t="shared" si="69"/>
        <v>16</v>
      </c>
      <c r="AB38" s="81">
        <f>$I$34-1</f>
        <v>16</v>
      </c>
      <c r="AC38" s="129">
        <f t="shared" si="70"/>
        <v>0.94117647058823528</v>
      </c>
      <c r="AD38" s="129">
        <f t="shared" si="71"/>
        <v>1</v>
      </c>
      <c r="AE38" s="127">
        <f t="shared" si="72"/>
        <v>0.96969696969696972</v>
      </c>
      <c r="AG38">
        <f t="shared" si="73"/>
        <v>10</v>
      </c>
      <c r="AH38">
        <v>10</v>
      </c>
      <c r="AI38" s="127">
        <f t="shared" si="74"/>
        <v>1.25</v>
      </c>
      <c r="AJ38" s="127">
        <f t="shared" si="17"/>
        <v>1</v>
      </c>
      <c r="AM38" s="122">
        <v>0</v>
      </c>
      <c r="AN38" s="101">
        <v>0</v>
      </c>
      <c r="AO38">
        <v>323</v>
      </c>
      <c r="AP38">
        <v>16</v>
      </c>
      <c r="AQ38" s="101">
        <v>9</v>
      </c>
      <c r="AR38" s="101">
        <v>9</v>
      </c>
      <c r="AS38">
        <v>7</v>
      </c>
      <c r="AT38">
        <v>7</v>
      </c>
      <c r="AU38">
        <v>0</v>
      </c>
      <c r="AV38" s="119">
        <v>11</v>
      </c>
      <c r="AW38" s="101">
        <f>($F$18-N38)/$F$18</f>
        <v>1</v>
      </c>
      <c r="AY38" s="101">
        <f>($G$18-AN38)/$G$18</f>
        <v>1</v>
      </c>
      <c r="AZ38" s="101">
        <f>AR38/AQ38</f>
        <v>1</v>
      </c>
      <c r="BA38" s="101">
        <f>AT38/AS38</f>
        <v>1</v>
      </c>
      <c r="BB38" s="85">
        <f>(AW38+AY38+AZ38+BA38)/4</f>
        <v>1</v>
      </c>
      <c r="BC38" s="13">
        <f>AP38/$H$34</f>
        <v>2</v>
      </c>
      <c r="BD38" s="118">
        <f>AV38/AP38</f>
        <v>0.6875</v>
      </c>
      <c r="BE38" s="13">
        <f>AO38/AP38</f>
        <v>20.1875</v>
      </c>
      <c r="BF38" s="13">
        <f>AT38/$H$34</f>
        <v>0.875</v>
      </c>
      <c r="BG38" s="13">
        <f>AR38/$H$34</f>
        <v>1.125</v>
      </c>
      <c r="BQ38" t="str">
        <f t="shared" si="75"/>
        <v>10-5 &amp; k=2 &amp; 0.947368421052632 &amp; 1 &amp; 0.972972972972973 &amp; 1 &amp; 1 &amp; 1 &amp; 0.941176470588235 &amp; 1 &amp; 0.96969696969697 &amp; 10 &amp; 10 &amp; 1.25 &amp; 1 \\ \hline</v>
      </c>
    </row>
    <row r="39" spans="1:69">
      <c r="A39" t="s">
        <v>309</v>
      </c>
      <c r="C39" s="98"/>
      <c r="J39" t="s">
        <v>681</v>
      </c>
      <c r="L39" s="211" t="s">
        <v>689</v>
      </c>
      <c r="M39" s="77"/>
      <c r="O39" s="81">
        <f t="shared" si="61"/>
        <v>18</v>
      </c>
      <c r="P39" s="81">
        <f>$F$34-1</f>
        <v>18</v>
      </c>
      <c r="Q39" s="129">
        <f t="shared" si="62"/>
        <v>0.94736842105263153</v>
      </c>
      <c r="R39" s="129">
        <f t="shared" si="63"/>
        <v>1</v>
      </c>
      <c r="S39" s="127">
        <f t="shared" si="64"/>
        <v>0.97297297297297303</v>
      </c>
      <c r="U39" s="81">
        <f t="shared" si="65"/>
        <v>9</v>
      </c>
      <c r="V39" s="81">
        <f>$G$34-0</f>
        <v>9</v>
      </c>
      <c r="W39" s="129">
        <f t="shared" si="66"/>
        <v>1</v>
      </c>
      <c r="X39" s="129">
        <f t="shared" si="67"/>
        <v>1</v>
      </c>
      <c r="Y39" s="127">
        <f t="shared" si="68"/>
        <v>1</v>
      </c>
      <c r="AA39" s="81">
        <f t="shared" si="69"/>
        <v>16</v>
      </c>
      <c r="AB39" s="81">
        <f>$I$34-1</f>
        <v>16</v>
      </c>
      <c r="AC39" s="129">
        <f t="shared" si="70"/>
        <v>0.94117647058823528</v>
      </c>
      <c r="AD39" s="129">
        <f t="shared" si="71"/>
        <v>1</v>
      </c>
      <c r="AE39" s="127">
        <f t="shared" si="72"/>
        <v>0.96969696969696972</v>
      </c>
      <c r="AG39">
        <f t="shared" si="73"/>
        <v>11</v>
      </c>
      <c r="AH39">
        <v>11</v>
      </c>
      <c r="AI39" s="127">
        <f t="shared" si="74"/>
        <v>1.375</v>
      </c>
      <c r="AJ39" s="127">
        <f t="shared" si="17"/>
        <v>1</v>
      </c>
      <c r="BC39" s="13"/>
      <c r="BD39" s="118"/>
      <c r="BE39" s="13"/>
      <c r="BF39" s="13"/>
      <c r="BG39" s="13"/>
      <c r="BQ39" t="str">
        <f t="shared" si="75"/>
        <v>10-5 &amp; k=3 &amp; 0.947368421052632 &amp; 1 &amp; 0.972972972972973 &amp; 1 &amp; 1 &amp; 1 &amp; 0.941176470588235 &amp; 1 &amp; 0.96969696969697 &amp; 11 &amp; 11 &amp; 1.375 &amp; 1 \\ \hline</v>
      </c>
    </row>
    <row r="40" spans="1:69">
      <c r="A40" t="s">
        <v>667</v>
      </c>
      <c r="C40" s="98"/>
      <c r="J40" t="s">
        <v>681</v>
      </c>
      <c r="L40" s="211" t="s">
        <v>689</v>
      </c>
      <c r="M40" s="77"/>
      <c r="O40" s="81">
        <f t="shared" si="61"/>
        <v>18</v>
      </c>
      <c r="P40" s="81">
        <f>$F$34-1</f>
        <v>18</v>
      </c>
      <c r="Q40" s="129">
        <f t="shared" si="62"/>
        <v>0.94736842105263153</v>
      </c>
      <c r="R40" s="129">
        <f t="shared" si="63"/>
        <v>1</v>
      </c>
      <c r="S40" s="127">
        <f t="shared" si="64"/>
        <v>0.97297297297297303</v>
      </c>
      <c r="U40" s="81">
        <f t="shared" si="65"/>
        <v>9</v>
      </c>
      <c r="V40" s="81">
        <f>$G$34-0</f>
        <v>9</v>
      </c>
      <c r="W40" s="129">
        <f t="shared" si="66"/>
        <v>1</v>
      </c>
      <c r="X40" s="129">
        <f t="shared" si="67"/>
        <v>1</v>
      </c>
      <c r="Y40" s="127">
        <f t="shared" si="68"/>
        <v>1</v>
      </c>
      <c r="AA40" s="81">
        <f t="shared" si="69"/>
        <v>16</v>
      </c>
      <c r="AB40" s="81">
        <f>$I$34-1</f>
        <v>16</v>
      </c>
      <c r="AC40" s="129">
        <f t="shared" si="70"/>
        <v>0.94117647058823528</v>
      </c>
      <c r="AD40" s="129">
        <f t="shared" si="71"/>
        <v>1</v>
      </c>
      <c r="AE40" s="127">
        <f t="shared" si="72"/>
        <v>0.96969696969696972</v>
      </c>
      <c r="AG40">
        <f t="shared" si="73"/>
        <v>12</v>
      </c>
      <c r="AH40">
        <v>12</v>
      </c>
      <c r="AI40" s="127">
        <f t="shared" si="74"/>
        <v>1.5</v>
      </c>
      <c r="AJ40" s="127">
        <f t="shared" si="17"/>
        <v>1</v>
      </c>
      <c r="BC40" s="13"/>
      <c r="BD40" s="118"/>
      <c r="BE40" s="13"/>
      <c r="BF40" s="13"/>
      <c r="BG40" s="13"/>
      <c r="BQ40" t="str">
        <f>_xlfn.CONCAT($C$34," &amp; ",J40," &amp; ",Q40," &amp; ",R40," &amp; ",S40," &amp; ",W40," &amp; ",X40," &amp; ",Y40," &amp; ",AC40," &amp; ",AD40," &amp; ",AE40," &amp; ",AG40," &amp; ",AH40," &amp; ",AI40," &amp; ",AJ40, " \\ \hline")</f>
        <v>10-5 &amp; k=3 &amp; 0.947368421052632 &amp; 1 &amp; 0.972972972972973 &amp; 1 &amp; 1 &amp; 1 &amp; 0.941176470588235 &amp; 1 &amp; 0.96969696969697 &amp; 12 &amp; 12 &amp; 1.5 &amp; 1 \\ \hline</v>
      </c>
    </row>
    <row r="41" spans="1:69">
      <c r="C41" s="98"/>
      <c r="L41" s="174"/>
      <c r="M41" s="77"/>
      <c r="Q41" s="129"/>
      <c r="R41" s="129"/>
      <c r="S41" s="127"/>
      <c r="W41" s="129"/>
      <c r="X41" s="129"/>
      <c r="Y41" s="127"/>
      <c r="AC41" s="129"/>
      <c r="AD41" s="129"/>
      <c r="AE41" s="127"/>
      <c r="AG41"/>
      <c r="AH41"/>
      <c r="AI41" s="127"/>
      <c r="AJ41" s="127"/>
      <c r="BC41" s="13"/>
      <c r="BD41" s="118"/>
      <c r="BE41" s="13"/>
      <c r="BF41" s="13"/>
      <c r="BG41" s="13"/>
    </row>
    <row r="42" spans="1:69" s="73" customFormat="1">
      <c r="A42" s="73" t="s">
        <v>345</v>
      </c>
      <c r="B42" s="94">
        <v>45178</v>
      </c>
      <c r="C42" s="99" t="s">
        <v>152</v>
      </c>
      <c r="D42" s="78">
        <f>VLOOKUP($C$42,Overview!$Q$2:$AS$64,23,FALSE)</f>
        <v>0.27921546848638013</v>
      </c>
      <c r="E42" s="78" t="str">
        <f>VLOOKUP($C$42,Overview!$Q$2:$AS$64,24,FALSE)</f>
        <v>low</v>
      </c>
      <c r="F42" s="75">
        <f>VLOOKUP(C42,Overview!$Q$2:$AS$64,13,FALSE)</f>
        <v>20</v>
      </c>
      <c r="G42" s="75">
        <f>VLOOKUP(C42,Overview!$Q$2:$AS$64,16,FALSE)</f>
        <v>8</v>
      </c>
      <c r="H42" s="75">
        <f>VLOOKUP(C42,Overview!$Q$2:$AS$64,18,FALSE)</f>
        <v>8</v>
      </c>
      <c r="I42" s="75">
        <f>VLOOKUP($C$42,Overview!$Q$2:$AS$64,19,FALSE)</f>
        <v>16</v>
      </c>
      <c r="K42" s="294" t="str">
        <f>VLOOKUP($C$42,Overview!$Q$2:$AS$64,5,FALSE)</f>
        <v>6-2, 3-8</v>
      </c>
      <c r="L42" s="293" t="s">
        <v>786</v>
      </c>
      <c r="N42" s="114"/>
      <c r="O42" s="80"/>
      <c r="P42" s="80"/>
      <c r="Q42" s="130"/>
      <c r="R42" s="130"/>
      <c r="S42" s="128"/>
      <c r="T42" s="114"/>
      <c r="U42" s="80"/>
      <c r="V42" s="80"/>
      <c r="W42" s="130"/>
      <c r="X42" s="130"/>
      <c r="Y42" s="128"/>
      <c r="Z42" s="114"/>
      <c r="AA42" s="80"/>
      <c r="AB42" s="80"/>
      <c r="AC42" s="130"/>
      <c r="AD42" s="130"/>
      <c r="AE42" s="128"/>
      <c r="AF42" s="114"/>
      <c r="AI42" s="128"/>
      <c r="AJ42" s="127"/>
      <c r="AK42" s="80"/>
      <c r="AL42" s="114"/>
      <c r="AM42" s="121"/>
      <c r="AN42" s="100"/>
      <c r="AQ42" s="100"/>
      <c r="AR42" s="100"/>
      <c r="AV42" s="120"/>
      <c r="AW42" s="100"/>
      <c r="AX42" s="100"/>
      <c r="AY42" s="100"/>
      <c r="AZ42" s="100"/>
      <c r="BA42" s="100"/>
      <c r="BB42" s="84"/>
      <c r="BD42" s="100"/>
      <c r="BQ42"/>
    </row>
    <row r="43" spans="1:69">
      <c r="A43" t="s">
        <v>305</v>
      </c>
      <c r="C43" s="98"/>
      <c r="J43" t="s">
        <v>679</v>
      </c>
      <c r="K43" s="296" t="s">
        <v>787</v>
      </c>
      <c r="L43" s="210" t="s">
        <v>149</v>
      </c>
      <c r="M43" s="77"/>
      <c r="O43" s="81">
        <f t="shared" ref="O43:O48" si="76">P43-0</f>
        <v>20</v>
      </c>
      <c r="P43" s="81">
        <f t="shared" ref="P43:P48" si="77">$F$42-0</f>
        <v>20</v>
      </c>
      <c r="Q43" s="129">
        <f t="shared" ref="Q43:Q48" si="78">O43/$F$42</f>
        <v>1</v>
      </c>
      <c r="R43" s="129">
        <f t="shared" ref="R43:R48" si="79">O43/P43</f>
        <v>1</v>
      </c>
      <c r="S43" s="127">
        <f t="shared" ref="S43:S48" si="80">2*(Q43*R43)/(Q43+R43)</f>
        <v>1</v>
      </c>
      <c r="U43" s="81">
        <f t="shared" ref="U43:U48" si="81">V43-0</f>
        <v>8</v>
      </c>
      <c r="V43" s="81">
        <f t="shared" ref="V43:V48" si="82">$G$42-0</f>
        <v>8</v>
      </c>
      <c r="W43" s="129">
        <f t="shared" ref="W43:W48" si="83">U43/$G$42</f>
        <v>1</v>
      </c>
      <c r="X43" s="129">
        <f t="shared" ref="X43:X48" si="84">U43/V43</f>
        <v>1</v>
      </c>
      <c r="Y43" s="127">
        <f t="shared" ref="Y43:Y48" si="85">2*(W43*X43)/(W43+X43)</f>
        <v>1</v>
      </c>
      <c r="AA43" s="81">
        <f t="shared" ref="AA43:AA48" si="86">AB43-0</f>
        <v>16</v>
      </c>
      <c r="AB43" s="81">
        <f t="shared" ref="AB43:AB48" si="87">$I$42-0</f>
        <v>16</v>
      </c>
      <c r="AC43" s="129">
        <f t="shared" ref="AC43:AC48" si="88">AA43/$I$42</f>
        <v>1</v>
      </c>
      <c r="AD43" s="129">
        <f t="shared" ref="AD43:AD48" si="89">AA43/AB43</f>
        <v>1</v>
      </c>
      <c r="AE43" s="127">
        <f t="shared" ref="AE43:AE48" si="90">2*(AC43*AD43)/(AC43+AD43)</f>
        <v>1</v>
      </c>
      <c r="AG43">
        <f t="shared" ref="AG43:AG48" si="91">AH43-0</f>
        <v>3</v>
      </c>
      <c r="AH43">
        <v>3</v>
      </c>
      <c r="AI43" s="127">
        <f t="shared" ref="AI43:AI48" si="92">AG43/$H$42</f>
        <v>0.375</v>
      </c>
      <c r="AJ43" s="127">
        <f t="shared" si="17"/>
        <v>1</v>
      </c>
      <c r="AM43" s="122">
        <v>0</v>
      </c>
      <c r="AN43" s="101">
        <v>0</v>
      </c>
      <c r="AO43">
        <v>255</v>
      </c>
      <c r="AP43">
        <v>12</v>
      </c>
      <c r="AQ43" s="101">
        <v>9</v>
      </c>
      <c r="AR43" s="101">
        <v>9</v>
      </c>
      <c r="AS43">
        <v>2</v>
      </c>
      <c r="AT43">
        <v>2</v>
      </c>
      <c r="AU43">
        <v>1</v>
      </c>
      <c r="AV43" s="119">
        <v>7</v>
      </c>
      <c r="AW43" s="101">
        <f>($F$42-N43)/$F$42</f>
        <v>1</v>
      </c>
      <c r="AY43" s="101">
        <f>($G$42-AN43)/$G$42</f>
        <v>1</v>
      </c>
      <c r="AZ43" s="101">
        <f>AR43/AQ43</f>
        <v>1</v>
      </c>
      <c r="BA43" s="101">
        <f>AT43/AS43</f>
        <v>1</v>
      </c>
      <c r="BB43" s="85">
        <f>(AW43+AY43+AZ43+BA43)/4</f>
        <v>1</v>
      </c>
      <c r="BC43" s="13">
        <f>AP43/$H$42</f>
        <v>1.5</v>
      </c>
      <c r="BD43" s="118">
        <f>AV43/AP43</f>
        <v>0.58333333333333337</v>
      </c>
      <c r="BE43" s="13">
        <f>AO43/AP43</f>
        <v>21.25</v>
      </c>
      <c r="BF43" s="13">
        <f>AT43/$H$42</f>
        <v>0.25</v>
      </c>
      <c r="BG43" s="13">
        <f>AR43/$H$42</f>
        <v>1.125</v>
      </c>
      <c r="BQ43" t="str">
        <f>_xlfn.CONCAT($C$42," &amp; ",J43," &amp; ",Q43," &amp; ",R43," &amp; ",S43," &amp; ",W43," &amp; ",X43," &amp; ",Y43," &amp; ",AC43," &amp; ",AD43," &amp; ",AE43," &amp; ",AG43," &amp; ",AH43," &amp; ",AI43," &amp; ",AJ43, " \\ \hline")</f>
        <v>5-2 &amp; k=1 &amp; 1 &amp; 1 &amp; 1 &amp; 1 &amp; 1 &amp; 1 &amp; 1 &amp; 1 &amp; 1 &amp; 3 &amp; 3 &amp; 0.375 &amp; 1 \\ \hline</v>
      </c>
    </row>
    <row r="44" spans="1:69">
      <c r="A44" t="s">
        <v>306</v>
      </c>
      <c r="C44" s="98"/>
      <c r="J44" t="s">
        <v>679</v>
      </c>
      <c r="L44" s="211" t="s">
        <v>149</v>
      </c>
      <c r="M44" s="77"/>
      <c r="O44" s="81">
        <f t="shared" si="76"/>
        <v>20</v>
      </c>
      <c r="P44" s="81">
        <f t="shared" si="77"/>
        <v>20</v>
      </c>
      <c r="Q44" s="129">
        <f t="shared" si="78"/>
        <v>1</v>
      </c>
      <c r="R44" s="129">
        <f t="shared" si="79"/>
        <v>1</v>
      </c>
      <c r="S44" s="127">
        <f t="shared" si="80"/>
        <v>1</v>
      </c>
      <c r="U44" s="81">
        <f t="shared" si="81"/>
        <v>8</v>
      </c>
      <c r="V44" s="81">
        <f t="shared" si="82"/>
        <v>8</v>
      </c>
      <c r="W44" s="129">
        <f t="shared" si="83"/>
        <v>1</v>
      </c>
      <c r="X44" s="129">
        <f t="shared" si="84"/>
        <v>1</v>
      </c>
      <c r="Y44" s="127">
        <f t="shared" si="85"/>
        <v>1</v>
      </c>
      <c r="AA44" s="81">
        <f t="shared" si="86"/>
        <v>16</v>
      </c>
      <c r="AB44" s="81">
        <f t="shared" si="87"/>
        <v>16</v>
      </c>
      <c r="AC44" s="129">
        <f t="shared" si="88"/>
        <v>1</v>
      </c>
      <c r="AD44" s="129">
        <f t="shared" si="89"/>
        <v>1</v>
      </c>
      <c r="AE44" s="127">
        <f t="shared" si="90"/>
        <v>1</v>
      </c>
      <c r="AG44">
        <f t="shared" si="91"/>
        <v>3</v>
      </c>
      <c r="AH44">
        <v>3</v>
      </c>
      <c r="AI44" s="127">
        <f t="shared" si="92"/>
        <v>0.375</v>
      </c>
      <c r="AJ44" s="127">
        <f t="shared" si="17"/>
        <v>1</v>
      </c>
      <c r="AM44" s="122">
        <v>0</v>
      </c>
      <c r="AN44" s="101">
        <v>0</v>
      </c>
      <c r="AO44">
        <v>253</v>
      </c>
      <c r="AP44">
        <v>18</v>
      </c>
      <c r="AQ44" s="101">
        <v>9</v>
      </c>
      <c r="AR44" s="101">
        <v>9</v>
      </c>
      <c r="AS44">
        <v>3</v>
      </c>
      <c r="AT44">
        <v>3</v>
      </c>
      <c r="AU44">
        <v>1</v>
      </c>
      <c r="AV44" s="119">
        <v>7</v>
      </c>
      <c r="AW44" s="101">
        <f>($F$42-N44)/$F$42</f>
        <v>1</v>
      </c>
      <c r="AY44" s="101">
        <f>($G$42-AN44)/$G$42</f>
        <v>1</v>
      </c>
      <c r="AZ44" s="101">
        <f>AR44/AQ44</f>
        <v>1</v>
      </c>
      <c r="BA44" s="101">
        <f>AT44/AS44</f>
        <v>1</v>
      </c>
      <c r="BB44" s="85">
        <f>(AW44+AY44+AZ44+BA44)/4</f>
        <v>1</v>
      </c>
      <c r="BC44" s="13">
        <f>AP44/$H$42</f>
        <v>2.25</v>
      </c>
      <c r="BD44" s="118">
        <f>AV44/AP44</f>
        <v>0.3888888888888889</v>
      </c>
      <c r="BE44" s="13">
        <f>AO44/AP44</f>
        <v>14.055555555555555</v>
      </c>
      <c r="BF44" s="13">
        <f>AT44/$H$42</f>
        <v>0.375</v>
      </c>
      <c r="BG44" s="13">
        <f>AR44/$H$42</f>
        <v>1.125</v>
      </c>
      <c r="BQ44" t="str">
        <f t="shared" ref="BQ44:BQ48" si="93">_xlfn.CONCAT($C$42," &amp; ",J44," &amp; ",Q44," &amp; ",R44," &amp; ",S44," &amp; ",W44," &amp; ",X44," &amp; ",Y44," &amp; ",AC44," &amp; ",AD44," &amp; ",AE44," &amp; ",AG44," &amp; ",AH44," &amp; ",AI44," &amp; ",AJ44, " \\ \hline")</f>
        <v>5-2 &amp; k=1 &amp; 1 &amp; 1 &amp; 1 &amp; 1 &amp; 1 &amp; 1 &amp; 1 &amp; 1 &amp; 1 &amp; 3 &amp; 3 &amp; 0.375 &amp; 1 \\ \hline</v>
      </c>
    </row>
    <row r="45" spans="1:69">
      <c r="A45" t="s">
        <v>307</v>
      </c>
      <c r="C45" s="98"/>
      <c r="J45" t="s">
        <v>680</v>
      </c>
      <c r="L45" s="211" t="s">
        <v>683</v>
      </c>
      <c r="M45" s="77"/>
      <c r="O45" s="81">
        <f t="shared" si="76"/>
        <v>20</v>
      </c>
      <c r="P45" s="81">
        <f t="shared" si="77"/>
        <v>20</v>
      </c>
      <c r="Q45" s="129">
        <f t="shared" si="78"/>
        <v>1</v>
      </c>
      <c r="R45" s="129">
        <f t="shared" si="79"/>
        <v>1</v>
      </c>
      <c r="S45" s="127">
        <f t="shared" si="80"/>
        <v>1</v>
      </c>
      <c r="U45" s="81">
        <f t="shared" si="81"/>
        <v>8</v>
      </c>
      <c r="V45" s="81">
        <f t="shared" si="82"/>
        <v>8</v>
      </c>
      <c r="W45" s="129">
        <f t="shared" si="83"/>
        <v>1</v>
      </c>
      <c r="X45" s="129">
        <f t="shared" si="84"/>
        <v>1</v>
      </c>
      <c r="Y45" s="127">
        <f t="shared" si="85"/>
        <v>1</v>
      </c>
      <c r="AA45" s="81">
        <f t="shared" si="86"/>
        <v>16</v>
      </c>
      <c r="AB45" s="81">
        <f t="shared" si="87"/>
        <v>16</v>
      </c>
      <c r="AC45" s="129">
        <f t="shared" si="88"/>
        <v>1</v>
      </c>
      <c r="AD45" s="129">
        <f t="shared" si="89"/>
        <v>1</v>
      </c>
      <c r="AE45" s="127">
        <f t="shared" si="90"/>
        <v>1</v>
      </c>
      <c r="AG45">
        <f t="shared" si="91"/>
        <v>8</v>
      </c>
      <c r="AH45">
        <v>8</v>
      </c>
      <c r="AI45" s="127">
        <f t="shared" si="92"/>
        <v>1</v>
      </c>
      <c r="AJ45" s="127">
        <f t="shared" si="17"/>
        <v>1</v>
      </c>
      <c r="AM45" s="122">
        <v>0</v>
      </c>
      <c r="AN45" s="101">
        <v>0</v>
      </c>
      <c r="AO45">
        <v>331</v>
      </c>
      <c r="AP45" s="107">
        <v>24</v>
      </c>
      <c r="AQ45" s="101">
        <v>11</v>
      </c>
      <c r="AR45" s="101">
        <v>11</v>
      </c>
      <c r="AS45">
        <v>4</v>
      </c>
      <c r="AT45">
        <v>4</v>
      </c>
      <c r="AU45">
        <v>2</v>
      </c>
      <c r="AV45" s="119">
        <v>9</v>
      </c>
      <c r="AW45" s="101">
        <f>($F$42-N45)/$F$42</f>
        <v>1</v>
      </c>
      <c r="AY45" s="101">
        <f>($G$42-AN45)/$G$42</f>
        <v>1</v>
      </c>
      <c r="AZ45" s="101">
        <f>AR45/AQ45</f>
        <v>1</v>
      </c>
      <c r="BA45" s="101">
        <f>AT45/AS45</f>
        <v>1</v>
      </c>
      <c r="BB45" s="85">
        <f>(AW45+AY45+AZ45+BA45)/4</f>
        <v>1</v>
      </c>
      <c r="BC45" s="13">
        <f>AP45/$H$42</f>
        <v>3</v>
      </c>
      <c r="BD45" s="118">
        <f>AV45/AP45</f>
        <v>0.375</v>
      </c>
      <c r="BE45" s="13">
        <f>AO45/AP45</f>
        <v>13.791666666666666</v>
      </c>
      <c r="BF45" s="13">
        <f>AT45/$H$42</f>
        <v>0.5</v>
      </c>
      <c r="BG45" s="13">
        <f>AR45/$H$42</f>
        <v>1.375</v>
      </c>
      <c r="BQ45" t="str">
        <f t="shared" si="93"/>
        <v>5-2 &amp; k=2 &amp; 1 &amp; 1 &amp; 1 &amp; 1 &amp; 1 &amp; 1 &amp; 1 &amp; 1 &amp; 1 &amp; 8 &amp; 8 &amp; 1 &amp; 1 \\ \hline</v>
      </c>
    </row>
    <row r="46" spans="1:69">
      <c r="A46" t="s">
        <v>308</v>
      </c>
      <c r="C46" s="98"/>
      <c r="J46" t="s">
        <v>680</v>
      </c>
      <c r="K46" s="107"/>
      <c r="L46" s="211" t="s">
        <v>683</v>
      </c>
      <c r="M46" s="77"/>
      <c r="O46" s="81">
        <f t="shared" si="76"/>
        <v>20</v>
      </c>
      <c r="P46" s="81">
        <f t="shared" si="77"/>
        <v>20</v>
      </c>
      <c r="Q46" s="129">
        <f t="shared" si="78"/>
        <v>1</v>
      </c>
      <c r="R46" s="129">
        <f t="shared" si="79"/>
        <v>1</v>
      </c>
      <c r="S46" s="127">
        <f t="shared" si="80"/>
        <v>1</v>
      </c>
      <c r="U46" s="81">
        <f t="shared" si="81"/>
        <v>8</v>
      </c>
      <c r="V46" s="81">
        <f t="shared" si="82"/>
        <v>8</v>
      </c>
      <c r="W46" s="129">
        <f t="shared" si="83"/>
        <v>1</v>
      </c>
      <c r="X46" s="129">
        <f t="shared" si="84"/>
        <v>1</v>
      </c>
      <c r="Y46" s="127">
        <f t="shared" si="85"/>
        <v>1</v>
      </c>
      <c r="AA46" s="81">
        <f t="shared" si="86"/>
        <v>16</v>
      </c>
      <c r="AB46" s="81">
        <f t="shared" si="87"/>
        <v>16</v>
      </c>
      <c r="AC46" s="129">
        <f t="shared" si="88"/>
        <v>1</v>
      </c>
      <c r="AD46" s="129">
        <f t="shared" si="89"/>
        <v>1</v>
      </c>
      <c r="AE46" s="127">
        <f t="shared" si="90"/>
        <v>1</v>
      </c>
      <c r="AG46">
        <f t="shared" si="91"/>
        <v>8</v>
      </c>
      <c r="AH46">
        <v>8</v>
      </c>
      <c r="AI46" s="127">
        <f t="shared" si="92"/>
        <v>1</v>
      </c>
      <c r="AJ46" s="127">
        <f t="shared" si="17"/>
        <v>1</v>
      </c>
      <c r="AM46" s="122">
        <v>0</v>
      </c>
      <c r="AN46" s="101">
        <v>0</v>
      </c>
      <c r="AO46">
        <v>258</v>
      </c>
      <c r="AP46">
        <v>13</v>
      </c>
      <c r="AQ46" s="101">
        <v>10</v>
      </c>
      <c r="AR46" s="101">
        <v>10</v>
      </c>
      <c r="AS46">
        <v>2</v>
      </c>
      <c r="AT46">
        <v>2</v>
      </c>
      <c r="AU46">
        <v>1</v>
      </c>
      <c r="AV46" s="119">
        <v>7</v>
      </c>
      <c r="AW46" s="101">
        <f>($F$42-N46)/$F$42</f>
        <v>1</v>
      </c>
      <c r="AY46" s="101">
        <f>($G$42-AN46)/$G$42</f>
        <v>1</v>
      </c>
      <c r="AZ46" s="101">
        <f>AR46/AQ46</f>
        <v>1</v>
      </c>
      <c r="BA46" s="101">
        <f>AT46/AS46</f>
        <v>1</v>
      </c>
      <c r="BB46" s="85">
        <f>(AW46+AY46+AZ46+BA46)/4</f>
        <v>1</v>
      </c>
      <c r="BC46" s="13">
        <f>AO46/$H$42</f>
        <v>32.25</v>
      </c>
      <c r="BD46" s="118">
        <f>AV46/AO46</f>
        <v>2.7131782945736434E-2</v>
      </c>
      <c r="BE46" s="13">
        <f>AO46/AP46</f>
        <v>19.846153846153847</v>
      </c>
      <c r="BF46" s="13">
        <f>AT46/$H$42</f>
        <v>0.25</v>
      </c>
      <c r="BG46" s="13">
        <f>AR46/$H$42</f>
        <v>1.25</v>
      </c>
      <c r="BQ46" t="str">
        <f t="shared" si="93"/>
        <v>5-2 &amp; k=2 &amp; 1 &amp; 1 &amp; 1 &amp; 1 &amp; 1 &amp; 1 &amp; 1 &amp; 1 &amp; 1 &amp; 8 &amp; 8 &amp; 1 &amp; 1 \\ \hline</v>
      </c>
    </row>
    <row r="47" spans="1:69">
      <c r="A47" t="s">
        <v>309</v>
      </c>
      <c r="C47" s="98"/>
      <c r="J47" t="s">
        <v>681</v>
      </c>
      <c r="L47" s="211" t="s">
        <v>690</v>
      </c>
      <c r="M47" s="77"/>
      <c r="O47" s="81">
        <f t="shared" si="76"/>
        <v>20</v>
      </c>
      <c r="P47" s="81">
        <f t="shared" si="77"/>
        <v>20</v>
      </c>
      <c r="Q47" s="129">
        <f t="shared" si="78"/>
        <v>1</v>
      </c>
      <c r="R47" s="129">
        <f t="shared" si="79"/>
        <v>1</v>
      </c>
      <c r="S47" s="127">
        <f t="shared" si="80"/>
        <v>1</v>
      </c>
      <c r="U47" s="81">
        <f t="shared" si="81"/>
        <v>8</v>
      </c>
      <c r="V47" s="81">
        <f t="shared" si="82"/>
        <v>8</v>
      </c>
      <c r="W47" s="129">
        <f t="shared" si="83"/>
        <v>1</v>
      </c>
      <c r="X47" s="129">
        <f t="shared" si="84"/>
        <v>1</v>
      </c>
      <c r="Y47" s="127">
        <f t="shared" si="85"/>
        <v>1</v>
      </c>
      <c r="AA47" s="81">
        <f t="shared" si="86"/>
        <v>16</v>
      </c>
      <c r="AB47" s="81">
        <f t="shared" si="87"/>
        <v>16</v>
      </c>
      <c r="AC47" s="129">
        <f t="shared" si="88"/>
        <v>1</v>
      </c>
      <c r="AD47" s="129">
        <f t="shared" si="89"/>
        <v>1</v>
      </c>
      <c r="AE47" s="127">
        <f t="shared" si="90"/>
        <v>1</v>
      </c>
      <c r="AG47">
        <f t="shared" si="91"/>
        <v>11</v>
      </c>
      <c r="AH47">
        <v>11</v>
      </c>
      <c r="AI47" s="127">
        <f t="shared" si="92"/>
        <v>1.375</v>
      </c>
      <c r="AJ47" s="127">
        <f t="shared" si="17"/>
        <v>1</v>
      </c>
      <c r="BC47" s="13"/>
      <c r="BD47" s="118"/>
      <c r="BE47" s="13"/>
      <c r="BF47" s="13"/>
      <c r="BG47" s="13"/>
      <c r="BQ47" t="str">
        <f t="shared" si="93"/>
        <v>5-2 &amp; k=3 &amp; 1 &amp; 1 &amp; 1 &amp; 1 &amp; 1 &amp; 1 &amp; 1 &amp; 1 &amp; 1 &amp; 11 &amp; 11 &amp; 1.375 &amp; 1 \\ \hline</v>
      </c>
    </row>
    <row r="48" spans="1:69">
      <c r="A48" t="s">
        <v>667</v>
      </c>
      <c r="C48" s="98"/>
      <c r="J48" t="s">
        <v>681</v>
      </c>
      <c r="L48" s="211" t="s">
        <v>690</v>
      </c>
      <c r="M48" s="77"/>
      <c r="O48" s="81">
        <f t="shared" si="76"/>
        <v>20</v>
      </c>
      <c r="P48" s="81">
        <f t="shared" si="77"/>
        <v>20</v>
      </c>
      <c r="Q48" s="129">
        <f t="shared" si="78"/>
        <v>1</v>
      </c>
      <c r="R48" s="129">
        <f t="shared" si="79"/>
        <v>1</v>
      </c>
      <c r="S48" s="127">
        <f t="shared" si="80"/>
        <v>1</v>
      </c>
      <c r="U48" s="81">
        <f t="shared" si="81"/>
        <v>8</v>
      </c>
      <c r="V48" s="81">
        <f t="shared" si="82"/>
        <v>8</v>
      </c>
      <c r="W48" s="129">
        <f t="shared" si="83"/>
        <v>1</v>
      </c>
      <c r="X48" s="129">
        <f t="shared" si="84"/>
        <v>1</v>
      </c>
      <c r="Y48" s="127">
        <f t="shared" si="85"/>
        <v>1</v>
      </c>
      <c r="AA48" s="81">
        <f t="shared" si="86"/>
        <v>16</v>
      </c>
      <c r="AB48" s="81">
        <f t="shared" si="87"/>
        <v>16</v>
      </c>
      <c r="AC48" s="129">
        <f t="shared" si="88"/>
        <v>1</v>
      </c>
      <c r="AD48" s="129">
        <f t="shared" si="89"/>
        <v>1</v>
      </c>
      <c r="AE48" s="127">
        <f t="shared" si="90"/>
        <v>1</v>
      </c>
      <c r="AG48">
        <f t="shared" si="91"/>
        <v>3</v>
      </c>
      <c r="AH48">
        <v>3</v>
      </c>
      <c r="AI48" s="127">
        <f t="shared" si="92"/>
        <v>0.375</v>
      </c>
      <c r="AJ48" s="127">
        <f t="shared" si="17"/>
        <v>1</v>
      </c>
      <c r="BC48" s="13"/>
      <c r="BD48" s="118"/>
      <c r="BE48" s="13"/>
      <c r="BF48" s="13"/>
      <c r="BG48" s="13"/>
      <c r="BQ48" t="str">
        <f t="shared" si="93"/>
        <v>5-2 &amp; k=3 &amp; 1 &amp; 1 &amp; 1 &amp; 1 &amp; 1 &amp; 1 &amp; 1 &amp; 1 &amp; 1 &amp; 3 &amp; 3 &amp; 0.375 &amp; 1 \\ \hline</v>
      </c>
    </row>
    <row r="49" spans="1:69">
      <c r="C49" s="98"/>
      <c r="L49" s="174"/>
      <c r="M49" s="77"/>
      <c r="Q49" s="129"/>
      <c r="R49" s="129"/>
      <c r="S49" s="127"/>
      <c r="W49" s="129"/>
      <c r="X49" s="129"/>
      <c r="Y49" s="127"/>
      <c r="AC49" s="129"/>
      <c r="AD49" s="129"/>
      <c r="AE49" s="127"/>
      <c r="AG49"/>
      <c r="AH49"/>
      <c r="AI49" s="127"/>
      <c r="AJ49" s="127"/>
      <c r="BC49" s="13"/>
      <c r="BD49" s="118"/>
      <c r="BE49" s="13"/>
      <c r="BF49" s="13"/>
      <c r="BG49" s="13"/>
    </row>
    <row r="50" spans="1:69" s="73" customFormat="1">
      <c r="A50" s="73" t="s">
        <v>316</v>
      </c>
      <c r="B50" s="94">
        <v>45178</v>
      </c>
      <c r="C50" s="93" t="s">
        <v>147</v>
      </c>
      <c r="D50" s="78">
        <f>VLOOKUP($C$50,Overview!$Q$2:$AS$64,23,FALSE)</f>
        <v>0.27964048396764468</v>
      </c>
      <c r="E50" s="78" t="str">
        <f>VLOOKUP($C$50,Overview!$Q$2:$AS$64,24,FALSE)</f>
        <v>low</v>
      </c>
      <c r="F50" s="75">
        <f>VLOOKUP(C50,Overview!$Q$2:$AS$64,13,FALSE)</f>
        <v>24</v>
      </c>
      <c r="G50" s="75">
        <f>VLOOKUP(C50,Overview!$Q$2:$AS$64,16,FALSE)</f>
        <v>5</v>
      </c>
      <c r="H50" s="75">
        <f>VLOOKUP(C50,Overview!$Q$2:$AS$64,18,FALSE)</f>
        <v>12</v>
      </c>
      <c r="I50" s="75">
        <f>VLOOKUP($C$50,Overview!$Q$2:$AS$64,19,FALSE)</f>
        <v>24</v>
      </c>
      <c r="K50" s="294" t="str">
        <f>VLOOKUP($C$50,Overview!$Q$2:$AS$64,5,FALSE)</f>
        <v>5-1, 3-8</v>
      </c>
      <c r="L50" s="293" t="s">
        <v>785</v>
      </c>
      <c r="N50" s="114"/>
      <c r="O50" s="80"/>
      <c r="P50" s="80"/>
      <c r="Q50" s="130"/>
      <c r="R50" s="130"/>
      <c r="S50" s="128"/>
      <c r="T50" s="114"/>
      <c r="U50" s="80"/>
      <c r="V50" s="80"/>
      <c r="W50" s="130"/>
      <c r="X50" s="130"/>
      <c r="Y50" s="128"/>
      <c r="Z50" s="114"/>
      <c r="AA50" s="80"/>
      <c r="AB50" s="80"/>
      <c r="AC50" s="130"/>
      <c r="AD50" s="130"/>
      <c r="AE50" s="128"/>
      <c r="AF50" s="114"/>
      <c r="AI50" s="128"/>
      <c r="AJ50" s="127"/>
      <c r="AK50" s="80"/>
      <c r="AL50" s="114"/>
      <c r="AM50" s="121"/>
      <c r="AN50" s="100"/>
      <c r="AQ50" s="100"/>
      <c r="AR50" s="100"/>
      <c r="AV50" s="120"/>
      <c r="AW50" s="100"/>
      <c r="AX50" s="100"/>
      <c r="AY50" s="100"/>
      <c r="AZ50" s="100"/>
      <c r="BA50" s="100"/>
      <c r="BB50" s="84"/>
      <c r="BD50" s="100"/>
      <c r="BQ50"/>
    </row>
    <row r="51" spans="1:69">
      <c r="A51" t="s">
        <v>305</v>
      </c>
      <c r="C51" s="111"/>
      <c r="J51" t="s">
        <v>679</v>
      </c>
      <c r="K51" s="296" t="s">
        <v>787</v>
      </c>
      <c r="L51" s="210" t="s">
        <v>149</v>
      </c>
      <c r="M51" s="77"/>
      <c r="O51" s="81">
        <v>24</v>
      </c>
      <c r="P51" s="81">
        <f>$F$50</f>
        <v>24</v>
      </c>
      <c r="Q51" s="129">
        <f t="shared" ref="Q51:Q56" si="94">O51/$F$50</f>
        <v>1</v>
      </c>
      <c r="R51" s="129">
        <f t="shared" ref="R51:R56" si="95">O51/P51</f>
        <v>1</v>
      </c>
      <c r="S51" s="127">
        <f t="shared" ref="S51:S56" si="96">2*(Q51*R51)/(Q51+R51)</f>
        <v>1</v>
      </c>
      <c r="U51" s="81">
        <f>V51-0</f>
        <v>5</v>
      </c>
      <c r="V51" s="81">
        <f t="shared" ref="V51:V56" si="97">$G$50</f>
        <v>5</v>
      </c>
      <c r="W51" s="129">
        <f t="shared" ref="W51:W56" si="98">U51/$G$50</f>
        <v>1</v>
      </c>
      <c r="X51" s="129">
        <f t="shared" ref="X51:X56" si="99">U51/V51</f>
        <v>1</v>
      </c>
      <c r="Y51" s="127">
        <f t="shared" ref="Y51:Y56" si="100">2*(W51*X51)/(W51+X51)</f>
        <v>1</v>
      </c>
      <c r="AA51" s="81">
        <f>AB51-5</f>
        <v>19</v>
      </c>
      <c r="AB51" s="81">
        <f>$I$50</f>
        <v>24</v>
      </c>
      <c r="AC51" s="129">
        <f t="shared" ref="AC51:AC56" si="101">AA51/$I$50</f>
        <v>0.79166666666666663</v>
      </c>
      <c r="AD51" s="129">
        <f t="shared" ref="AD51:AD56" si="102">AA51/AB51</f>
        <v>0.79166666666666663</v>
      </c>
      <c r="AE51" s="127">
        <f t="shared" ref="AE51:AE56" si="103">2*(AC51*AD51)/(AC51+AD51)</f>
        <v>0.79166666666666663</v>
      </c>
      <c r="AG51">
        <v>5</v>
      </c>
      <c r="AH51">
        <v>5</v>
      </c>
      <c r="AI51" s="127">
        <f t="shared" ref="AI51:AI56" si="104">AG51/$H$50</f>
        <v>0.41666666666666669</v>
      </c>
      <c r="AJ51" s="127">
        <f t="shared" si="17"/>
        <v>1</v>
      </c>
      <c r="AM51" s="122">
        <v>0</v>
      </c>
      <c r="AN51" s="101">
        <v>0</v>
      </c>
      <c r="AO51">
        <v>285</v>
      </c>
      <c r="AP51">
        <v>18</v>
      </c>
      <c r="AQ51" s="101">
        <v>17</v>
      </c>
      <c r="AR51" s="101">
        <v>11</v>
      </c>
      <c r="AS51">
        <v>0</v>
      </c>
      <c r="AT51">
        <v>0</v>
      </c>
      <c r="AU51">
        <v>1</v>
      </c>
      <c r="AV51" s="119">
        <v>16</v>
      </c>
      <c r="AW51" s="101">
        <f>($F$50-N51)/$F$50</f>
        <v>1</v>
      </c>
      <c r="AY51" s="101">
        <f>($G$50-AN51)/$G$50</f>
        <v>1</v>
      </c>
      <c r="AZ51" s="101">
        <f>AR51/AQ51</f>
        <v>0.6470588235294118</v>
      </c>
      <c r="BA51" s="101">
        <v>0</v>
      </c>
      <c r="BB51" s="85">
        <f>(AW51+AY51+AZ51+BA51)/4</f>
        <v>0.66176470588235292</v>
      </c>
      <c r="BC51" s="13">
        <f>AP51/$H$50</f>
        <v>1.5</v>
      </c>
      <c r="BD51" s="118">
        <f>AV51/AP51</f>
        <v>0.88888888888888884</v>
      </c>
      <c r="BE51" s="13">
        <f>AO51/AP51</f>
        <v>15.833333333333334</v>
      </c>
      <c r="BF51" s="13">
        <f>AT51/$H$50</f>
        <v>0</v>
      </c>
      <c r="BG51" s="13">
        <f>AR51/$H$50</f>
        <v>0.91666666666666663</v>
      </c>
      <c r="BQ51" t="str">
        <f>_xlfn.CONCAT($C$50," &amp; ",J51," &amp; ",Q51," &amp; ",R51," &amp; ",S51," &amp; ",W51," &amp; ",X51," &amp; ",Y51," &amp; ",AC51," &amp; ",AD51," &amp; ",AE51," &amp; ",AG51," &amp; ",AH51," &amp; ",AI51," &amp; ",AJ51, " \\ \hline")</f>
        <v>3-6 &amp; k=1 &amp; 1 &amp; 1 &amp; 1 &amp; 1 &amp; 1 &amp; 1 &amp; 0.791666666666667 &amp; 0.791666666666667 &amp; 0.791666666666667 &amp; 5 &amp; 5 &amp; 0.416666666666667 &amp; 1 \\ \hline</v>
      </c>
    </row>
    <row r="52" spans="1:69">
      <c r="A52" t="s">
        <v>306</v>
      </c>
      <c r="C52" s="98"/>
      <c r="J52" t="s">
        <v>679</v>
      </c>
      <c r="L52" s="210" t="s">
        <v>149</v>
      </c>
      <c r="M52" s="77"/>
      <c r="O52" s="81">
        <f>P52-0</f>
        <v>18</v>
      </c>
      <c r="P52" s="81">
        <f>$F$50-6</f>
        <v>18</v>
      </c>
      <c r="Q52" s="129">
        <f t="shared" si="94"/>
        <v>0.75</v>
      </c>
      <c r="R52" s="129">
        <f t="shared" si="95"/>
        <v>1</v>
      </c>
      <c r="S52" s="127">
        <f t="shared" si="96"/>
        <v>0.8571428571428571</v>
      </c>
      <c r="U52" s="81">
        <f>V52-0</f>
        <v>5</v>
      </c>
      <c r="V52" s="81">
        <f t="shared" si="97"/>
        <v>5</v>
      </c>
      <c r="W52" s="129">
        <f t="shared" si="98"/>
        <v>1</v>
      </c>
      <c r="X52" s="129">
        <f t="shared" si="99"/>
        <v>1</v>
      </c>
      <c r="Y52" s="127">
        <f t="shared" si="100"/>
        <v>1</v>
      </c>
      <c r="AA52" s="81">
        <f>AB52-1</f>
        <v>17</v>
      </c>
      <c r="AB52" s="81">
        <f>$I$50-6</f>
        <v>18</v>
      </c>
      <c r="AC52" s="129">
        <f t="shared" si="101"/>
        <v>0.70833333333333337</v>
      </c>
      <c r="AD52" s="129">
        <f t="shared" si="102"/>
        <v>0.94444444444444442</v>
      </c>
      <c r="AE52" s="127">
        <f t="shared" si="103"/>
        <v>0.80952380952380965</v>
      </c>
      <c r="AG52">
        <f>AH52</f>
        <v>4</v>
      </c>
      <c r="AH52">
        <v>4</v>
      </c>
      <c r="AI52" s="127">
        <f t="shared" si="104"/>
        <v>0.33333333333333331</v>
      </c>
      <c r="AJ52" s="127">
        <f t="shared" si="17"/>
        <v>1</v>
      </c>
      <c r="AM52" s="122">
        <v>0</v>
      </c>
      <c r="AN52" s="101">
        <v>0</v>
      </c>
      <c r="AO52">
        <v>358</v>
      </c>
      <c r="AP52">
        <v>23</v>
      </c>
      <c r="AQ52" s="101">
        <v>16</v>
      </c>
      <c r="AR52" s="101">
        <v>14</v>
      </c>
      <c r="AS52">
        <v>7</v>
      </c>
      <c r="AT52">
        <v>7</v>
      </c>
      <c r="AU52">
        <v>0</v>
      </c>
      <c r="AV52" s="119">
        <v>13</v>
      </c>
      <c r="AW52" s="101">
        <f>($F$50-N52)/$F$50</f>
        <v>1</v>
      </c>
      <c r="AY52" s="101">
        <f>($G$50-AN52)/$G$50</f>
        <v>1</v>
      </c>
      <c r="AZ52" s="101">
        <f>AR52/AQ52</f>
        <v>0.875</v>
      </c>
      <c r="BA52" s="101">
        <f>AT52/AS52</f>
        <v>1</v>
      </c>
      <c r="BB52" s="85">
        <f>(AW52+AY52+AZ52+BA52)/4</f>
        <v>0.96875</v>
      </c>
      <c r="BC52" s="13">
        <f>AP52/$H$50</f>
        <v>1.9166666666666667</v>
      </c>
      <c r="BD52" s="118">
        <f>AV52/AP52</f>
        <v>0.56521739130434778</v>
      </c>
      <c r="BE52" s="13">
        <f>AO52/AP52</f>
        <v>15.565217391304348</v>
      </c>
      <c r="BF52" s="13">
        <f>AT52/$H$50</f>
        <v>0.58333333333333337</v>
      </c>
      <c r="BG52" s="13">
        <f>AR52/$H$50</f>
        <v>1.1666666666666667</v>
      </c>
      <c r="BQ52" t="str">
        <f t="shared" ref="BQ52:BQ56" si="105">_xlfn.CONCAT($C$50," &amp; ",J52," &amp; ",Q52," &amp; ",R52," &amp; ",S52," &amp; ",W52," &amp; ",X52," &amp; ",Y52," &amp; ",AC52," &amp; ",AD52," &amp; ",AE52," &amp; ",AG52," &amp; ",AH52," &amp; ",AI52," &amp; ",AJ52, " \\ \hline")</f>
        <v>3-6 &amp; k=1 &amp; 0.75 &amp; 1 &amp; 0.857142857142857 &amp; 1 &amp; 1 &amp; 1 &amp; 0.708333333333333 &amp; 0.944444444444444 &amp; 0.80952380952381 &amp; 4 &amp; 4 &amp; 0.333333333333333 &amp; 1 \\ \hline</v>
      </c>
    </row>
    <row r="53" spans="1:69">
      <c r="A53" t="s">
        <v>307</v>
      </c>
      <c r="C53" s="98"/>
      <c r="J53" t="s">
        <v>680</v>
      </c>
      <c r="L53" s="174" t="s">
        <v>682</v>
      </c>
      <c r="M53" s="77"/>
      <c r="O53" s="81">
        <v>24</v>
      </c>
      <c r="P53" s="81">
        <f>$F$50</f>
        <v>24</v>
      </c>
      <c r="Q53" s="129">
        <f t="shared" si="94"/>
        <v>1</v>
      </c>
      <c r="R53" s="129">
        <f t="shared" si="95"/>
        <v>1</v>
      </c>
      <c r="S53" s="127">
        <f t="shared" si="96"/>
        <v>1</v>
      </c>
      <c r="U53" s="81">
        <v>5</v>
      </c>
      <c r="V53" s="81">
        <f t="shared" si="97"/>
        <v>5</v>
      </c>
      <c r="W53" s="129">
        <f t="shared" si="98"/>
        <v>1</v>
      </c>
      <c r="X53" s="129">
        <f t="shared" si="99"/>
        <v>1</v>
      </c>
      <c r="Y53" s="127">
        <f t="shared" si="100"/>
        <v>1</v>
      </c>
      <c r="AA53" s="81">
        <f>AB53-4</f>
        <v>20</v>
      </c>
      <c r="AB53" s="81">
        <f>$I$50</f>
        <v>24</v>
      </c>
      <c r="AC53" s="129">
        <f t="shared" si="101"/>
        <v>0.83333333333333337</v>
      </c>
      <c r="AD53" s="129">
        <f t="shared" si="102"/>
        <v>0.83333333333333337</v>
      </c>
      <c r="AE53" s="127">
        <f t="shared" si="103"/>
        <v>0.83333333333333337</v>
      </c>
      <c r="AG53">
        <f>AH53</f>
        <v>3</v>
      </c>
      <c r="AH53">
        <v>3</v>
      </c>
      <c r="AI53" s="127">
        <f t="shared" si="104"/>
        <v>0.25</v>
      </c>
      <c r="AJ53" s="127">
        <f t="shared" si="17"/>
        <v>1</v>
      </c>
      <c r="AM53" s="122">
        <v>0</v>
      </c>
      <c r="AN53" s="101">
        <v>0</v>
      </c>
      <c r="AO53">
        <v>245</v>
      </c>
      <c r="AP53">
        <v>16</v>
      </c>
      <c r="AQ53" s="101">
        <v>13</v>
      </c>
      <c r="AR53" s="101">
        <v>11</v>
      </c>
      <c r="AS53">
        <v>3</v>
      </c>
      <c r="AT53">
        <v>3</v>
      </c>
      <c r="AU53">
        <v>0</v>
      </c>
      <c r="AV53" s="119">
        <v>12</v>
      </c>
      <c r="AW53" s="101">
        <f>($F$50-N53)/$F$50</f>
        <v>1</v>
      </c>
      <c r="AY53" s="101">
        <f>($G$50-AN53)/$G$50</f>
        <v>1</v>
      </c>
      <c r="AZ53" s="101">
        <f>AR53/AQ53</f>
        <v>0.84615384615384615</v>
      </c>
      <c r="BA53" s="101">
        <f>AT53/AS53</f>
        <v>1</v>
      </c>
      <c r="BB53" s="85">
        <f>(AW53+AY53+AZ53+BA53)/4</f>
        <v>0.96153846153846156</v>
      </c>
      <c r="BC53" s="13">
        <f>AP53/$H$50</f>
        <v>1.3333333333333333</v>
      </c>
      <c r="BD53" s="118">
        <f>AV53/AP53</f>
        <v>0.75</v>
      </c>
      <c r="BE53" s="13">
        <f>AO53/AP53</f>
        <v>15.3125</v>
      </c>
      <c r="BF53" s="13">
        <f>AT53/$H$50</f>
        <v>0.25</v>
      </c>
      <c r="BG53" s="13">
        <f>AR53/$H$50</f>
        <v>0.91666666666666663</v>
      </c>
      <c r="BQ53" t="str">
        <f t="shared" si="105"/>
        <v>3-6 &amp; k=2 &amp; 1 &amp; 1 &amp; 1 &amp; 1 &amp; 1 &amp; 1 &amp; 0.833333333333333 &amp; 0.833333333333333 &amp; 0.833333333333333 &amp; 3 &amp; 3 &amp; 0.25 &amp; 1 \\ \hline</v>
      </c>
    </row>
    <row r="54" spans="1:69">
      <c r="A54" t="s">
        <v>308</v>
      </c>
      <c r="C54" s="98"/>
      <c r="J54" t="s">
        <v>680</v>
      </c>
      <c r="L54" s="174" t="s">
        <v>682</v>
      </c>
      <c r="M54" s="77"/>
      <c r="O54" s="81">
        <f>P54-0</f>
        <v>18</v>
      </c>
      <c r="P54" s="81">
        <f>$F$50-6</f>
        <v>18</v>
      </c>
      <c r="Q54" s="129">
        <f t="shared" si="94"/>
        <v>0.75</v>
      </c>
      <c r="R54" s="129">
        <f t="shared" si="95"/>
        <v>1</v>
      </c>
      <c r="S54" s="127">
        <f t="shared" si="96"/>
        <v>0.8571428571428571</v>
      </c>
      <c r="U54" s="81">
        <f>V54-0</f>
        <v>5</v>
      </c>
      <c r="V54" s="81">
        <f t="shared" si="97"/>
        <v>5</v>
      </c>
      <c r="W54" s="129">
        <f t="shared" si="98"/>
        <v>1</v>
      </c>
      <c r="X54" s="129">
        <f t="shared" si="99"/>
        <v>1</v>
      </c>
      <c r="Y54" s="127">
        <f t="shared" si="100"/>
        <v>1</v>
      </c>
      <c r="AA54" s="81">
        <f>AB54-1</f>
        <v>17</v>
      </c>
      <c r="AB54" s="81">
        <f>$I$50-6</f>
        <v>18</v>
      </c>
      <c r="AC54" s="129">
        <f t="shared" si="101"/>
        <v>0.70833333333333337</v>
      </c>
      <c r="AD54" s="129">
        <f t="shared" si="102"/>
        <v>0.94444444444444442</v>
      </c>
      <c r="AE54" s="127">
        <f t="shared" si="103"/>
        <v>0.80952380952380965</v>
      </c>
      <c r="AG54">
        <f>AH54</f>
        <v>5</v>
      </c>
      <c r="AH54">
        <v>5</v>
      </c>
      <c r="AI54" s="127">
        <f t="shared" si="104"/>
        <v>0.41666666666666669</v>
      </c>
      <c r="AJ54" s="127">
        <f t="shared" si="17"/>
        <v>1</v>
      </c>
      <c r="AM54" s="122">
        <v>0</v>
      </c>
      <c r="AN54" s="101">
        <v>0</v>
      </c>
      <c r="AO54">
        <v>305</v>
      </c>
      <c r="AP54">
        <v>23</v>
      </c>
      <c r="AQ54" s="101">
        <v>19</v>
      </c>
      <c r="AR54" s="101">
        <v>17</v>
      </c>
      <c r="AS54">
        <v>1</v>
      </c>
      <c r="AT54">
        <v>1</v>
      </c>
      <c r="AU54">
        <v>3</v>
      </c>
      <c r="AV54" s="119">
        <v>12</v>
      </c>
      <c r="AW54" s="101">
        <f>($F$50-N54)/$F$50</f>
        <v>1</v>
      </c>
      <c r="AY54" s="101">
        <f>($G$50-AN54)/$G$50</f>
        <v>1</v>
      </c>
      <c r="AZ54" s="101">
        <f>AR54/AQ54</f>
        <v>0.89473684210526316</v>
      </c>
      <c r="BA54" s="101">
        <f>AT54/AS54</f>
        <v>1</v>
      </c>
      <c r="BB54" s="85">
        <f>(AW54+AY54+AZ54+BA54)/4</f>
        <v>0.97368421052631582</v>
      </c>
      <c r="BC54" s="13">
        <f>AP54/$H$50</f>
        <v>1.9166666666666667</v>
      </c>
      <c r="BD54" s="118">
        <f>AV54/AP54</f>
        <v>0.52173913043478259</v>
      </c>
      <c r="BE54" s="13">
        <f>AO54/AP54</f>
        <v>13.260869565217391</v>
      </c>
      <c r="BF54" s="13">
        <f>AT54/$H$50</f>
        <v>8.3333333333333329E-2</v>
      </c>
      <c r="BG54" s="13">
        <f>AR54/$H$50</f>
        <v>1.4166666666666667</v>
      </c>
      <c r="BQ54" t="str">
        <f t="shared" si="105"/>
        <v>3-6 &amp; k=2 &amp; 0.75 &amp; 1 &amp; 0.857142857142857 &amp; 1 &amp; 1 &amp; 1 &amp; 0.708333333333333 &amp; 0.944444444444444 &amp; 0.80952380952381 &amp; 5 &amp; 5 &amp; 0.416666666666667 &amp; 1 \\ \hline</v>
      </c>
    </row>
    <row r="55" spans="1:69">
      <c r="A55" t="s">
        <v>309</v>
      </c>
      <c r="C55" s="98"/>
      <c r="J55" t="s">
        <v>681</v>
      </c>
      <c r="L55" s="174" t="s">
        <v>685</v>
      </c>
      <c r="M55" s="77"/>
      <c r="O55" s="81">
        <f>P55-0</f>
        <v>24</v>
      </c>
      <c r="P55" s="81">
        <f>$F$50</f>
        <v>24</v>
      </c>
      <c r="Q55" s="129">
        <f t="shared" si="94"/>
        <v>1</v>
      </c>
      <c r="R55" s="129">
        <f t="shared" si="95"/>
        <v>1</v>
      </c>
      <c r="S55" s="127">
        <f t="shared" si="96"/>
        <v>1</v>
      </c>
      <c r="U55" s="81">
        <f>V55-0</f>
        <v>5</v>
      </c>
      <c r="V55" s="81">
        <f t="shared" si="97"/>
        <v>5</v>
      </c>
      <c r="W55" s="129">
        <f t="shared" si="98"/>
        <v>1</v>
      </c>
      <c r="X55" s="129">
        <f t="shared" si="99"/>
        <v>1</v>
      </c>
      <c r="Y55" s="127">
        <f t="shared" si="100"/>
        <v>1</v>
      </c>
      <c r="AA55" s="81">
        <f>AB55-4</f>
        <v>20</v>
      </c>
      <c r="AB55" s="81">
        <f>$I$50</f>
        <v>24</v>
      </c>
      <c r="AC55" s="129">
        <f t="shared" si="101"/>
        <v>0.83333333333333337</v>
      </c>
      <c r="AD55" s="129">
        <f t="shared" si="102"/>
        <v>0.83333333333333337</v>
      </c>
      <c r="AE55" s="127">
        <f t="shared" si="103"/>
        <v>0.83333333333333337</v>
      </c>
      <c r="AG55">
        <f>AH55</f>
        <v>5</v>
      </c>
      <c r="AH55">
        <v>5</v>
      </c>
      <c r="AI55" s="127">
        <f t="shared" si="104"/>
        <v>0.41666666666666669</v>
      </c>
      <c r="AJ55" s="127">
        <f t="shared" si="17"/>
        <v>1</v>
      </c>
      <c r="BC55" s="13"/>
      <c r="BD55" s="118"/>
      <c r="BE55" s="13"/>
      <c r="BF55" s="13"/>
      <c r="BG55" s="13"/>
      <c r="BQ55" t="str">
        <f t="shared" si="105"/>
        <v>3-6 &amp; k=3 &amp; 1 &amp; 1 &amp; 1 &amp; 1 &amp; 1 &amp; 1 &amp; 0.833333333333333 &amp; 0.833333333333333 &amp; 0.833333333333333 &amp; 5 &amp; 5 &amp; 0.416666666666667 &amp; 1 \\ \hline</v>
      </c>
    </row>
    <row r="56" spans="1:69">
      <c r="A56" t="s">
        <v>667</v>
      </c>
      <c r="C56" s="98"/>
      <c r="J56" t="s">
        <v>681</v>
      </c>
      <c r="L56" s="174" t="s">
        <v>685</v>
      </c>
      <c r="M56" s="77"/>
      <c r="O56" s="81">
        <f>P56-0</f>
        <v>24</v>
      </c>
      <c r="P56" s="81">
        <f>$F$50</f>
        <v>24</v>
      </c>
      <c r="Q56" s="129">
        <f t="shared" si="94"/>
        <v>1</v>
      </c>
      <c r="R56" s="129">
        <f t="shared" si="95"/>
        <v>1</v>
      </c>
      <c r="S56" s="127">
        <f t="shared" si="96"/>
        <v>1</v>
      </c>
      <c r="U56" s="81">
        <f>V56-0</f>
        <v>5</v>
      </c>
      <c r="V56" s="81">
        <f t="shared" si="97"/>
        <v>5</v>
      </c>
      <c r="W56" s="129">
        <f t="shared" si="98"/>
        <v>1</v>
      </c>
      <c r="X56" s="129">
        <f t="shared" si="99"/>
        <v>1</v>
      </c>
      <c r="Y56" s="127">
        <f t="shared" si="100"/>
        <v>1</v>
      </c>
      <c r="AA56" s="81">
        <f>AB56-4</f>
        <v>20</v>
      </c>
      <c r="AB56" s="81">
        <f>$I$50</f>
        <v>24</v>
      </c>
      <c r="AC56" s="129">
        <f t="shared" si="101"/>
        <v>0.83333333333333337</v>
      </c>
      <c r="AD56" s="129">
        <f t="shared" si="102"/>
        <v>0.83333333333333337</v>
      </c>
      <c r="AE56" s="127">
        <f t="shared" si="103"/>
        <v>0.83333333333333337</v>
      </c>
      <c r="AG56">
        <f>AH56</f>
        <v>7</v>
      </c>
      <c r="AH56">
        <v>7</v>
      </c>
      <c r="AI56" s="127">
        <f t="shared" si="104"/>
        <v>0.58333333333333337</v>
      </c>
      <c r="AJ56" s="127">
        <f t="shared" si="17"/>
        <v>1</v>
      </c>
      <c r="BC56" s="13"/>
      <c r="BD56" s="118"/>
      <c r="BE56" s="13"/>
      <c r="BF56" s="13"/>
      <c r="BG56" s="13"/>
      <c r="BQ56" t="str">
        <f t="shared" si="105"/>
        <v>3-6 &amp; k=3 &amp; 1 &amp; 1 &amp; 1 &amp; 1 &amp; 1 &amp; 1 &amp; 0.833333333333333 &amp; 0.833333333333333 &amp; 0.833333333333333 &amp; 7 &amp; 7 &amp; 0.583333333333333 &amp; 1 \\ \hline</v>
      </c>
    </row>
    <row r="57" spans="1:69">
      <c r="C57" s="98"/>
      <c r="L57" s="174"/>
      <c r="M57" s="77"/>
      <c r="Q57" s="129"/>
      <c r="R57" s="129"/>
      <c r="S57" s="127"/>
      <c r="W57" s="129"/>
      <c r="X57" s="129"/>
      <c r="Y57" s="127"/>
      <c r="AC57" s="129"/>
      <c r="AD57" s="129"/>
      <c r="AE57" s="127"/>
      <c r="AG57"/>
      <c r="AH57"/>
      <c r="AI57" s="127"/>
      <c r="AJ57" s="127"/>
      <c r="BC57" s="13"/>
      <c r="BD57" s="118"/>
      <c r="BE57" s="13"/>
      <c r="BF57" s="13"/>
      <c r="BG57" s="13"/>
    </row>
    <row r="58" spans="1:69" s="73" customFormat="1">
      <c r="A58" s="73" t="s">
        <v>315</v>
      </c>
      <c r="B58" s="94">
        <v>45178</v>
      </c>
      <c r="C58" s="93" t="s">
        <v>160</v>
      </c>
      <c r="D58" s="78">
        <f>VLOOKUP($C$58,Overview!$Q$2:$AS$64,23,FALSE)</f>
        <v>0.30047187189373031</v>
      </c>
      <c r="E58" s="78" t="str">
        <f>VLOOKUP($C$58,Overview!$Q$2:$AS$64,24,FALSE)</f>
        <v>low</v>
      </c>
      <c r="F58" s="75">
        <f>VLOOKUP(C58,Overview!$Q$2:$AS$64,13,FALSE)</f>
        <v>20</v>
      </c>
      <c r="G58" s="75">
        <f>VLOOKUP(C58,Overview!$Q$2:$AS$64,16,FALSE)</f>
        <v>8</v>
      </c>
      <c r="H58" s="75">
        <f>VLOOKUP(C58,Overview!$Q$2:$AS$64,18,FALSE)</f>
        <v>7</v>
      </c>
      <c r="I58" s="75">
        <f>VLOOKUP($C$58,Overview!$Q$2:$AS$64,19,FALSE)</f>
        <v>15</v>
      </c>
      <c r="K58" s="75" t="str">
        <f>VLOOKUP($C$58,Overview!$Q$2:$AS$64,5,FALSE)</f>
        <v>5-2, 3-8</v>
      </c>
      <c r="L58" s="91"/>
      <c r="N58" s="114"/>
      <c r="O58" s="80"/>
      <c r="P58" s="80"/>
      <c r="Q58" s="130"/>
      <c r="R58" s="130"/>
      <c r="S58" s="128"/>
      <c r="T58" s="114"/>
      <c r="U58" s="80"/>
      <c r="V58" s="80"/>
      <c r="W58" s="130"/>
      <c r="X58" s="130"/>
      <c r="Y58" s="128"/>
      <c r="Z58" s="114"/>
      <c r="AA58" s="80"/>
      <c r="AB58" s="80"/>
      <c r="AC58" s="130"/>
      <c r="AD58" s="130"/>
      <c r="AE58" s="128"/>
      <c r="AF58" s="114"/>
      <c r="AI58" s="128"/>
      <c r="AJ58" s="127"/>
      <c r="AK58" s="80"/>
      <c r="AL58" s="114"/>
      <c r="AM58" s="121"/>
      <c r="AN58" s="100"/>
      <c r="AQ58" s="100"/>
      <c r="AR58" s="100"/>
      <c r="AV58" s="120"/>
      <c r="AW58" s="100"/>
      <c r="AX58" s="100"/>
      <c r="AY58" s="100"/>
      <c r="AZ58" s="100"/>
      <c r="BA58" s="100"/>
      <c r="BB58" s="84"/>
      <c r="BD58" s="100"/>
      <c r="BQ58"/>
    </row>
    <row r="59" spans="1:69">
      <c r="A59" t="s">
        <v>305</v>
      </c>
      <c r="C59" s="110" t="s">
        <v>615</v>
      </c>
      <c r="J59" t="s">
        <v>679</v>
      </c>
      <c r="L59" s="211" t="s">
        <v>152</v>
      </c>
      <c r="M59" s="77"/>
      <c r="O59" s="81">
        <f>P59-1</f>
        <v>19</v>
      </c>
      <c r="P59" s="81">
        <f>$F$58</f>
        <v>20</v>
      </c>
      <c r="Q59" s="129">
        <f t="shared" ref="Q59:Q64" si="106">O59/$F$58</f>
        <v>0.95</v>
      </c>
      <c r="R59" s="129">
        <f t="shared" ref="R59:R64" si="107">O59/P59</f>
        <v>0.95</v>
      </c>
      <c r="S59" s="127">
        <f t="shared" ref="S59:S64" si="108">2*(Q59*R59)/(Q59+R59)</f>
        <v>0.95000000000000007</v>
      </c>
      <c r="U59" s="81">
        <f>V59-1</f>
        <v>7</v>
      </c>
      <c r="V59" s="81">
        <f>$G$58</f>
        <v>8</v>
      </c>
      <c r="W59" s="129">
        <f t="shared" ref="W59:W64" si="109">U59/$G$58</f>
        <v>0.875</v>
      </c>
      <c r="X59" s="129">
        <f t="shared" ref="X59:X64" si="110">U59/V59</f>
        <v>0.875</v>
      </c>
      <c r="Y59" s="127">
        <f t="shared" ref="Y59:Y64" si="111">2*(W59*X59)/(W59+X59)</f>
        <v>0.875</v>
      </c>
      <c r="AA59" s="81">
        <f>AB59-3</f>
        <v>12</v>
      </c>
      <c r="AB59" s="81">
        <f>$I$58-0</f>
        <v>15</v>
      </c>
      <c r="AC59" s="129">
        <f t="shared" ref="AC59:AC64" si="112">AA59/$I$58</f>
        <v>0.8</v>
      </c>
      <c r="AD59" s="129">
        <f t="shared" ref="AD59:AD64" si="113">AA59/AB59</f>
        <v>0.8</v>
      </c>
      <c r="AE59" s="127">
        <f t="shared" ref="AE59:AE64" si="114">2*(AC59*AD59)/(AC59+AD59)</f>
        <v>0.80000000000000016</v>
      </c>
      <c r="AG59">
        <f t="shared" ref="AG59:AG64" si="115">AH59-0</f>
        <v>5</v>
      </c>
      <c r="AH59">
        <v>5</v>
      </c>
      <c r="AI59" s="127">
        <f t="shared" ref="AI59:AI64" si="116">AG59/$H$58</f>
        <v>0.7142857142857143</v>
      </c>
      <c r="AJ59" s="127">
        <f t="shared" si="17"/>
        <v>1</v>
      </c>
      <c r="AM59" s="122">
        <v>0</v>
      </c>
      <c r="AN59" s="101">
        <v>0</v>
      </c>
      <c r="AO59">
        <v>284</v>
      </c>
      <c r="AP59">
        <v>13</v>
      </c>
      <c r="AQ59" s="101">
        <v>8</v>
      </c>
      <c r="AR59" s="101">
        <v>7</v>
      </c>
      <c r="AS59">
        <v>2</v>
      </c>
      <c r="AT59">
        <v>2</v>
      </c>
      <c r="AU59">
        <v>3</v>
      </c>
      <c r="AV59" s="119">
        <v>8</v>
      </c>
      <c r="AW59" s="101">
        <f>($F$58-N59)/$F$58</f>
        <v>1</v>
      </c>
      <c r="AY59" s="101">
        <f>($G$58-AN59)/$G$58</f>
        <v>1</v>
      </c>
      <c r="AZ59" s="101">
        <f>AR59/AQ59</f>
        <v>0.875</v>
      </c>
      <c r="BA59" s="101">
        <f>AT59/AS59</f>
        <v>1</v>
      </c>
      <c r="BB59" s="85">
        <f>(AW59+AY59+AZ59+BA59)/4</f>
        <v>0.96875</v>
      </c>
      <c r="BC59" s="13">
        <f>AP59/$H$58</f>
        <v>1.8571428571428572</v>
      </c>
      <c r="BD59" s="118">
        <f>AV59/AP59</f>
        <v>0.61538461538461542</v>
      </c>
      <c r="BE59" s="13">
        <f>AO59/AP59</f>
        <v>21.846153846153847</v>
      </c>
      <c r="BF59" s="13">
        <f>AT59/$H$58</f>
        <v>0.2857142857142857</v>
      </c>
      <c r="BG59" s="13">
        <f>AR59/$H$58</f>
        <v>1</v>
      </c>
      <c r="BQ59" t="str">
        <f>_xlfn.CONCAT($C$58," &amp; ",J59," &amp; ",Q59," &amp; ",R59," &amp; ",S59," &amp; ",W59," &amp; ",X59," &amp; ",Y59," &amp; ",AC59," &amp; ",AD59," &amp; ",AE59," &amp; ",AG59," &amp; ",AH59," &amp; ",AI59," &amp; ",AJ59, " \\ \hline")</f>
        <v>8-1 &amp; k=1 &amp; 0.95 &amp; 0.95 &amp; 0.95 &amp; 0.875 &amp; 0.875 &amp; 0.875 &amp; 0.8 &amp; 0.8 &amp; 0.8 &amp; 5 &amp; 5 &amp; 0.714285714285714 &amp; 1 \\ \hline</v>
      </c>
    </row>
    <row r="60" spans="1:69">
      <c r="A60" t="s">
        <v>306</v>
      </c>
      <c r="C60" s="98"/>
      <c r="J60" t="s">
        <v>679</v>
      </c>
      <c r="L60" s="211" t="s">
        <v>152</v>
      </c>
      <c r="M60" s="77"/>
      <c r="O60" s="81">
        <f>P60-1</f>
        <v>19</v>
      </c>
      <c r="P60" s="81">
        <f>$F$58-0</f>
        <v>20</v>
      </c>
      <c r="Q60" s="129">
        <f t="shared" si="106"/>
        <v>0.95</v>
      </c>
      <c r="R60" s="129">
        <f t="shared" si="107"/>
        <v>0.95</v>
      </c>
      <c r="S60" s="127">
        <f t="shared" si="108"/>
        <v>0.95000000000000007</v>
      </c>
      <c r="U60" s="81">
        <f>V60-1</f>
        <v>7</v>
      </c>
      <c r="V60" s="81">
        <f>$G$58-0</f>
        <v>8</v>
      </c>
      <c r="W60" s="129">
        <f t="shared" si="109"/>
        <v>0.875</v>
      </c>
      <c r="X60" s="129">
        <f t="shared" si="110"/>
        <v>0.875</v>
      </c>
      <c r="Y60" s="127">
        <f t="shared" si="111"/>
        <v>0.875</v>
      </c>
      <c r="AA60" s="81">
        <f>AB60-1</f>
        <v>14</v>
      </c>
      <c r="AB60" s="81">
        <f>$I$58</f>
        <v>15</v>
      </c>
      <c r="AC60" s="129">
        <f t="shared" si="112"/>
        <v>0.93333333333333335</v>
      </c>
      <c r="AD60" s="129">
        <f t="shared" si="113"/>
        <v>0.93333333333333335</v>
      </c>
      <c r="AE60" s="127">
        <f t="shared" si="114"/>
        <v>0.93333333333333335</v>
      </c>
      <c r="AG60">
        <f t="shared" si="115"/>
        <v>3</v>
      </c>
      <c r="AH60">
        <v>3</v>
      </c>
      <c r="AI60" s="127">
        <f t="shared" si="116"/>
        <v>0.42857142857142855</v>
      </c>
      <c r="AJ60" s="127">
        <f t="shared" si="17"/>
        <v>1</v>
      </c>
      <c r="AM60" s="122">
        <v>0</v>
      </c>
      <c r="AN60" s="101">
        <v>0</v>
      </c>
      <c r="AO60">
        <v>306</v>
      </c>
      <c r="AP60">
        <v>20</v>
      </c>
      <c r="AQ60" s="101">
        <v>13</v>
      </c>
      <c r="AR60" s="101">
        <v>13</v>
      </c>
      <c r="AS60">
        <v>7</v>
      </c>
      <c r="AT60">
        <v>7</v>
      </c>
      <c r="AU60">
        <v>0</v>
      </c>
      <c r="AV60" s="119">
        <v>8</v>
      </c>
      <c r="AW60" s="101">
        <f>($F$58-N60)/$F$58</f>
        <v>1</v>
      </c>
      <c r="AY60" s="101">
        <f>($G$58-AN60)/$G$58</f>
        <v>1</v>
      </c>
      <c r="AZ60" s="101">
        <f>AR60/AQ60</f>
        <v>1</v>
      </c>
      <c r="BA60" s="101">
        <f>AT60/AS60</f>
        <v>1</v>
      </c>
      <c r="BB60" s="85">
        <f>(AW60+AY60+AZ60+BA60)/4</f>
        <v>1</v>
      </c>
      <c r="BC60" s="13">
        <f>AP60/$H$58</f>
        <v>2.8571428571428572</v>
      </c>
      <c r="BD60" s="118">
        <f>AV60/AP60</f>
        <v>0.4</v>
      </c>
      <c r="BE60" s="13">
        <f>AO60/AP60</f>
        <v>15.3</v>
      </c>
      <c r="BF60" s="13">
        <f>AT60/$H$58</f>
        <v>1</v>
      </c>
      <c r="BG60" s="13">
        <f>AR60/$H$58</f>
        <v>1.8571428571428572</v>
      </c>
      <c r="BQ60" t="str">
        <f t="shared" ref="BQ60:BQ64" si="117">_xlfn.CONCAT($C$58," &amp; ",J60," &amp; ",Q60," &amp; ",R60," &amp; ",S60," &amp; ",W60," &amp; ",X60," &amp; ",Y60," &amp; ",AC60," &amp; ",AD60," &amp; ",AE60," &amp; ",AG60," &amp; ",AH60," &amp; ",AI60," &amp; ",AJ60, " \\ \hline")</f>
        <v>8-1 &amp; k=1 &amp; 0.95 &amp; 0.95 &amp; 0.95 &amp; 0.875 &amp; 0.875 &amp; 0.875 &amp; 0.933333333333333 &amp; 0.933333333333333 &amp; 0.933333333333333 &amp; 3 &amp; 3 &amp; 0.428571428571429 &amp; 1 \\ \hline</v>
      </c>
    </row>
    <row r="61" spans="1:69">
      <c r="A61" t="s">
        <v>307</v>
      </c>
      <c r="C61" s="98"/>
      <c r="J61" t="s">
        <v>680</v>
      </c>
      <c r="L61" s="211" t="s">
        <v>600</v>
      </c>
      <c r="M61" s="77"/>
      <c r="O61" s="81">
        <f>P61-0</f>
        <v>20</v>
      </c>
      <c r="P61" s="81">
        <f>$F$58</f>
        <v>20</v>
      </c>
      <c r="Q61" s="129">
        <f t="shared" si="106"/>
        <v>1</v>
      </c>
      <c r="R61" s="129">
        <f t="shared" si="107"/>
        <v>1</v>
      </c>
      <c r="S61" s="127">
        <f t="shared" si="108"/>
        <v>1</v>
      </c>
      <c r="U61" s="81">
        <f>V61-0</f>
        <v>8</v>
      </c>
      <c r="V61" s="81">
        <f>$G$58</f>
        <v>8</v>
      </c>
      <c r="W61" s="129">
        <f t="shared" si="109"/>
        <v>1</v>
      </c>
      <c r="X61" s="129">
        <f t="shared" si="110"/>
        <v>1</v>
      </c>
      <c r="Y61" s="127">
        <f t="shared" si="111"/>
        <v>1</v>
      </c>
      <c r="AA61" s="81">
        <f>AB61-2</f>
        <v>13</v>
      </c>
      <c r="AB61" s="81">
        <f>$I$58</f>
        <v>15</v>
      </c>
      <c r="AC61" s="129">
        <f t="shared" si="112"/>
        <v>0.8666666666666667</v>
      </c>
      <c r="AD61" s="129">
        <f t="shared" si="113"/>
        <v>0.8666666666666667</v>
      </c>
      <c r="AE61" s="127">
        <f t="shared" si="114"/>
        <v>0.8666666666666667</v>
      </c>
      <c r="AG61">
        <f t="shared" si="115"/>
        <v>6</v>
      </c>
      <c r="AH61">
        <v>6</v>
      </c>
      <c r="AI61" s="127">
        <f t="shared" si="116"/>
        <v>0.8571428571428571</v>
      </c>
      <c r="AJ61" s="127">
        <f t="shared" si="17"/>
        <v>1</v>
      </c>
      <c r="AM61" s="122">
        <v>0</v>
      </c>
      <c r="AN61" s="101">
        <v>0</v>
      </c>
      <c r="AO61">
        <v>285</v>
      </c>
      <c r="AP61">
        <v>13</v>
      </c>
      <c r="AQ61" s="101">
        <v>7</v>
      </c>
      <c r="AR61" s="101">
        <v>6</v>
      </c>
      <c r="AS61">
        <v>4</v>
      </c>
      <c r="AT61">
        <v>4</v>
      </c>
      <c r="AU61">
        <v>2</v>
      </c>
      <c r="AV61" s="119">
        <v>6</v>
      </c>
      <c r="AW61" s="101">
        <f>($F$58-N61)/$F$58</f>
        <v>1</v>
      </c>
      <c r="AY61" s="101">
        <f>($G$58-AN61)/$G$58</f>
        <v>1</v>
      </c>
      <c r="AZ61" s="101">
        <f>AR61/AQ61</f>
        <v>0.8571428571428571</v>
      </c>
      <c r="BA61" s="101">
        <f>AT61/AS61</f>
        <v>1</v>
      </c>
      <c r="BB61" s="85">
        <f>(AW61+AY61+AZ61+BA61)/4</f>
        <v>0.9642857142857143</v>
      </c>
      <c r="BC61" s="13">
        <f>AP61/$H$58</f>
        <v>1.8571428571428572</v>
      </c>
      <c r="BD61" s="118">
        <f>AV61/AP61</f>
        <v>0.46153846153846156</v>
      </c>
      <c r="BE61" s="13">
        <f>AO61/AP61</f>
        <v>21.923076923076923</v>
      </c>
      <c r="BF61" s="13">
        <f>AT61/$H$58</f>
        <v>0.5714285714285714</v>
      </c>
      <c r="BG61" s="13">
        <f>AR61/$H$58</f>
        <v>0.8571428571428571</v>
      </c>
      <c r="BQ61" t="str">
        <f t="shared" si="117"/>
        <v>8-1 &amp; k=2 &amp; 1 &amp; 1 &amp; 1 &amp; 1 &amp; 1 &amp; 1 &amp; 0.866666666666667 &amp; 0.866666666666667 &amp; 0.866666666666667 &amp; 6 &amp; 6 &amp; 0.857142857142857 &amp; 1 \\ \hline</v>
      </c>
    </row>
    <row r="62" spans="1:69">
      <c r="A62" t="s">
        <v>308</v>
      </c>
      <c r="C62" s="98"/>
      <c r="J62" t="s">
        <v>680</v>
      </c>
      <c r="K62" s="107"/>
      <c r="L62" s="211" t="s">
        <v>600</v>
      </c>
      <c r="M62" s="77"/>
      <c r="O62" s="81">
        <f>P62-0</f>
        <v>20</v>
      </c>
      <c r="P62" s="81">
        <f>$F$58</f>
        <v>20</v>
      </c>
      <c r="Q62" s="129">
        <f t="shared" si="106"/>
        <v>1</v>
      </c>
      <c r="R62" s="129">
        <f t="shared" si="107"/>
        <v>1</v>
      </c>
      <c r="S62" s="127">
        <f t="shared" si="108"/>
        <v>1</v>
      </c>
      <c r="U62" s="81">
        <v>8</v>
      </c>
      <c r="V62" s="81">
        <f>$G$58</f>
        <v>8</v>
      </c>
      <c r="W62" s="129">
        <f t="shared" si="109"/>
        <v>1</v>
      </c>
      <c r="X62" s="129">
        <f t="shared" si="110"/>
        <v>1</v>
      </c>
      <c r="Y62" s="127">
        <f t="shared" si="111"/>
        <v>1</v>
      </c>
      <c r="AA62" s="81">
        <f>AB62-2</f>
        <v>13</v>
      </c>
      <c r="AB62" s="81">
        <f>$I$58</f>
        <v>15</v>
      </c>
      <c r="AC62" s="129">
        <f t="shared" si="112"/>
        <v>0.8666666666666667</v>
      </c>
      <c r="AD62" s="129">
        <f t="shared" si="113"/>
        <v>0.8666666666666667</v>
      </c>
      <c r="AE62" s="127">
        <f t="shared" si="114"/>
        <v>0.8666666666666667</v>
      </c>
      <c r="AG62">
        <f t="shared" si="115"/>
        <v>5</v>
      </c>
      <c r="AH62">
        <v>5</v>
      </c>
      <c r="AI62" s="127">
        <f t="shared" si="116"/>
        <v>0.7142857142857143</v>
      </c>
      <c r="AJ62" s="127">
        <f t="shared" si="17"/>
        <v>1</v>
      </c>
      <c r="AM62" s="122">
        <v>0</v>
      </c>
      <c r="AN62" s="101">
        <v>0</v>
      </c>
      <c r="AO62">
        <v>302</v>
      </c>
      <c r="AP62">
        <v>15</v>
      </c>
      <c r="AQ62" s="101">
        <v>9</v>
      </c>
      <c r="AR62" s="101">
        <v>8</v>
      </c>
      <c r="AS62">
        <v>5</v>
      </c>
      <c r="AT62">
        <v>5</v>
      </c>
      <c r="AU62">
        <v>1</v>
      </c>
      <c r="AV62" s="119">
        <v>8</v>
      </c>
      <c r="AW62" s="101">
        <f>($F$58-N62)/$F$58</f>
        <v>1</v>
      </c>
      <c r="AY62" s="101">
        <f>($G$58-AN62)/$G$58</f>
        <v>1</v>
      </c>
      <c r="AZ62" s="101">
        <f>AR62/AQ62</f>
        <v>0.88888888888888884</v>
      </c>
      <c r="BA62" s="101">
        <f>AT62/AS62</f>
        <v>1</v>
      </c>
      <c r="BB62" s="85">
        <f>(AW62+AY62+AZ62+BA62)/4</f>
        <v>0.97222222222222221</v>
      </c>
      <c r="BC62" s="13">
        <f>AP62/$H$58</f>
        <v>2.1428571428571428</v>
      </c>
      <c r="BD62" s="118">
        <f>AV62/AP62</f>
        <v>0.53333333333333333</v>
      </c>
      <c r="BE62" s="13">
        <f>AO62/AP62</f>
        <v>20.133333333333333</v>
      </c>
      <c r="BF62" s="13">
        <f>AT62/$H$58</f>
        <v>0.7142857142857143</v>
      </c>
      <c r="BG62" s="13">
        <f>AR62/$H$58</f>
        <v>1.1428571428571428</v>
      </c>
      <c r="BQ62" t="str">
        <f t="shared" si="117"/>
        <v>8-1 &amp; k=2 &amp; 1 &amp; 1 &amp; 1 &amp; 1 &amp; 1 &amp; 1 &amp; 0.866666666666667 &amp; 0.866666666666667 &amp; 0.866666666666667 &amp; 5 &amp; 5 &amp; 0.714285714285714 &amp; 1 \\ \hline</v>
      </c>
    </row>
    <row r="63" spans="1:69">
      <c r="A63" t="s">
        <v>309</v>
      </c>
      <c r="C63" s="98"/>
      <c r="J63" t="s">
        <v>681</v>
      </c>
      <c r="L63" s="211" t="s">
        <v>691</v>
      </c>
      <c r="M63" s="77"/>
      <c r="O63" s="81">
        <f>P63-0</f>
        <v>20</v>
      </c>
      <c r="P63" s="81">
        <f>$F$58</f>
        <v>20</v>
      </c>
      <c r="Q63" s="129">
        <f t="shared" si="106"/>
        <v>1</v>
      </c>
      <c r="R63" s="129">
        <f t="shared" si="107"/>
        <v>1</v>
      </c>
      <c r="S63" s="127">
        <f t="shared" si="108"/>
        <v>1</v>
      </c>
      <c r="U63" s="81">
        <f>V63-0</f>
        <v>8</v>
      </c>
      <c r="V63" s="81">
        <f>$G$58</f>
        <v>8</v>
      </c>
      <c r="W63" s="129">
        <f t="shared" si="109"/>
        <v>1</v>
      </c>
      <c r="X63" s="129">
        <f t="shared" si="110"/>
        <v>1</v>
      </c>
      <c r="Y63" s="127">
        <f t="shared" si="111"/>
        <v>1</v>
      </c>
      <c r="AA63" s="81">
        <f>AB63-2</f>
        <v>13</v>
      </c>
      <c r="AB63" s="81">
        <f>$I$58</f>
        <v>15</v>
      </c>
      <c r="AC63" s="129">
        <f t="shared" si="112"/>
        <v>0.8666666666666667</v>
      </c>
      <c r="AD63" s="129">
        <f t="shared" si="113"/>
        <v>0.8666666666666667</v>
      </c>
      <c r="AE63" s="127">
        <f t="shared" si="114"/>
        <v>0.8666666666666667</v>
      </c>
      <c r="AG63">
        <f t="shared" si="115"/>
        <v>7</v>
      </c>
      <c r="AH63">
        <v>7</v>
      </c>
      <c r="AI63" s="127">
        <f t="shared" si="116"/>
        <v>1</v>
      </c>
      <c r="AJ63" s="127">
        <f t="shared" si="17"/>
        <v>1</v>
      </c>
      <c r="BC63" s="13"/>
      <c r="BD63" s="118"/>
      <c r="BE63" s="13"/>
      <c r="BF63" s="13"/>
      <c r="BG63" s="13"/>
      <c r="BQ63" t="str">
        <f t="shared" si="117"/>
        <v>8-1 &amp; k=3 &amp; 1 &amp; 1 &amp; 1 &amp; 1 &amp; 1 &amp; 1 &amp; 0.866666666666667 &amp; 0.866666666666667 &amp; 0.866666666666667 &amp; 7 &amp; 7 &amp; 1 &amp; 1 \\ \hline</v>
      </c>
    </row>
    <row r="64" spans="1:69">
      <c r="A64" t="s">
        <v>667</v>
      </c>
      <c r="C64" s="98"/>
      <c r="J64" t="s">
        <v>681</v>
      </c>
      <c r="L64" s="211" t="s">
        <v>691</v>
      </c>
      <c r="M64" s="77"/>
      <c r="O64" s="81">
        <f>P64-0</f>
        <v>20</v>
      </c>
      <c r="P64" s="81">
        <f>$F$58</f>
        <v>20</v>
      </c>
      <c r="Q64" s="129">
        <f t="shared" si="106"/>
        <v>1</v>
      </c>
      <c r="R64" s="129">
        <f t="shared" si="107"/>
        <v>1</v>
      </c>
      <c r="S64" s="127">
        <f t="shared" si="108"/>
        <v>1</v>
      </c>
      <c r="U64" s="81">
        <f>V64-0</f>
        <v>8</v>
      </c>
      <c r="V64" s="81">
        <f>$G$58</f>
        <v>8</v>
      </c>
      <c r="W64" s="129">
        <f t="shared" si="109"/>
        <v>1</v>
      </c>
      <c r="X64" s="129">
        <f t="shared" si="110"/>
        <v>1</v>
      </c>
      <c r="Y64" s="127">
        <f t="shared" si="111"/>
        <v>1</v>
      </c>
      <c r="AA64" s="81">
        <f>AB64-2</f>
        <v>13</v>
      </c>
      <c r="AB64" s="81">
        <f>$I$58</f>
        <v>15</v>
      </c>
      <c r="AC64" s="129">
        <f t="shared" si="112"/>
        <v>0.8666666666666667</v>
      </c>
      <c r="AD64" s="129">
        <f t="shared" si="113"/>
        <v>0.8666666666666667</v>
      </c>
      <c r="AE64" s="127">
        <f t="shared" si="114"/>
        <v>0.8666666666666667</v>
      </c>
      <c r="AG64">
        <f t="shared" si="115"/>
        <v>6</v>
      </c>
      <c r="AH64">
        <v>6</v>
      </c>
      <c r="AI64" s="127">
        <f t="shared" si="116"/>
        <v>0.8571428571428571</v>
      </c>
      <c r="AJ64" s="127">
        <f t="shared" si="17"/>
        <v>1</v>
      </c>
      <c r="BC64" s="13"/>
      <c r="BD64" s="118"/>
      <c r="BE64" s="13"/>
      <c r="BF64" s="13"/>
      <c r="BG64" s="13"/>
      <c r="BQ64" t="str">
        <f t="shared" si="117"/>
        <v>8-1 &amp; k=3 &amp; 1 &amp; 1 &amp; 1 &amp; 1 &amp; 1 &amp; 1 &amp; 0.866666666666667 &amp; 0.866666666666667 &amp; 0.866666666666667 &amp; 6 &amp; 6 &amp; 0.857142857142857 &amp; 1 \\ \hline</v>
      </c>
    </row>
    <row r="65" spans="1:69">
      <c r="C65" s="98"/>
      <c r="Q65" s="129"/>
      <c r="R65" s="129"/>
      <c r="S65" s="127"/>
      <c r="W65" s="129"/>
      <c r="X65" s="129"/>
      <c r="Y65" s="127"/>
      <c r="AC65" s="129"/>
      <c r="AD65" s="129"/>
      <c r="AE65" s="127"/>
      <c r="AG65"/>
      <c r="AH65"/>
      <c r="AI65" s="127"/>
      <c r="AJ65" s="127"/>
    </row>
    <row r="66" spans="1:69" s="73" customFormat="1">
      <c r="A66" s="73" t="s">
        <v>318</v>
      </c>
      <c r="B66" s="94">
        <v>45179</v>
      </c>
      <c r="C66" s="93" t="s">
        <v>159</v>
      </c>
      <c r="D66" s="78">
        <f>VLOOKUP($C$66,Overview!$Q$2:$AS$64,23,FALSE)</f>
        <v>0.33132630703029992</v>
      </c>
      <c r="E66" s="78" t="str">
        <f>VLOOKUP($C$66,Overview!$Q$2:$AS$64,24,FALSE)</f>
        <v>low</v>
      </c>
      <c r="F66" s="75">
        <f>VLOOKUP(C66,Overview!$Q$2:$AS$64,13,FALSE)</f>
        <v>21</v>
      </c>
      <c r="G66" s="75">
        <f>VLOOKUP(C66,Overview!$Q$2:$AS$64,16,FALSE)</f>
        <v>9</v>
      </c>
      <c r="H66" s="75">
        <f>VLOOKUP(C66,Overview!$Q$2:$AS$64,18,FALSE)</f>
        <v>8</v>
      </c>
      <c r="I66" s="75">
        <f>VLOOKUP($C$66,Overview!$Q$2:$AS$64,19,FALSE)</f>
        <v>18</v>
      </c>
      <c r="K66" s="75" t="str">
        <f>VLOOKUP($C$66,Overview!$Q$2:$AS$64,5,FALSE)</f>
        <v>5-2, 3-8</v>
      </c>
      <c r="L66" s="91"/>
      <c r="N66" s="114"/>
      <c r="O66" s="80"/>
      <c r="P66" s="80"/>
      <c r="Q66" s="130"/>
      <c r="R66" s="130"/>
      <c r="S66" s="128"/>
      <c r="T66" s="114"/>
      <c r="U66" s="80"/>
      <c r="V66" s="80"/>
      <c r="W66" s="130"/>
      <c r="X66" s="130"/>
      <c r="Y66" s="128"/>
      <c r="Z66" s="114"/>
      <c r="AA66" s="80"/>
      <c r="AB66" s="80"/>
      <c r="AC66" s="130"/>
      <c r="AD66" s="130"/>
      <c r="AE66" s="128"/>
      <c r="AF66" s="114"/>
      <c r="AI66" s="128"/>
      <c r="AJ66" s="127"/>
      <c r="AK66" s="80"/>
      <c r="AL66" s="114"/>
      <c r="AM66" s="121"/>
      <c r="AN66" s="100"/>
      <c r="AQ66" s="100"/>
      <c r="AR66" s="100"/>
      <c r="AV66" s="120"/>
      <c r="AW66" s="100"/>
      <c r="AX66" s="100"/>
      <c r="AY66" s="100"/>
      <c r="AZ66" s="100"/>
      <c r="BA66" s="100"/>
      <c r="BB66" s="84"/>
      <c r="BD66" s="100"/>
      <c r="BQ66"/>
    </row>
    <row r="67" spans="1:69">
      <c r="A67" t="s">
        <v>305</v>
      </c>
      <c r="C67" s="110" t="s">
        <v>616</v>
      </c>
      <c r="J67" t="s">
        <v>679</v>
      </c>
      <c r="K67" s="296" t="s">
        <v>787</v>
      </c>
      <c r="L67" s="210" t="s">
        <v>149</v>
      </c>
      <c r="M67" s="77"/>
      <c r="O67" s="81">
        <f t="shared" ref="O67:O72" si="118">P67-0</f>
        <v>21</v>
      </c>
      <c r="P67" s="81">
        <f t="shared" ref="P67:P72" si="119">$F$66-0</f>
        <v>21</v>
      </c>
      <c r="Q67" s="129">
        <f t="shared" ref="Q67:Q72" si="120">O67/$F$66</f>
        <v>1</v>
      </c>
      <c r="R67" s="129">
        <f t="shared" ref="R67:R72" si="121">O67/P67</f>
        <v>1</v>
      </c>
      <c r="S67" s="127">
        <f t="shared" ref="S67:S72" si="122">2*(Q67*R67)/(Q67+R67)</f>
        <v>1</v>
      </c>
      <c r="U67" s="81">
        <f t="shared" ref="U67:U72" si="123">V67-0</f>
        <v>9</v>
      </c>
      <c r="V67" s="81">
        <f t="shared" ref="V67:V72" si="124">$G$66-0</f>
        <v>9</v>
      </c>
      <c r="W67" s="129">
        <f t="shared" ref="W67:W72" si="125">U67/$G$66</f>
        <v>1</v>
      </c>
      <c r="X67" s="129">
        <f t="shared" ref="X67:X72" si="126">U67/V67</f>
        <v>1</v>
      </c>
      <c r="Y67" s="127">
        <f t="shared" ref="Y67:Y72" si="127">2*(W67*X67)/(W67+X67)</f>
        <v>1</v>
      </c>
      <c r="AA67" s="81">
        <f>AB67</f>
        <v>18</v>
      </c>
      <c r="AB67" s="81">
        <f t="shared" ref="AB67:AB72" si="128">$I$66-0</f>
        <v>18</v>
      </c>
      <c r="AC67" s="129">
        <f t="shared" ref="AC67:AC72" si="129">AA67/$I$66</f>
        <v>1</v>
      </c>
      <c r="AD67" s="129">
        <f t="shared" ref="AD67:AD72" si="130">AA67/AB67</f>
        <v>1</v>
      </c>
      <c r="AE67" s="127">
        <f t="shared" ref="AE67:AE72" si="131">2*(AC67*AD67)/(AC67+AD67)</f>
        <v>1</v>
      </c>
      <c r="AG67">
        <f t="shared" ref="AG67:AG72" si="132">AH67</f>
        <v>6</v>
      </c>
      <c r="AH67">
        <v>6</v>
      </c>
      <c r="AI67" s="127">
        <f t="shared" ref="AI67:AI72" si="133">AG67/$H$66</f>
        <v>0.75</v>
      </c>
      <c r="AJ67" s="127">
        <f t="shared" si="17"/>
        <v>1</v>
      </c>
      <c r="AM67" s="122">
        <v>1</v>
      </c>
      <c r="AN67" s="101">
        <v>1</v>
      </c>
      <c r="AO67">
        <v>155</v>
      </c>
      <c r="AP67">
        <v>11</v>
      </c>
      <c r="AQ67" s="101">
        <v>10</v>
      </c>
      <c r="AR67" s="101">
        <v>10</v>
      </c>
      <c r="AS67">
        <v>1</v>
      </c>
      <c r="AT67">
        <v>1</v>
      </c>
      <c r="AU67">
        <v>0</v>
      </c>
      <c r="AV67" s="119">
        <v>7</v>
      </c>
      <c r="AW67" s="101">
        <f>($F$66-N67)/$F$66</f>
        <v>1</v>
      </c>
      <c r="AY67" s="101">
        <f>($G$66-AN67)/$G$66</f>
        <v>0.88888888888888884</v>
      </c>
      <c r="AZ67" s="101">
        <f>AR67/AQ67</f>
        <v>1</v>
      </c>
      <c r="BA67" s="101">
        <f>AT67/AS67</f>
        <v>1</v>
      </c>
      <c r="BB67" s="85">
        <f>(AW67+AY67+AZ67+BA67)/4</f>
        <v>0.97222222222222221</v>
      </c>
      <c r="BC67" s="13">
        <f>AP67/$H$66</f>
        <v>1.375</v>
      </c>
      <c r="BD67" s="118">
        <f>AV67/AP67</f>
        <v>0.63636363636363635</v>
      </c>
      <c r="BE67" s="13">
        <f>AO67/AP67</f>
        <v>14.090909090909092</v>
      </c>
      <c r="BF67" s="13">
        <f>AT67/$H$66</f>
        <v>0.125</v>
      </c>
      <c r="BG67" s="13">
        <f>AR67/$H$66</f>
        <v>1.25</v>
      </c>
      <c r="BQ67" t="str">
        <f>_xlfn.CONCAT($C$66," &amp; ",J67," &amp; ",Q67," &amp; ",R67," &amp; ",S67," &amp; ",W67," &amp; ",X67," &amp; ",Y67," &amp; ",AC67," &amp; ",AD67," &amp; ",AE67," &amp; ",AG67," &amp; ",AH67," &amp; ",AI67," &amp; ",AJ67, " \\ \hline")</f>
        <v>7-1 &amp; k=1 &amp; 1 &amp; 1 &amp; 1 &amp; 1 &amp; 1 &amp; 1 &amp; 1 &amp; 1 &amp; 1 &amp; 6 &amp; 6 &amp; 0.75 &amp; 1 \\ \hline</v>
      </c>
    </row>
    <row r="68" spans="1:69">
      <c r="A68" t="s">
        <v>306</v>
      </c>
      <c r="C68" s="98"/>
      <c r="J68" t="s">
        <v>679</v>
      </c>
      <c r="L68" s="210" t="s">
        <v>149</v>
      </c>
      <c r="M68" s="77"/>
      <c r="O68" s="81">
        <f t="shared" si="118"/>
        <v>21</v>
      </c>
      <c r="P68" s="81">
        <f t="shared" si="119"/>
        <v>21</v>
      </c>
      <c r="Q68" s="129">
        <f t="shared" si="120"/>
        <v>1</v>
      </c>
      <c r="R68" s="129">
        <f t="shared" si="121"/>
        <v>1</v>
      </c>
      <c r="S68" s="127">
        <f t="shared" si="122"/>
        <v>1</v>
      </c>
      <c r="U68" s="81">
        <f t="shared" si="123"/>
        <v>9</v>
      </c>
      <c r="V68" s="81">
        <f t="shared" si="124"/>
        <v>9</v>
      </c>
      <c r="W68" s="129">
        <f t="shared" si="125"/>
        <v>1</v>
      </c>
      <c r="X68" s="129">
        <f t="shared" si="126"/>
        <v>1</v>
      </c>
      <c r="Y68" s="127">
        <f t="shared" si="127"/>
        <v>1</v>
      </c>
      <c r="AA68" s="81">
        <f>AB68</f>
        <v>18</v>
      </c>
      <c r="AB68" s="81">
        <f t="shared" si="128"/>
        <v>18</v>
      </c>
      <c r="AC68" s="129">
        <f t="shared" si="129"/>
        <v>1</v>
      </c>
      <c r="AD68" s="129">
        <f t="shared" si="130"/>
        <v>1</v>
      </c>
      <c r="AE68" s="127">
        <f t="shared" si="131"/>
        <v>1</v>
      </c>
      <c r="AG68">
        <f t="shared" si="132"/>
        <v>10</v>
      </c>
      <c r="AH68">
        <v>10</v>
      </c>
      <c r="AI68" s="127">
        <f t="shared" si="133"/>
        <v>1.25</v>
      </c>
      <c r="AJ68" s="127">
        <f t="shared" ref="AJ68:AJ131" si="134">AG68/AH68</f>
        <v>1</v>
      </c>
      <c r="AM68" s="122">
        <v>1</v>
      </c>
      <c r="AN68" s="101">
        <v>1</v>
      </c>
      <c r="AO68">
        <v>269</v>
      </c>
      <c r="AP68">
        <v>19</v>
      </c>
      <c r="AQ68" s="101">
        <v>14</v>
      </c>
      <c r="AR68" s="101">
        <v>13</v>
      </c>
      <c r="AS68">
        <v>4</v>
      </c>
      <c r="AT68">
        <v>4</v>
      </c>
      <c r="AU68">
        <v>1</v>
      </c>
      <c r="AV68" s="119">
        <v>9</v>
      </c>
      <c r="AW68" s="101">
        <f>($F$66-N68)/$F$66</f>
        <v>1</v>
      </c>
      <c r="AY68" s="101">
        <f>($G$66-AN68)/$G$66</f>
        <v>0.88888888888888884</v>
      </c>
      <c r="AZ68" s="101">
        <f>AR68/AQ68</f>
        <v>0.9285714285714286</v>
      </c>
      <c r="BA68" s="101">
        <f>AT68/AS68</f>
        <v>1</v>
      </c>
      <c r="BB68" s="85">
        <f>(AW68+AY68+AZ68+BA68)/4</f>
        <v>0.95436507936507931</v>
      </c>
      <c r="BC68" s="13">
        <f>AP68/$H$66</f>
        <v>2.375</v>
      </c>
      <c r="BD68" s="118">
        <f>AV68/AP68</f>
        <v>0.47368421052631576</v>
      </c>
      <c r="BE68" s="13">
        <f>AO68/AP68</f>
        <v>14.157894736842104</v>
      </c>
      <c r="BF68" s="13">
        <f>AT68/$H$66</f>
        <v>0.5</v>
      </c>
      <c r="BG68" s="13">
        <f>AR68/$H$66</f>
        <v>1.625</v>
      </c>
      <c r="BQ68" t="str">
        <f t="shared" ref="BQ68:BQ72" si="135">_xlfn.CONCAT($C$66," &amp; ",J68," &amp; ",Q68," &amp; ",R68," &amp; ",S68," &amp; ",W68," &amp; ",X68," &amp; ",Y68," &amp; ",AC68," &amp; ",AD68," &amp; ",AE68," &amp; ",AG68," &amp; ",AH68," &amp; ",AI68," &amp; ",AJ68, " \\ \hline")</f>
        <v>7-1 &amp; k=1 &amp; 1 &amp; 1 &amp; 1 &amp; 1 &amp; 1 &amp; 1 &amp; 1 &amp; 1 &amp; 1 &amp; 10 &amp; 10 &amp; 1.25 &amp; 1 \\ \hline</v>
      </c>
    </row>
    <row r="69" spans="1:69">
      <c r="A69" t="s">
        <v>307</v>
      </c>
      <c r="C69" s="98"/>
      <c r="J69" t="s">
        <v>680</v>
      </c>
      <c r="L69" s="174" t="s">
        <v>682</v>
      </c>
      <c r="M69" s="77"/>
      <c r="O69" s="81">
        <f t="shared" si="118"/>
        <v>21</v>
      </c>
      <c r="P69" s="81">
        <f t="shared" si="119"/>
        <v>21</v>
      </c>
      <c r="Q69" s="129">
        <f t="shared" si="120"/>
        <v>1</v>
      </c>
      <c r="R69" s="129">
        <f t="shared" si="121"/>
        <v>1</v>
      </c>
      <c r="S69" s="127">
        <f t="shared" si="122"/>
        <v>1</v>
      </c>
      <c r="U69" s="81">
        <f t="shared" si="123"/>
        <v>9</v>
      </c>
      <c r="V69" s="81">
        <f t="shared" si="124"/>
        <v>9</v>
      </c>
      <c r="W69" s="129">
        <f t="shared" si="125"/>
        <v>1</v>
      </c>
      <c r="X69" s="129">
        <f t="shared" si="126"/>
        <v>1</v>
      </c>
      <c r="Y69" s="127">
        <f t="shared" si="127"/>
        <v>1</v>
      </c>
      <c r="AA69" s="81">
        <f>AB69-2</f>
        <v>16</v>
      </c>
      <c r="AB69" s="81">
        <f t="shared" si="128"/>
        <v>18</v>
      </c>
      <c r="AC69" s="129">
        <f t="shared" si="129"/>
        <v>0.88888888888888884</v>
      </c>
      <c r="AD69" s="129">
        <f t="shared" si="130"/>
        <v>0.88888888888888884</v>
      </c>
      <c r="AE69" s="127">
        <f t="shared" si="131"/>
        <v>0.88888888888888884</v>
      </c>
      <c r="AG69">
        <f t="shared" si="132"/>
        <v>6</v>
      </c>
      <c r="AH69">
        <v>6</v>
      </c>
      <c r="AI69" s="127">
        <f t="shared" si="133"/>
        <v>0.75</v>
      </c>
      <c r="AJ69" s="127">
        <f t="shared" si="134"/>
        <v>1</v>
      </c>
      <c r="AM69" s="122">
        <v>0</v>
      </c>
      <c r="AN69" s="101">
        <v>0</v>
      </c>
      <c r="AO69">
        <v>274</v>
      </c>
      <c r="AP69" s="107">
        <v>14</v>
      </c>
      <c r="AQ69" s="101">
        <v>10</v>
      </c>
      <c r="AR69" s="101">
        <v>10</v>
      </c>
      <c r="AS69">
        <v>4</v>
      </c>
      <c r="AT69">
        <v>4</v>
      </c>
      <c r="AU69">
        <v>0</v>
      </c>
      <c r="AV69" s="119">
        <v>8</v>
      </c>
      <c r="AW69" s="101">
        <f>($F$66-N69)/$F$66</f>
        <v>1</v>
      </c>
      <c r="AY69" s="101">
        <f>($G$66-AN69)/$G$66</f>
        <v>1</v>
      </c>
      <c r="AZ69" s="101">
        <f>AR69/AQ69</f>
        <v>1</v>
      </c>
      <c r="BA69" s="101">
        <f>AT69/AS69</f>
        <v>1</v>
      </c>
      <c r="BB69" s="85">
        <f>(AW69+AY69+AZ69+BA69)/4</f>
        <v>1</v>
      </c>
      <c r="BC69" s="13">
        <f>AP69/$H$66</f>
        <v>1.75</v>
      </c>
      <c r="BD69" s="118">
        <f>AV69/AP69</f>
        <v>0.5714285714285714</v>
      </c>
      <c r="BE69" s="13">
        <f>AO69/AP69</f>
        <v>19.571428571428573</v>
      </c>
      <c r="BF69" s="13">
        <f>AT69/$H$66</f>
        <v>0.5</v>
      </c>
      <c r="BG69" s="13">
        <f>AR69/$H$66</f>
        <v>1.25</v>
      </c>
      <c r="BQ69" t="str">
        <f t="shared" si="135"/>
        <v>7-1 &amp; k=2 &amp; 1 &amp; 1 &amp; 1 &amp; 1 &amp; 1 &amp; 1 &amp; 0.888888888888889 &amp; 0.888888888888889 &amp; 0.888888888888889 &amp; 6 &amp; 6 &amp; 0.75 &amp; 1 \\ \hline</v>
      </c>
    </row>
    <row r="70" spans="1:69">
      <c r="A70" t="s">
        <v>308</v>
      </c>
      <c r="C70" s="98"/>
      <c r="J70" t="s">
        <v>680</v>
      </c>
      <c r="L70" s="174" t="s">
        <v>682</v>
      </c>
      <c r="M70" s="77"/>
      <c r="O70" s="81">
        <f t="shared" si="118"/>
        <v>21</v>
      </c>
      <c r="P70" s="81">
        <f t="shared" si="119"/>
        <v>21</v>
      </c>
      <c r="Q70" s="129">
        <f t="shared" si="120"/>
        <v>1</v>
      </c>
      <c r="R70" s="129">
        <f t="shared" si="121"/>
        <v>1</v>
      </c>
      <c r="S70" s="127">
        <f t="shared" si="122"/>
        <v>1</v>
      </c>
      <c r="U70" s="81">
        <f t="shared" si="123"/>
        <v>9</v>
      </c>
      <c r="V70" s="81">
        <f t="shared" si="124"/>
        <v>9</v>
      </c>
      <c r="W70" s="129">
        <f t="shared" si="125"/>
        <v>1</v>
      </c>
      <c r="X70" s="129">
        <f t="shared" si="126"/>
        <v>1</v>
      </c>
      <c r="Y70" s="127">
        <f t="shared" si="127"/>
        <v>1</v>
      </c>
      <c r="AA70" s="81">
        <f>AB70-2</f>
        <v>16</v>
      </c>
      <c r="AB70" s="81">
        <f t="shared" si="128"/>
        <v>18</v>
      </c>
      <c r="AC70" s="129">
        <f t="shared" si="129"/>
        <v>0.88888888888888884</v>
      </c>
      <c r="AD70" s="129">
        <f t="shared" si="130"/>
        <v>0.88888888888888884</v>
      </c>
      <c r="AE70" s="127">
        <f t="shared" si="131"/>
        <v>0.88888888888888884</v>
      </c>
      <c r="AG70">
        <f t="shared" si="132"/>
        <v>4</v>
      </c>
      <c r="AH70">
        <v>4</v>
      </c>
      <c r="AI70" s="127">
        <f t="shared" si="133"/>
        <v>0.5</v>
      </c>
      <c r="AJ70" s="127">
        <f t="shared" si="134"/>
        <v>1</v>
      </c>
      <c r="AM70" s="122">
        <v>0</v>
      </c>
      <c r="AN70" s="101">
        <v>0</v>
      </c>
      <c r="AO70">
        <v>270</v>
      </c>
      <c r="AP70">
        <v>14</v>
      </c>
      <c r="AQ70" s="101">
        <v>9</v>
      </c>
      <c r="AR70" s="101">
        <v>9</v>
      </c>
      <c r="AS70">
        <v>4</v>
      </c>
      <c r="AT70">
        <v>4</v>
      </c>
      <c r="AU70">
        <v>1</v>
      </c>
      <c r="AV70" s="119">
        <v>10</v>
      </c>
      <c r="AW70" s="101">
        <f>($F$66-N70)/$F$66</f>
        <v>1</v>
      </c>
      <c r="AY70" s="101">
        <f>($G$66-AN70)/$G$66</f>
        <v>1</v>
      </c>
      <c r="AZ70" s="101">
        <f>AR70/AQ70</f>
        <v>1</v>
      </c>
      <c r="BA70" s="101">
        <f>AT70/AS70</f>
        <v>1</v>
      </c>
      <c r="BB70" s="85">
        <f>(AW70+AY70+AZ70+BA70)/4</f>
        <v>1</v>
      </c>
      <c r="BC70" s="13">
        <f>AP70/$H$66</f>
        <v>1.75</v>
      </c>
      <c r="BD70" s="118">
        <f>AV70/AP70</f>
        <v>0.7142857142857143</v>
      </c>
      <c r="BE70" s="13">
        <f>AO70/AP70</f>
        <v>19.285714285714285</v>
      </c>
      <c r="BF70" s="13">
        <f>AT70/$H$66</f>
        <v>0.5</v>
      </c>
      <c r="BG70" s="13">
        <f>AR70/$H$66</f>
        <v>1.125</v>
      </c>
      <c r="BQ70" t="str">
        <f t="shared" si="135"/>
        <v>7-1 &amp; k=2 &amp; 1 &amp; 1 &amp; 1 &amp; 1 &amp; 1 &amp; 1 &amp; 0.888888888888889 &amp; 0.888888888888889 &amp; 0.888888888888889 &amp; 4 &amp; 4 &amp; 0.5 &amp; 1 \\ \hline</v>
      </c>
    </row>
    <row r="71" spans="1:69">
      <c r="A71" t="s">
        <v>309</v>
      </c>
      <c r="C71" s="98"/>
      <c r="J71" t="s">
        <v>681</v>
      </c>
      <c r="L71" s="174" t="s">
        <v>685</v>
      </c>
      <c r="M71" s="77"/>
      <c r="O71" s="81">
        <f t="shared" si="118"/>
        <v>21</v>
      </c>
      <c r="P71" s="81">
        <f t="shared" si="119"/>
        <v>21</v>
      </c>
      <c r="Q71" s="129">
        <f t="shared" si="120"/>
        <v>1</v>
      </c>
      <c r="R71" s="129">
        <f t="shared" si="121"/>
        <v>1</v>
      </c>
      <c r="S71" s="127">
        <f t="shared" si="122"/>
        <v>1</v>
      </c>
      <c r="U71" s="81">
        <f t="shared" si="123"/>
        <v>9</v>
      </c>
      <c r="V71" s="81">
        <f t="shared" si="124"/>
        <v>9</v>
      </c>
      <c r="W71" s="129">
        <f t="shared" si="125"/>
        <v>1</v>
      </c>
      <c r="X71" s="129">
        <f t="shared" si="126"/>
        <v>1</v>
      </c>
      <c r="Y71" s="127">
        <f t="shared" si="127"/>
        <v>1</v>
      </c>
      <c r="AA71" s="81">
        <f>AB71-2</f>
        <v>16</v>
      </c>
      <c r="AB71" s="81">
        <f t="shared" si="128"/>
        <v>18</v>
      </c>
      <c r="AC71" s="129">
        <f t="shared" si="129"/>
        <v>0.88888888888888884</v>
      </c>
      <c r="AD71" s="129">
        <f t="shared" si="130"/>
        <v>0.88888888888888884</v>
      </c>
      <c r="AE71" s="127">
        <f t="shared" si="131"/>
        <v>0.88888888888888884</v>
      </c>
      <c r="AG71">
        <f t="shared" si="132"/>
        <v>11</v>
      </c>
      <c r="AH71">
        <v>11</v>
      </c>
      <c r="AI71" s="127">
        <f t="shared" si="133"/>
        <v>1.375</v>
      </c>
      <c r="AJ71" s="127">
        <f t="shared" si="134"/>
        <v>1</v>
      </c>
      <c r="BC71" s="13"/>
      <c r="BD71" s="118"/>
      <c r="BE71" s="13"/>
      <c r="BF71" s="13"/>
      <c r="BG71" s="13"/>
      <c r="BQ71" t="str">
        <f t="shared" si="135"/>
        <v>7-1 &amp; k=3 &amp; 1 &amp; 1 &amp; 1 &amp; 1 &amp; 1 &amp; 1 &amp; 0.888888888888889 &amp; 0.888888888888889 &amp; 0.888888888888889 &amp; 11 &amp; 11 &amp; 1.375 &amp; 1 \\ \hline</v>
      </c>
    </row>
    <row r="72" spans="1:69">
      <c r="A72" t="s">
        <v>667</v>
      </c>
      <c r="C72" s="98"/>
      <c r="J72" t="s">
        <v>681</v>
      </c>
      <c r="L72" s="174" t="s">
        <v>685</v>
      </c>
      <c r="M72" s="77"/>
      <c r="O72" s="81">
        <f t="shared" si="118"/>
        <v>21</v>
      </c>
      <c r="P72" s="81">
        <f t="shared" si="119"/>
        <v>21</v>
      </c>
      <c r="Q72" s="129">
        <f t="shared" si="120"/>
        <v>1</v>
      </c>
      <c r="R72" s="129">
        <f t="shared" si="121"/>
        <v>1</v>
      </c>
      <c r="S72" s="127">
        <f t="shared" si="122"/>
        <v>1</v>
      </c>
      <c r="U72" s="81">
        <f t="shared" si="123"/>
        <v>9</v>
      </c>
      <c r="V72" s="81">
        <f t="shared" si="124"/>
        <v>9</v>
      </c>
      <c r="W72" s="129">
        <f t="shared" si="125"/>
        <v>1</v>
      </c>
      <c r="X72" s="129">
        <f t="shared" si="126"/>
        <v>1</v>
      </c>
      <c r="Y72" s="127">
        <f t="shared" si="127"/>
        <v>1</v>
      </c>
      <c r="AA72" s="81">
        <f>AB72-2</f>
        <v>16</v>
      </c>
      <c r="AB72" s="81">
        <f t="shared" si="128"/>
        <v>18</v>
      </c>
      <c r="AC72" s="129">
        <f t="shared" si="129"/>
        <v>0.88888888888888884</v>
      </c>
      <c r="AD72" s="129">
        <f t="shared" si="130"/>
        <v>0.88888888888888884</v>
      </c>
      <c r="AE72" s="127">
        <f t="shared" si="131"/>
        <v>0.88888888888888884</v>
      </c>
      <c r="AG72">
        <f t="shared" si="132"/>
        <v>9</v>
      </c>
      <c r="AH72">
        <v>9</v>
      </c>
      <c r="AI72" s="127">
        <f t="shared" si="133"/>
        <v>1.125</v>
      </c>
      <c r="AJ72" s="127">
        <f t="shared" si="134"/>
        <v>1</v>
      </c>
      <c r="BC72" s="13"/>
      <c r="BD72" s="118"/>
      <c r="BE72" s="13"/>
      <c r="BF72" s="13"/>
      <c r="BG72" s="13"/>
      <c r="BQ72" t="str">
        <f t="shared" si="135"/>
        <v>7-1 &amp; k=3 &amp; 1 &amp; 1 &amp; 1 &amp; 1 &amp; 1 &amp; 1 &amp; 0.888888888888889 &amp; 0.888888888888889 &amp; 0.888888888888889 &amp; 9 &amp; 9 &amp; 1.125 &amp; 1 \\ \hline</v>
      </c>
    </row>
    <row r="73" spans="1:69">
      <c r="C73" s="98"/>
      <c r="Q73" s="129"/>
      <c r="R73" s="129"/>
      <c r="S73" s="127"/>
      <c r="W73" s="129"/>
      <c r="X73" s="129"/>
      <c r="Y73" s="127"/>
      <c r="AC73" s="129"/>
      <c r="AD73" s="129"/>
      <c r="AE73" s="127"/>
      <c r="AG73"/>
      <c r="AH73"/>
      <c r="AI73" s="127"/>
      <c r="AJ73" s="127"/>
    </row>
    <row r="74" spans="1:69" s="73" customFormat="1">
      <c r="A74" s="73" t="s">
        <v>317</v>
      </c>
      <c r="B74" s="94">
        <v>45179</v>
      </c>
      <c r="C74" s="93" t="s">
        <v>157</v>
      </c>
      <c r="D74" s="78">
        <f>VLOOKUP($C$74,Overview!$Q$2:$AS$64,23,FALSE)</f>
        <v>0.37572494412610796</v>
      </c>
      <c r="E74" s="78" t="str">
        <f>VLOOKUP($C$74,Overview!$Q$2:$AS$64,24,FALSE)</f>
        <v>low</v>
      </c>
      <c r="F74" s="75">
        <f>VLOOKUP(C74,Overview!$Q$2:$AS$64,13,FALSE)</f>
        <v>24</v>
      </c>
      <c r="G74" s="75">
        <f>VLOOKUP(C74,Overview!$Q$2:$AS$64,16,FALSE)</f>
        <v>8</v>
      </c>
      <c r="H74" s="75">
        <f>VLOOKUP(C74,Overview!$Q$2:$AS$64,18,FALSE)</f>
        <v>10</v>
      </c>
      <c r="I74" s="75">
        <f>VLOOKUP($C$74,Overview!$Q$2:$AS$64,19,FALSE)</f>
        <v>20</v>
      </c>
      <c r="K74" s="75" t="str">
        <f>VLOOKUP($C$74,Overview!$Q$2:$AS$64,5,FALSE)</f>
        <v>5-2, 3-8</v>
      </c>
      <c r="L74" s="91"/>
      <c r="N74" s="114"/>
      <c r="O74" s="80"/>
      <c r="P74" s="80"/>
      <c r="Q74" s="130"/>
      <c r="R74" s="130"/>
      <c r="S74" s="128"/>
      <c r="T74" s="114"/>
      <c r="U74" s="80"/>
      <c r="V74" s="80"/>
      <c r="W74" s="130"/>
      <c r="X74" s="130"/>
      <c r="Y74" s="128"/>
      <c r="Z74" s="114"/>
      <c r="AA74" s="80"/>
      <c r="AB74" s="80"/>
      <c r="AC74" s="130"/>
      <c r="AD74" s="130"/>
      <c r="AE74" s="128"/>
      <c r="AF74" s="114"/>
      <c r="AI74" s="128"/>
      <c r="AJ74" s="127"/>
      <c r="AK74" s="80"/>
      <c r="AL74" s="114"/>
      <c r="AM74" s="121"/>
      <c r="AN74" s="100"/>
      <c r="AQ74" s="100"/>
      <c r="AR74" s="100"/>
      <c r="AV74" s="120"/>
      <c r="AW74" s="100"/>
      <c r="AX74" s="100"/>
      <c r="AY74" s="100"/>
      <c r="AZ74" s="100"/>
      <c r="BA74" s="100"/>
      <c r="BB74" s="84"/>
      <c r="BD74" s="100"/>
      <c r="BQ74"/>
    </row>
    <row r="75" spans="1:69">
      <c r="A75" t="s">
        <v>305</v>
      </c>
      <c r="C75" s="98"/>
      <c r="J75" t="s">
        <v>679</v>
      </c>
      <c r="K75" s="296" t="s">
        <v>787</v>
      </c>
      <c r="L75" s="211" t="s">
        <v>149</v>
      </c>
      <c r="M75" s="77"/>
      <c r="O75" s="81">
        <f t="shared" ref="O75:O80" si="136">P75-0</f>
        <v>24</v>
      </c>
      <c r="P75" s="81">
        <f t="shared" ref="P75:P80" si="137">$F$74-0</f>
        <v>24</v>
      </c>
      <c r="Q75" s="129">
        <f t="shared" ref="Q75:Q80" si="138">O75/$F$74</f>
        <v>1</v>
      </c>
      <c r="R75" s="129">
        <f t="shared" ref="R75:R80" si="139">O75/P75</f>
        <v>1</v>
      </c>
      <c r="S75" s="127">
        <f t="shared" ref="S75:S80" si="140">2*(Q75*R75)/(Q75+R75)</f>
        <v>1</v>
      </c>
      <c r="U75" s="81">
        <f t="shared" ref="U75:U80" si="141">V75-0</f>
        <v>8</v>
      </c>
      <c r="V75" s="81">
        <f t="shared" ref="V75:V80" si="142">$G$74-0</f>
        <v>8</v>
      </c>
      <c r="W75" s="129">
        <f t="shared" ref="W75:W80" si="143">U75/$G$74</f>
        <v>1</v>
      </c>
      <c r="X75" s="129">
        <f t="shared" ref="X75:X80" si="144">U75/V75</f>
        <v>1</v>
      </c>
      <c r="Y75" s="127">
        <f t="shared" ref="Y75:Y80" si="145">2*(W75*X75)/(W75+X75)</f>
        <v>1</v>
      </c>
      <c r="AA75" s="81">
        <f t="shared" ref="AA75:AA80" si="146">AB75-0</f>
        <v>20</v>
      </c>
      <c r="AB75" s="81">
        <f t="shared" ref="AB75:AB80" si="147">$I$74-0</f>
        <v>20</v>
      </c>
      <c r="AC75" s="129">
        <f t="shared" ref="AC75:AC80" si="148">AA75/$I$74</f>
        <v>1</v>
      </c>
      <c r="AD75" s="129">
        <f t="shared" ref="AD75:AD80" si="149">AA75/AB75</f>
        <v>1</v>
      </c>
      <c r="AE75" s="127">
        <f t="shared" ref="AE75:AE80" si="150">2*(AC75*AD75)/(AC75+AD75)</f>
        <v>1</v>
      </c>
      <c r="AG75">
        <f t="shared" ref="AG75:AG80" si="151">AH75-0</f>
        <v>11</v>
      </c>
      <c r="AH75">
        <v>11</v>
      </c>
      <c r="AI75" s="127">
        <f t="shared" ref="AI75:AI80" si="152">AG75/$H$74</f>
        <v>1.1000000000000001</v>
      </c>
      <c r="AJ75" s="127">
        <f t="shared" si="134"/>
        <v>1</v>
      </c>
      <c r="AM75" s="122">
        <v>0</v>
      </c>
      <c r="AN75" s="101">
        <v>0</v>
      </c>
      <c r="AO75">
        <v>228</v>
      </c>
      <c r="AP75">
        <v>12</v>
      </c>
      <c r="AQ75" s="101">
        <v>10</v>
      </c>
      <c r="AR75" s="101">
        <v>10</v>
      </c>
      <c r="AS75">
        <v>2</v>
      </c>
      <c r="AT75">
        <v>2</v>
      </c>
      <c r="AU75">
        <v>0</v>
      </c>
      <c r="AV75" s="119">
        <v>8</v>
      </c>
      <c r="AW75" s="101">
        <f>($F$74-N75)/$F$74</f>
        <v>1</v>
      </c>
      <c r="AY75" s="101">
        <f>($G$74-AN75)/$G$74</f>
        <v>1</v>
      </c>
      <c r="AZ75" s="101">
        <f>AR75/AQ75</f>
        <v>1</v>
      </c>
      <c r="BA75" s="101">
        <f>AT75/AS75</f>
        <v>1</v>
      </c>
      <c r="BB75" s="85">
        <f>(AW75+AY75+AZ75+BA75)/4</f>
        <v>1</v>
      </c>
      <c r="BC75" s="13">
        <f>AP75/$H$74</f>
        <v>1.2</v>
      </c>
      <c r="BD75" s="118">
        <f>AV75/AP75</f>
        <v>0.66666666666666663</v>
      </c>
      <c r="BE75" s="13">
        <f>AO75/AP75</f>
        <v>19</v>
      </c>
      <c r="BF75" s="13">
        <f>AT75/$H$74</f>
        <v>0.2</v>
      </c>
      <c r="BG75" s="13">
        <f>AR75/$H$74</f>
        <v>1</v>
      </c>
      <c r="BQ75" t="str">
        <f>_xlfn.CONCAT($C$74," &amp; ",J75," &amp; ",Q75," &amp; ",R75," &amp; ",S75," &amp; ",W75," &amp; ",X75," &amp; ",Y75," &amp; ",AC75," &amp; ",AD75," &amp; ",AE75," &amp; ",AG75," &amp; ",AH75," &amp; ",AI75," &amp; ",AJ75, " \\ \hline")</f>
        <v>6-3 &amp; k=1 &amp; 1 &amp; 1 &amp; 1 &amp; 1 &amp; 1 &amp; 1 &amp; 1 &amp; 1 &amp; 1 &amp; 11 &amp; 11 &amp; 1.1 &amp; 1 \\ \hline</v>
      </c>
    </row>
    <row r="76" spans="1:69">
      <c r="A76" t="s">
        <v>306</v>
      </c>
      <c r="C76" s="98"/>
      <c r="J76" t="s">
        <v>679</v>
      </c>
      <c r="L76" s="211" t="s">
        <v>149</v>
      </c>
      <c r="M76" s="77"/>
      <c r="O76" s="81">
        <f t="shared" si="136"/>
        <v>24</v>
      </c>
      <c r="P76" s="81">
        <f t="shared" si="137"/>
        <v>24</v>
      </c>
      <c r="Q76" s="129">
        <f t="shared" si="138"/>
        <v>1</v>
      </c>
      <c r="R76" s="129">
        <f t="shared" si="139"/>
        <v>1</v>
      </c>
      <c r="S76" s="127">
        <f t="shared" si="140"/>
        <v>1</v>
      </c>
      <c r="U76" s="81">
        <f t="shared" si="141"/>
        <v>8</v>
      </c>
      <c r="V76" s="81">
        <f t="shared" si="142"/>
        <v>8</v>
      </c>
      <c r="W76" s="129">
        <f t="shared" si="143"/>
        <v>1</v>
      </c>
      <c r="X76" s="129">
        <f t="shared" si="144"/>
        <v>1</v>
      </c>
      <c r="Y76" s="127">
        <f t="shared" si="145"/>
        <v>1</v>
      </c>
      <c r="AA76" s="81">
        <f t="shared" si="146"/>
        <v>20</v>
      </c>
      <c r="AB76" s="81">
        <f t="shared" si="147"/>
        <v>20</v>
      </c>
      <c r="AC76" s="129">
        <f t="shared" si="148"/>
        <v>1</v>
      </c>
      <c r="AD76" s="129">
        <f t="shared" si="149"/>
        <v>1</v>
      </c>
      <c r="AE76" s="127">
        <f t="shared" si="150"/>
        <v>1</v>
      </c>
      <c r="AG76">
        <f t="shared" si="151"/>
        <v>11</v>
      </c>
      <c r="AH76">
        <v>11</v>
      </c>
      <c r="AI76" s="127">
        <f t="shared" si="152"/>
        <v>1.1000000000000001</v>
      </c>
      <c r="AJ76" s="127">
        <f t="shared" si="134"/>
        <v>1</v>
      </c>
      <c r="AM76" s="122">
        <v>0</v>
      </c>
      <c r="AN76" s="101">
        <v>0</v>
      </c>
      <c r="AO76">
        <v>307</v>
      </c>
      <c r="AP76">
        <v>18</v>
      </c>
      <c r="AQ76" s="101">
        <v>11</v>
      </c>
      <c r="AR76" s="101">
        <v>11</v>
      </c>
      <c r="AS76">
        <v>7</v>
      </c>
      <c r="AT76">
        <v>7</v>
      </c>
      <c r="AU76">
        <v>0</v>
      </c>
      <c r="AV76" s="119">
        <v>9</v>
      </c>
      <c r="AW76" s="101">
        <f>($F$74-N76)/$F$74</f>
        <v>1</v>
      </c>
      <c r="AY76" s="101">
        <f>($G$74-AN76)/$G$74</f>
        <v>1</v>
      </c>
      <c r="AZ76" s="101">
        <f>AR76/AQ76</f>
        <v>1</v>
      </c>
      <c r="BA76" s="101">
        <f>AT76/AS76</f>
        <v>1</v>
      </c>
      <c r="BB76" s="85">
        <f>(AW76+AY76+AZ76+BA76)/4</f>
        <v>1</v>
      </c>
      <c r="BC76" s="13">
        <f>AP76/$H$74</f>
        <v>1.8</v>
      </c>
      <c r="BD76" s="118">
        <f>AV76/AP76</f>
        <v>0.5</v>
      </c>
      <c r="BE76" s="13">
        <f>AO76/AP76</f>
        <v>17.055555555555557</v>
      </c>
      <c r="BF76" s="13">
        <f>AT76/$H$74</f>
        <v>0.7</v>
      </c>
      <c r="BG76" s="13">
        <f>AR76/$H$74</f>
        <v>1.1000000000000001</v>
      </c>
      <c r="BQ76" t="str">
        <f t="shared" ref="BQ76:BQ80" si="153">_xlfn.CONCAT($C$74," &amp; ",J76," &amp; ",Q76," &amp; ",R76," &amp; ",S76," &amp; ",W76," &amp; ",X76," &amp; ",Y76," &amp; ",AC76," &amp; ",AD76," &amp; ",AE76," &amp; ",AG76," &amp; ",AH76," &amp; ",AI76," &amp; ",AJ76, " \\ \hline")</f>
        <v>6-3 &amp; k=1 &amp; 1 &amp; 1 &amp; 1 &amp; 1 &amp; 1 &amp; 1 &amp; 1 &amp; 1 &amp; 1 &amp; 11 &amp; 11 &amp; 1.1 &amp; 1 \\ \hline</v>
      </c>
    </row>
    <row r="77" spans="1:69">
      <c r="A77" t="s">
        <v>307</v>
      </c>
      <c r="C77" s="98"/>
      <c r="J77" t="s">
        <v>680</v>
      </c>
      <c r="L77" s="211" t="s">
        <v>683</v>
      </c>
      <c r="M77" s="77"/>
      <c r="O77" s="81">
        <f t="shared" si="136"/>
        <v>24</v>
      </c>
      <c r="P77" s="81">
        <f t="shared" si="137"/>
        <v>24</v>
      </c>
      <c r="Q77" s="129">
        <f t="shared" si="138"/>
        <v>1</v>
      </c>
      <c r="R77" s="129">
        <f t="shared" si="139"/>
        <v>1</v>
      </c>
      <c r="S77" s="127">
        <f t="shared" si="140"/>
        <v>1</v>
      </c>
      <c r="U77" s="81">
        <f t="shared" si="141"/>
        <v>8</v>
      </c>
      <c r="V77" s="81">
        <f t="shared" si="142"/>
        <v>8</v>
      </c>
      <c r="W77" s="129">
        <f t="shared" si="143"/>
        <v>1</v>
      </c>
      <c r="X77" s="129">
        <f t="shared" si="144"/>
        <v>1</v>
      </c>
      <c r="Y77" s="127">
        <f t="shared" si="145"/>
        <v>1</v>
      </c>
      <c r="AA77" s="81">
        <f t="shared" si="146"/>
        <v>20</v>
      </c>
      <c r="AB77" s="81">
        <f t="shared" si="147"/>
        <v>20</v>
      </c>
      <c r="AC77" s="129">
        <f t="shared" si="148"/>
        <v>1</v>
      </c>
      <c r="AD77" s="129">
        <f t="shared" si="149"/>
        <v>1</v>
      </c>
      <c r="AE77" s="127">
        <f t="shared" si="150"/>
        <v>1</v>
      </c>
      <c r="AG77">
        <f t="shared" si="151"/>
        <v>5</v>
      </c>
      <c r="AH77">
        <v>5</v>
      </c>
      <c r="AI77" s="127">
        <f t="shared" si="152"/>
        <v>0.5</v>
      </c>
      <c r="AJ77" s="127">
        <f t="shared" si="134"/>
        <v>1</v>
      </c>
      <c r="AM77" s="122">
        <v>0</v>
      </c>
      <c r="AN77" s="101">
        <v>0</v>
      </c>
      <c r="AO77">
        <v>326</v>
      </c>
      <c r="AP77">
        <v>13</v>
      </c>
      <c r="AQ77" s="101">
        <v>11</v>
      </c>
      <c r="AR77" s="101">
        <v>8</v>
      </c>
      <c r="AS77">
        <v>2</v>
      </c>
      <c r="AT77">
        <v>2</v>
      </c>
      <c r="AU77">
        <v>0</v>
      </c>
      <c r="AV77" s="119">
        <v>10</v>
      </c>
      <c r="AW77" s="101">
        <f>($F$74-N77)/$F$74</f>
        <v>1</v>
      </c>
      <c r="AY77" s="101">
        <f>($G$74-AN77)/$G$74</f>
        <v>1</v>
      </c>
      <c r="AZ77" s="101">
        <f>AR77/AQ77</f>
        <v>0.72727272727272729</v>
      </c>
      <c r="BA77" s="101">
        <f>AT77/AS77</f>
        <v>1</v>
      </c>
      <c r="BB77" s="85">
        <f>(AW77+AY77+AZ77+BA77)/4</f>
        <v>0.93181818181818188</v>
      </c>
      <c r="BC77" s="13">
        <f>AP77/$H$74</f>
        <v>1.3</v>
      </c>
      <c r="BD77" s="118">
        <f>AV77/AP77</f>
        <v>0.76923076923076927</v>
      </c>
      <c r="BE77" s="13">
        <f>AO77/AP77</f>
        <v>25.076923076923077</v>
      </c>
      <c r="BF77" s="13">
        <f>AT77/$H$74</f>
        <v>0.2</v>
      </c>
      <c r="BG77" s="13">
        <f>AR77/$H$74</f>
        <v>0.8</v>
      </c>
      <c r="BQ77" t="str">
        <f t="shared" si="153"/>
        <v>6-3 &amp; k=2 &amp; 1 &amp; 1 &amp; 1 &amp; 1 &amp; 1 &amp; 1 &amp; 1 &amp; 1 &amp; 1 &amp; 5 &amp; 5 &amp; 0.5 &amp; 1 \\ \hline</v>
      </c>
    </row>
    <row r="78" spans="1:69">
      <c r="A78" t="s">
        <v>308</v>
      </c>
      <c r="C78" s="98"/>
      <c r="J78" t="s">
        <v>680</v>
      </c>
      <c r="K78" s="107"/>
      <c r="L78" s="211" t="s">
        <v>683</v>
      </c>
      <c r="M78" s="77"/>
      <c r="O78" s="81">
        <f t="shared" si="136"/>
        <v>24</v>
      </c>
      <c r="P78" s="81">
        <f t="shared" si="137"/>
        <v>24</v>
      </c>
      <c r="Q78" s="129">
        <f t="shared" si="138"/>
        <v>1</v>
      </c>
      <c r="R78" s="129">
        <f t="shared" si="139"/>
        <v>1</v>
      </c>
      <c r="S78" s="127">
        <f t="shared" si="140"/>
        <v>1</v>
      </c>
      <c r="U78" s="81">
        <f t="shared" si="141"/>
        <v>8</v>
      </c>
      <c r="V78" s="81">
        <f t="shared" si="142"/>
        <v>8</v>
      </c>
      <c r="W78" s="129">
        <f t="shared" si="143"/>
        <v>1</v>
      </c>
      <c r="X78" s="129">
        <f t="shared" si="144"/>
        <v>1</v>
      </c>
      <c r="Y78" s="127">
        <f t="shared" si="145"/>
        <v>1</v>
      </c>
      <c r="AA78" s="81">
        <f t="shared" si="146"/>
        <v>20</v>
      </c>
      <c r="AB78" s="81">
        <f t="shared" si="147"/>
        <v>20</v>
      </c>
      <c r="AC78" s="129">
        <f t="shared" si="148"/>
        <v>1</v>
      </c>
      <c r="AD78" s="129">
        <f t="shared" si="149"/>
        <v>1</v>
      </c>
      <c r="AE78" s="127">
        <f t="shared" si="150"/>
        <v>1</v>
      </c>
      <c r="AG78">
        <f t="shared" si="151"/>
        <v>4</v>
      </c>
      <c r="AH78">
        <v>4</v>
      </c>
      <c r="AI78" s="127">
        <f t="shared" si="152"/>
        <v>0.4</v>
      </c>
      <c r="AJ78" s="127">
        <f t="shared" si="134"/>
        <v>1</v>
      </c>
      <c r="AM78" s="122">
        <v>0</v>
      </c>
      <c r="AN78" s="101">
        <v>0</v>
      </c>
      <c r="AO78">
        <v>344</v>
      </c>
      <c r="AP78">
        <v>12</v>
      </c>
      <c r="AQ78" s="101">
        <v>12</v>
      </c>
      <c r="AR78" s="101">
        <v>9</v>
      </c>
      <c r="AS78">
        <v>1</v>
      </c>
      <c r="AT78">
        <v>1</v>
      </c>
      <c r="AU78">
        <v>0</v>
      </c>
      <c r="AV78" s="119">
        <v>12</v>
      </c>
      <c r="AW78" s="101">
        <f>($F$74-N78)/$F$74</f>
        <v>1</v>
      </c>
      <c r="AY78" s="101">
        <f>($G$74-AN78)/$G$74</f>
        <v>1</v>
      </c>
      <c r="AZ78" s="101">
        <f>AR78/AQ78</f>
        <v>0.75</v>
      </c>
      <c r="BA78" s="101">
        <f>AT78/AS78</f>
        <v>1</v>
      </c>
      <c r="BB78" s="85">
        <f>(AW78+AY78+AZ78+BA78)/4</f>
        <v>0.9375</v>
      </c>
      <c r="BC78" s="13">
        <f>AP78/$H$74</f>
        <v>1.2</v>
      </c>
      <c r="BD78" s="118">
        <f>AV78/AP78</f>
        <v>1</v>
      </c>
      <c r="BE78" s="13">
        <f>AO78/AP78</f>
        <v>28.666666666666668</v>
      </c>
      <c r="BF78" s="13">
        <f>AT78/$H$74</f>
        <v>0.1</v>
      </c>
      <c r="BG78" s="13">
        <f>AR78/$H$74</f>
        <v>0.9</v>
      </c>
      <c r="BQ78" t="str">
        <f t="shared" si="153"/>
        <v>6-3 &amp; k=2 &amp; 1 &amp; 1 &amp; 1 &amp; 1 &amp; 1 &amp; 1 &amp; 1 &amp; 1 &amp; 1 &amp; 4 &amp; 4 &amp; 0.4 &amp; 1 \\ \hline</v>
      </c>
    </row>
    <row r="79" spans="1:69">
      <c r="A79" t="s">
        <v>309</v>
      </c>
      <c r="C79" s="98"/>
      <c r="J79" t="s">
        <v>681</v>
      </c>
      <c r="L79" s="211" t="s">
        <v>684</v>
      </c>
      <c r="M79" s="77"/>
      <c r="O79" s="81">
        <f t="shared" si="136"/>
        <v>24</v>
      </c>
      <c r="P79" s="81">
        <f t="shared" si="137"/>
        <v>24</v>
      </c>
      <c r="Q79" s="129">
        <f t="shared" si="138"/>
        <v>1</v>
      </c>
      <c r="R79" s="129">
        <f t="shared" si="139"/>
        <v>1</v>
      </c>
      <c r="S79" s="127">
        <f t="shared" si="140"/>
        <v>1</v>
      </c>
      <c r="U79" s="81">
        <f t="shared" si="141"/>
        <v>8</v>
      </c>
      <c r="V79" s="81">
        <f t="shared" si="142"/>
        <v>8</v>
      </c>
      <c r="W79" s="129">
        <f t="shared" si="143"/>
        <v>1</v>
      </c>
      <c r="X79" s="129">
        <f t="shared" si="144"/>
        <v>1</v>
      </c>
      <c r="Y79" s="127">
        <f t="shared" si="145"/>
        <v>1</v>
      </c>
      <c r="AA79" s="81">
        <f t="shared" si="146"/>
        <v>20</v>
      </c>
      <c r="AB79" s="81">
        <f t="shared" si="147"/>
        <v>20</v>
      </c>
      <c r="AC79" s="129">
        <f t="shared" si="148"/>
        <v>1</v>
      </c>
      <c r="AD79" s="129">
        <f t="shared" si="149"/>
        <v>1</v>
      </c>
      <c r="AE79" s="127">
        <f t="shared" si="150"/>
        <v>1</v>
      </c>
      <c r="AG79">
        <f t="shared" si="151"/>
        <v>6</v>
      </c>
      <c r="AH79">
        <v>6</v>
      </c>
      <c r="AI79" s="127">
        <f t="shared" si="152"/>
        <v>0.6</v>
      </c>
      <c r="AJ79" s="127">
        <f t="shared" si="134"/>
        <v>1</v>
      </c>
      <c r="BC79" s="13"/>
      <c r="BD79" s="118"/>
      <c r="BE79" s="13"/>
      <c r="BF79" s="13"/>
      <c r="BG79" s="13"/>
      <c r="BQ79" t="str">
        <f t="shared" si="153"/>
        <v>6-3 &amp; k=3 &amp; 1 &amp; 1 &amp; 1 &amp; 1 &amp; 1 &amp; 1 &amp; 1 &amp; 1 &amp; 1 &amp; 6 &amp; 6 &amp; 0.6 &amp; 1 \\ \hline</v>
      </c>
    </row>
    <row r="80" spans="1:69">
      <c r="A80" t="s">
        <v>667</v>
      </c>
      <c r="C80" s="98"/>
      <c r="J80" t="s">
        <v>681</v>
      </c>
      <c r="L80" s="211" t="s">
        <v>684</v>
      </c>
      <c r="M80" s="77"/>
      <c r="O80" s="81">
        <f t="shared" si="136"/>
        <v>24</v>
      </c>
      <c r="P80" s="81">
        <f t="shared" si="137"/>
        <v>24</v>
      </c>
      <c r="Q80" s="129">
        <f t="shared" si="138"/>
        <v>1</v>
      </c>
      <c r="R80" s="129">
        <f t="shared" si="139"/>
        <v>1</v>
      </c>
      <c r="S80" s="127">
        <f t="shared" si="140"/>
        <v>1</v>
      </c>
      <c r="U80" s="81">
        <f t="shared" si="141"/>
        <v>8</v>
      </c>
      <c r="V80" s="81">
        <f t="shared" si="142"/>
        <v>8</v>
      </c>
      <c r="W80" s="129">
        <f t="shared" si="143"/>
        <v>1</v>
      </c>
      <c r="X80" s="129">
        <f t="shared" si="144"/>
        <v>1</v>
      </c>
      <c r="Y80" s="127">
        <f t="shared" si="145"/>
        <v>1</v>
      </c>
      <c r="AA80" s="81">
        <f t="shared" si="146"/>
        <v>20</v>
      </c>
      <c r="AB80" s="81">
        <f t="shared" si="147"/>
        <v>20</v>
      </c>
      <c r="AC80" s="129">
        <f t="shared" si="148"/>
        <v>1</v>
      </c>
      <c r="AD80" s="129">
        <f t="shared" si="149"/>
        <v>1</v>
      </c>
      <c r="AE80" s="127">
        <f t="shared" si="150"/>
        <v>1</v>
      </c>
      <c r="AG80">
        <f t="shared" si="151"/>
        <v>11</v>
      </c>
      <c r="AH80">
        <v>11</v>
      </c>
      <c r="AI80" s="127">
        <f t="shared" si="152"/>
        <v>1.1000000000000001</v>
      </c>
      <c r="AJ80" s="127">
        <f t="shared" si="134"/>
        <v>1</v>
      </c>
      <c r="BC80" s="13"/>
      <c r="BD80" s="118"/>
      <c r="BE80" s="13"/>
      <c r="BF80" s="13"/>
      <c r="BG80" s="13"/>
      <c r="BQ80" t="str">
        <f t="shared" si="153"/>
        <v>6-3 &amp; k=3 &amp; 1 &amp; 1 &amp; 1 &amp; 1 &amp; 1 &amp; 1 &amp; 1 &amp; 1 &amp; 1 &amp; 11 &amp; 11 &amp; 1.1 &amp; 1 \\ \hline</v>
      </c>
    </row>
    <row r="81" spans="1:69">
      <c r="C81" s="98"/>
      <c r="Q81" s="129"/>
      <c r="R81" s="129"/>
      <c r="S81" s="127"/>
      <c r="W81" s="129"/>
      <c r="X81" s="129"/>
      <c r="Y81" s="127"/>
      <c r="AC81" s="129"/>
      <c r="AD81" s="129"/>
      <c r="AE81" s="127"/>
      <c r="AG81"/>
      <c r="AH81"/>
      <c r="AI81" s="127"/>
      <c r="AJ81" s="127"/>
    </row>
    <row r="82" spans="1:69" s="75" customFormat="1">
      <c r="A82" s="73" t="s">
        <v>319</v>
      </c>
      <c r="B82" s="94">
        <v>45179</v>
      </c>
      <c r="C82" s="93" t="s">
        <v>169</v>
      </c>
      <c r="D82" s="78">
        <f>VLOOKUP($C$82,Overview!$Q$2:$AS$64,23,FALSE)</f>
        <v>0.42192215666912153</v>
      </c>
      <c r="E82" s="78" t="str">
        <f>VLOOKUP($C$82,Overview!$Q$2:$AS$64,24,FALSE)</f>
        <v>low</v>
      </c>
      <c r="F82" s="75">
        <f>VLOOKUP(C82,Overview!$Q$2:$AS$64,13,FALSE)</f>
        <v>27</v>
      </c>
      <c r="G82" s="75">
        <f>VLOOKUP(C82,Overview!$Q$2:$AS$64,16,FALSE)</f>
        <v>11</v>
      </c>
      <c r="H82" s="75">
        <f>VLOOKUP(C82,Overview!$Q$2:$AS$64,18,FALSE)</f>
        <v>12</v>
      </c>
      <c r="I82" s="75">
        <f>VLOOKUP($C$82,Overview!$Q$2:$AS$64,19,FALSE)</f>
        <v>25</v>
      </c>
      <c r="K82" s="294" t="str">
        <f>VLOOKUP($C$82,Overview!$Q$2:$AS$64,5,FALSE)</f>
        <v>6-2, 3-8</v>
      </c>
      <c r="L82" s="293" t="s">
        <v>786</v>
      </c>
      <c r="N82" s="115"/>
      <c r="O82" s="97"/>
      <c r="P82" s="97"/>
      <c r="Q82" s="130"/>
      <c r="R82" s="130"/>
      <c r="S82" s="128"/>
      <c r="T82" s="115"/>
      <c r="U82" s="97"/>
      <c r="V82" s="97"/>
      <c r="W82" s="130"/>
      <c r="X82" s="130"/>
      <c r="Y82" s="128"/>
      <c r="Z82" s="115"/>
      <c r="AA82" s="97"/>
      <c r="AB82" s="97"/>
      <c r="AC82" s="130"/>
      <c r="AD82" s="130"/>
      <c r="AE82" s="128"/>
      <c r="AF82" s="115"/>
      <c r="AI82" s="128"/>
      <c r="AJ82" s="127"/>
      <c r="AK82" s="97"/>
      <c r="AL82" s="115"/>
      <c r="AM82" s="122"/>
      <c r="AN82" s="101"/>
      <c r="AQ82" s="101"/>
      <c r="AR82" s="101"/>
      <c r="AV82" s="119"/>
      <c r="AW82" s="101"/>
      <c r="AX82" s="101"/>
      <c r="AY82" s="101"/>
      <c r="AZ82" s="101"/>
      <c r="BA82" s="101"/>
      <c r="BB82" s="83"/>
      <c r="BD82" s="101"/>
      <c r="BQ82"/>
    </row>
    <row r="83" spans="1:69">
      <c r="A83" t="s">
        <v>305</v>
      </c>
      <c r="C83" s="110"/>
      <c r="J83" t="s">
        <v>679</v>
      </c>
      <c r="K83" s="296" t="s">
        <v>787</v>
      </c>
      <c r="L83" s="211" t="s">
        <v>161</v>
      </c>
      <c r="M83" s="108"/>
      <c r="O83" s="81">
        <f t="shared" ref="O83:O88" si="154">P83-2</f>
        <v>22</v>
      </c>
      <c r="P83" s="81">
        <f>$F$82-3</f>
        <v>24</v>
      </c>
      <c r="Q83" s="129">
        <f t="shared" ref="Q83:Q88" si="155">O83/$F$82</f>
        <v>0.81481481481481477</v>
      </c>
      <c r="R83" s="129">
        <f t="shared" ref="R83:R88" si="156">O83/P83</f>
        <v>0.91666666666666663</v>
      </c>
      <c r="S83" s="127">
        <f t="shared" ref="S83:S88" si="157">2*(Q83*R83)/(Q83+R83)</f>
        <v>0.86274509803921562</v>
      </c>
      <c r="U83" s="81">
        <f t="shared" ref="U83:U88" si="158">V83-2</f>
        <v>9</v>
      </c>
      <c r="V83" s="81">
        <f>$G$82-0</f>
        <v>11</v>
      </c>
      <c r="W83" s="129">
        <f t="shared" ref="W83:W88" si="159">U83/$G$82</f>
        <v>0.81818181818181823</v>
      </c>
      <c r="X83" s="129">
        <f t="shared" ref="X83:X88" si="160">U83/V83</f>
        <v>0.81818181818181823</v>
      </c>
      <c r="Y83" s="127">
        <f t="shared" ref="Y83:Y88" si="161">2*(W83*X83)/(W83+X83)</f>
        <v>0.81818181818181823</v>
      </c>
      <c r="AA83" s="81">
        <f t="shared" ref="AA83:AA88" si="162">AB83-0</f>
        <v>22</v>
      </c>
      <c r="AB83" s="81">
        <f>$I$82-3</f>
        <v>22</v>
      </c>
      <c r="AC83" s="129">
        <f t="shared" ref="AC83:AC88" si="163">AA83/$I$82</f>
        <v>0.88</v>
      </c>
      <c r="AD83" s="129">
        <f t="shared" ref="AD83:AD88" si="164">AA83/AB83</f>
        <v>1</v>
      </c>
      <c r="AE83" s="127">
        <f t="shared" ref="AE83:AE88" si="165">2*(AC83*AD83)/(AC83+AD83)</f>
        <v>0.93617021276595747</v>
      </c>
      <c r="AG83">
        <f>AH83-0</f>
        <v>11</v>
      </c>
      <c r="AH83">
        <v>11</v>
      </c>
      <c r="AI83" s="127">
        <f t="shared" ref="AI83:AI88" si="166">AG83/$H$82</f>
        <v>0.91666666666666663</v>
      </c>
      <c r="AJ83" s="127">
        <f t="shared" si="134"/>
        <v>1</v>
      </c>
      <c r="AM83" s="122">
        <v>13</v>
      </c>
      <c r="AN83" s="101">
        <v>3</v>
      </c>
      <c r="AO83">
        <v>155</v>
      </c>
      <c r="AP83">
        <v>9</v>
      </c>
      <c r="AQ83" s="101">
        <v>6</v>
      </c>
      <c r="AR83" s="101">
        <v>6</v>
      </c>
      <c r="AS83">
        <v>1</v>
      </c>
      <c r="AT83">
        <v>1</v>
      </c>
      <c r="AU83">
        <v>2</v>
      </c>
      <c r="AV83" s="119">
        <v>3</v>
      </c>
      <c r="AW83" s="101">
        <f>($F$82-N83)/$F$82</f>
        <v>1</v>
      </c>
      <c r="AY83" s="101">
        <f>($G$82-AN83)/$G$82</f>
        <v>0.72727272727272729</v>
      </c>
      <c r="AZ83" s="101">
        <f>AR83/AQ83</f>
        <v>1</v>
      </c>
      <c r="BA83" s="101">
        <f>AT83/AS83</f>
        <v>1</v>
      </c>
      <c r="BB83" s="85">
        <f>(AW83+AY83+AZ83+BA83)/4</f>
        <v>0.93181818181818188</v>
      </c>
      <c r="BC83" s="13">
        <f>AP83/$H$82</f>
        <v>0.75</v>
      </c>
      <c r="BD83" s="118">
        <f>AV83/AP83</f>
        <v>0.33333333333333331</v>
      </c>
      <c r="BE83" s="13">
        <f>AO83/AP83</f>
        <v>17.222222222222221</v>
      </c>
      <c r="BF83" s="13">
        <f>AT83/$H$82</f>
        <v>8.3333333333333329E-2</v>
      </c>
      <c r="BG83" s="13">
        <f>AR83/$H$82</f>
        <v>0.5</v>
      </c>
      <c r="BQ83" t="str">
        <f>_xlfn.CONCAT($C$82," &amp; ",J83," &amp; ",Q83," &amp; ",R83," &amp; ",S83," &amp; ",W83," &amp; ",X83," &amp; ",Y83," &amp; ",AC83," &amp; ",AD83," &amp; ",AE83," &amp; ",AG83," &amp; ",AH83," &amp; ",AI83," &amp; ",AJ83, " \\ \hline")</f>
        <v>10-1 &amp; k=1 &amp; 0.814814814814815 &amp; 0.916666666666667 &amp; 0.862745098039216 &amp; 0.818181818181818 &amp; 0.818181818181818 &amp; 0.818181818181818 &amp; 0.88 &amp; 1 &amp; 0.936170212765957 &amp; 11 &amp; 11 &amp; 0.916666666666667 &amp; 1 \\ \hline</v>
      </c>
    </row>
    <row r="84" spans="1:69">
      <c r="A84" t="s">
        <v>306</v>
      </c>
      <c r="C84" s="98"/>
      <c r="J84" t="s">
        <v>679</v>
      </c>
      <c r="L84" s="211" t="s">
        <v>161</v>
      </c>
      <c r="M84" s="108"/>
      <c r="O84" s="81">
        <f t="shared" si="154"/>
        <v>22</v>
      </c>
      <c r="P84" s="81">
        <f>$F$82-3</f>
        <v>24</v>
      </c>
      <c r="Q84" s="129">
        <f t="shared" si="155"/>
        <v>0.81481481481481477</v>
      </c>
      <c r="R84" s="129">
        <f t="shared" si="156"/>
        <v>0.91666666666666663</v>
      </c>
      <c r="S84" s="127">
        <f t="shared" si="157"/>
        <v>0.86274509803921562</v>
      </c>
      <c r="U84" s="81">
        <f t="shared" si="158"/>
        <v>9</v>
      </c>
      <c r="V84" s="81">
        <f>$G$82-0</f>
        <v>11</v>
      </c>
      <c r="W84" s="129">
        <f t="shared" si="159"/>
        <v>0.81818181818181823</v>
      </c>
      <c r="X84" s="129">
        <f t="shared" si="160"/>
        <v>0.81818181818181823</v>
      </c>
      <c r="Y84" s="127">
        <f t="shared" si="161"/>
        <v>0.81818181818181823</v>
      </c>
      <c r="AA84" s="81">
        <f t="shared" si="162"/>
        <v>22</v>
      </c>
      <c r="AB84" s="81">
        <f>$I$82-3</f>
        <v>22</v>
      </c>
      <c r="AC84" s="129">
        <f t="shared" si="163"/>
        <v>0.88</v>
      </c>
      <c r="AD84" s="129">
        <f t="shared" si="164"/>
        <v>1</v>
      </c>
      <c r="AE84" s="127">
        <f t="shared" si="165"/>
        <v>0.93617021276595747</v>
      </c>
      <c r="AG84">
        <f>AH84-0</f>
        <v>13</v>
      </c>
      <c r="AH84">
        <v>13</v>
      </c>
      <c r="AI84" s="127">
        <f t="shared" si="166"/>
        <v>1.0833333333333333</v>
      </c>
      <c r="AJ84" s="127">
        <f t="shared" si="134"/>
        <v>1</v>
      </c>
      <c r="AW84" s="101">
        <f>($F$82-N84)/$F$82</f>
        <v>1</v>
      </c>
      <c r="AY84" s="101">
        <f>($G$82-AN84)/$G$82</f>
        <v>1</v>
      </c>
      <c r="AZ84" s="101" t="e">
        <f>AR84/AQ84</f>
        <v>#DIV/0!</v>
      </c>
      <c r="BA84" s="101" t="e">
        <f>AT84/AS84</f>
        <v>#DIV/0!</v>
      </c>
      <c r="BB84" s="85" t="e">
        <f>(AW84+AY84+AZ84+BA84)/4</f>
        <v>#DIV/0!</v>
      </c>
      <c r="BC84" s="13">
        <f>AP84/$H$82</f>
        <v>0</v>
      </c>
      <c r="BD84" s="118" t="e">
        <f>AV84/AP84</f>
        <v>#DIV/0!</v>
      </c>
      <c r="BE84" s="13" t="e">
        <f>AO84/AP84</f>
        <v>#DIV/0!</v>
      </c>
      <c r="BF84" s="13">
        <f>AT84/$H$82</f>
        <v>0</v>
      </c>
      <c r="BG84" s="13">
        <f>AR84/$H$82</f>
        <v>0</v>
      </c>
      <c r="BQ84" t="str">
        <f t="shared" ref="BQ84:BQ88" si="167">_xlfn.CONCAT($C$82," &amp; ",J84," &amp; ",Q84," &amp; ",R84," &amp; ",S84," &amp; ",W84," &amp; ",X84," &amp; ",Y84," &amp; ",AC84," &amp; ",AD84," &amp; ",AE84," &amp; ",AG84," &amp; ",AH84," &amp; ",AI84," &amp; ",AJ84, " \\ \hline")</f>
        <v>10-1 &amp; k=1 &amp; 0.814814814814815 &amp; 0.916666666666667 &amp; 0.862745098039216 &amp; 0.818181818181818 &amp; 0.818181818181818 &amp; 0.818181818181818 &amp; 0.88 &amp; 1 &amp; 0.936170212765957 &amp; 13 &amp; 13 &amp; 1.08333333333333 &amp; 1 \\ \hline</v>
      </c>
    </row>
    <row r="85" spans="1:69">
      <c r="A85" t="s">
        <v>307</v>
      </c>
      <c r="C85" s="98"/>
      <c r="J85" t="s">
        <v>680</v>
      </c>
      <c r="L85" s="211" t="s">
        <v>663</v>
      </c>
      <c r="M85" s="77"/>
      <c r="O85" s="81">
        <f t="shared" si="154"/>
        <v>21</v>
      </c>
      <c r="P85" s="81">
        <f>$F$82-4</f>
        <v>23</v>
      </c>
      <c r="Q85" s="129">
        <f t="shared" si="155"/>
        <v>0.77777777777777779</v>
      </c>
      <c r="R85" s="129">
        <f t="shared" si="156"/>
        <v>0.91304347826086951</v>
      </c>
      <c r="S85" s="127">
        <f t="shared" si="157"/>
        <v>0.84</v>
      </c>
      <c r="U85" s="81">
        <f t="shared" si="158"/>
        <v>8</v>
      </c>
      <c r="V85" s="81">
        <f>$G$82-1</f>
        <v>10</v>
      </c>
      <c r="W85" s="129">
        <f t="shared" si="159"/>
        <v>0.72727272727272729</v>
      </c>
      <c r="X85" s="129">
        <f t="shared" si="160"/>
        <v>0.8</v>
      </c>
      <c r="Y85" s="127">
        <f t="shared" si="161"/>
        <v>0.76190476190476197</v>
      </c>
      <c r="AA85" s="81">
        <f t="shared" si="162"/>
        <v>21</v>
      </c>
      <c r="AB85" s="81">
        <f>$I$82-4</f>
        <v>21</v>
      </c>
      <c r="AC85" s="129">
        <f t="shared" si="163"/>
        <v>0.84</v>
      </c>
      <c r="AD85" s="129">
        <f t="shared" si="164"/>
        <v>1</v>
      </c>
      <c r="AE85" s="127">
        <f t="shared" si="165"/>
        <v>0.91304347826086962</v>
      </c>
      <c r="AG85">
        <f>AH85-0</f>
        <v>5</v>
      </c>
      <c r="AH85">
        <v>5</v>
      </c>
      <c r="AI85" s="127">
        <f t="shared" si="166"/>
        <v>0.41666666666666669</v>
      </c>
      <c r="AJ85" s="127">
        <f t="shared" si="134"/>
        <v>1</v>
      </c>
      <c r="AW85" s="101">
        <f>($F$82-N85)/$F$82</f>
        <v>1</v>
      </c>
      <c r="AY85" s="101">
        <f>($G$82-AN85)/$G$82</f>
        <v>1</v>
      </c>
      <c r="AZ85" s="101" t="e">
        <f>AR85/AQ85</f>
        <v>#DIV/0!</v>
      </c>
      <c r="BA85" s="101" t="e">
        <f>AT85/AS85</f>
        <v>#DIV/0!</v>
      </c>
      <c r="BB85" s="85" t="e">
        <f>(AW85+AY85+AZ85+BA85)/4</f>
        <v>#DIV/0!</v>
      </c>
      <c r="BC85" s="13">
        <f>AP85/$H$82</f>
        <v>0</v>
      </c>
      <c r="BD85" s="118" t="e">
        <f>AV85/AP85</f>
        <v>#DIV/0!</v>
      </c>
      <c r="BE85" s="13" t="e">
        <f>AO85/AP85</f>
        <v>#DIV/0!</v>
      </c>
      <c r="BF85" s="13">
        <f>AT85/$H$82</f>
        <v>0</v>
      </c>
      <c r="BG85" s="13">
        <f>AR85/$H$82</f>
        <v>0</v>
      </c>
      <c r="BQ85" t="str">
        <f t="shared" si="167"/>
        <v>10-1 &amp; k=2 &amp; 0.777777777777778 &amp; 0.91304347826087 &amp; 0.84 &amp; 0.727272727272727 &amp; 0.8 &amp; 0.761904761904762 &amp; 0.84 &amp; 1 &amp; 0.91304347826087 &amp; 5 &amp; 5 &amp; 0.416666666666667 &amp; 1 \\ \hline</v>
      </c>
    </row>
    <row r="86" spans="1:69">
      <c r="A86" t="s">
        <v>308</v>
      </c>
      <c r="C86" s="98"/>
      <c r="J86" t="s">
        <v>680</v>
      </c>
      <c r="K86" s="107"/>
      <c r="L86" s="211" t="s">
        <v>663</v>
      </c>
      <c r="M86" s="77"/>
      <c r="O86" s="81">
        <f t="shared" si="154"/>
        <v>21</v>
      </c>
      <c r="P86" s="81">
        <f>$F$82-4</f>
        <v>23</v>
      </c>
      <c r="Q86" s="129">
        <f t="shared" si="155"/>
        <v>0.77777777777777779</v>
      </c>
      <c r="R86" s="129">
        <f t="shared" si="156"/>
        <v>0.91304347826086951</v>
      </c>
      <c r="S86" s="127">
        <f t="shared" si="157"/>
        <v>0.84</v>
      </c>
      <c r="U86" s="81">
        <f t="shared" si="158"/>
        <v>8</v>
      </c>
      <c r="V86" s="81">
        <f>$G$82-1</f>
        <v>10</v>
      </c>
      <c r="W86" s="129">
        <f t="shared" si="159"/>
        <v>0.72727272727272729</v>
      </c>
      <c r="X86" s="129">
        <f t="shared" si="160"/>
        <v>0.8</v>
      </c>
      <c r="Y86" s="127">
        <f t="shared" si="161"/>
        <v>0.76190476190476197</v>
      </c>
      <c r="AA86" s="81">
        <f t="shared" si="162"/>
        <v>21</v>
      </c>
      <c r="AB86" s="81">
        <f>$I$82-4</f>
        <v>21</v>
      </c>
      <c r="AC86" s="129">
        <f t="shared" si="163"/>
        <v>0.84</v>
      </c>
      <c r="AD86" s="129">
        <f t="shared" si="164"/>
        <v>1</v>
      </c>
      <c r="AE86" s="127">
        <f t="shared" si="165"/>
        <v>0.91304347826086962</v>
      </c>
      <c r="AG86">
        <f>AH86</f>
        <v>7</v>
      </c>
      <c r="AH86">
        <v>7</v>
      </c>
      <c r="AI86" s="127">
        <f t="shared" si="166"/>
        <v>0.58333333333333337</v>
      </c>
      <c r="AJ86" s="127">
        <f t="shared" si="134"/>
        <v>1</v>
      </c>
      <c r="AW86" s="101">
        <f>($F$82-N86)/$F$82</f>
        <v>1</v>
      </c>
      <c r="AY86" s="101">
        <f>($G$82-AN86)/$G$82</f>
        <v>1</v>
      </c>
      <c r="AZ86" s="101" t="e">
        <f>AR86/AQ86</f>
        <v>#DIV/0!</v>
      </c>
      <c r="BA86" s="101" t="e">
        <f>AT86/AS86</f>
        <v>#DIV/0!</v>
      </c>
      <c r="BB86" s="85" t="e">
        <f>(AW86+AY86+AZ86+BA86)/4</f>
        <v>#DIV/0!</v>
      </c>
      <c r="BC86" s="13">
        <f>AP86/$H$82</f>
        <v>0</v>
      </c>
      <c r="BD86" s="118" t="e">
        <f>AV86/AP86</f>
        <v>#DIV/0!</v>
      </c>
      <c r="BE86" s="13" t="e">
        <f>AO86/AP86</f>
        <v>#DIV/0!</v>
      </c>
      <c r="BF86" s="13">
        <f>AT86/$H$82</f>
        <v>0</v>
      </c>
      <c r="BG86" s="13">
        <f>AR86/$H$82</f>
        <v>0</v>
      </c>
      <c r="BQ86" t="str">
        <f t="shared" si="167"/>
        <v>10-1 &amp; k=2 &amp; 0.777777777777778 &amp; 0.91304347826087 &amp; 0.84 &amp; 0.727272727272727 &amp; 0.8 &amp; 0.761904761904762 &amp; 0.84 &amp; 1 &amp; 0.91304347826087 &amp; 7 &amp; 7 &amp; 0.583333333333333 &amp; 1 \\ \hline</v>
      </c>
    </row>
    <row r="87" spans="1:69">
      <c r="A87" t="s">
        <v>309</v>
      </c>
      <c r="C87" s="98"/>
      <c r="J87" t="s">
        <v>681</v>
      </c>
      <c r="L87" s="211" t="s">
        <v>692</v>
      </c>
      <c r="M87" s="77"/>
      <c r="O87" s="81">
        <f t="shared" si="154"/>
        <v>21</v>
      </c>
      <c r="P87" s="81">
        <f>$F$82-4</f>
        <v>23</v>
      </c>
      <c r="Q87" s="129">
        <f t="shared" si="155"/>
        <v>0.77777777777777779</v>
      </c>
      <c r="R87" s="129">
        <f t="shared" si="156"/>
        <v>0.91304347826086951</v>
      </c>
      <c r="S87" s="127">
        <f t="shared" si="157"/>
        <v>0.84</v>
      </c>
      <c r="U87" s="81">
        <f t="shared" si="158"/>
        <v>8</v>
      </c>
      <c r="V87" s="81">
        <f>$G$82-1</f>
        <v>10</v>
      </c>
      <c r="W87" s="129">
        <f t="shared" si="159"/>
        <v>0.72727272727272729</v>
      </c>
      <c r="X87" s="129">
        <f t="shared" si="160"/>
        <v>0.8</v>
      </c>
      <c r="Y87" s="127">
        <f t="shared" si="161"/>
        <v>0.76190476190476197</v>
      </c>
      <c r="AA87" s="81">
        <f t="shared" si="162"/>
        <v>21</v>
      </c>
      <c r="AB87" s="81">
        <f>$I$82-4</f>
        <v>21</v>
      </c>
      <c r="AC87" s="129">
        <f t="shared" si="163"/>
        <v>0.84</v>
      </c>
      <c r="AD87" s="129">
        <f t="shared" si="164"/>
        <v>1</v>
      </c>
      <c r="AE87" s="127">
        <f t="shared" si="165"/>
        <v>0.91304347826086962</v>
      </c>
      <c r="AG87">
        <f>AH87</f>
        <v>7</v>
      </c>
      <c r="AH87">
        <v>7</v>
      </c>
      <c r="AI87" s="127">
        <f t="shared" si="166"/>
        <v>0.58333333333333337</v>
      </c>
      <c r="AJ87" s="127">
        <f t="shared" si="134"/>
        <v>1</v>
      </c>
      <c r="BC87" s="13"/>
      <c r="BD87" s="118"/>
      <c r="BE87" s="13"/>
      <c r="BF87" s="13"/>
      <c r="BG87" s="13"/>
      <c r="BQ87" t="str">
        <f t="shared" si="167"/>
        <v>10-1 &amp; k=3 &amp; 0.777777777777778 &amp; 0.91304347826087 &amp; 0.84 &amp; 0.727272727272727 &amp; 0.8 &amp; 0.761904761904762 &amp; 0.84 &amp; 1 &amp; 0.91304347826087 &amp; 7 &amp; 7 &amp; 0.583333333333333 &amp; 1 \\ \hline</v>
      </c>
    </row>
    <row r="88" spans="1:69">
      <c r="A88" t="s">
        <v>667</v>
      </c>
      <c r="C88" s="98"/>
      <c r="J88" t="s">
        <v>681</v>
      </c>
      <c r="L88" s="211" t="s">
        <v>692</v>
      </c>
      <c r="M88" s="77"/>
      <c r="O88" s="81">
        <f t="shared" si="154"/>
        <v>22</v>
      </c>
      <c r="P88" s="81">
        <f>$F$82-3</f>
        <v>24</v>
      </c>
      <c r="Q88" s="129">
        <f t="shared" si="155"/>
        <v>0.81481481481481477</v>
      </c>
      <c r="R88" s="129">
        <f t="shared" si="156"/>
        <v>0.91666666666666663</v>
      </c>
      <c r="S88" s="127">
        <f t="shared" si="157"/>
        <v>0.86274509803921562</v>
      </c>
      <c r="U88" s="81">
        <f t="shared" si="158"/>
        <v>9</v>
      </c>
      <c r="V88" s="81">
        <f>$G$82-0</f>
        <v>11</v>
      </c>
      <c r="W88" s="129">
        <f t="shared" si="159"/>
        <v>0.81818181818181823</v>
      </c>
      <c r="X88" s="129">
        <f t="shared" si="160"/>
        <v>0.81818181818181823</v>
      </c>
      <c r="Y88" s="127">
        <f t="shared" si="161"/>
        <v>0.81818181818181823</v>
      </c>
      <c r="AA88" s="81">
        <f t="shared" si="162"/>
        <v>22</v>
      </c>
      <c r="AB88" s="81">
        <f>$I$82-3</f>
        <v>22</v>
      </c>
      <c r="AC88" s="129">
        <f t="shared" si="163"/>
        <v>0.88</v>
      </c>
      <c r="AD88" s="129">
        <f t="shared" si="164"/>
        <v>1</v>
      </c>
      <c r="AE88" s="127">
        <f t="shared" si="165"/>
        <v>0.93617021276595747</v>
      </c>
      <c r="AG88">
        <f>AH88</f>
        <v>6</v>
      </c>
      <c r="AH88">
        <v>6</v>
      </c>
      <c r="AI88" s="127">
        <f t="shared" si="166"/>
        <v>0.5</v>
      </c>
      <c r="AJ88" s="127">
        <f t="shared" si="134"/>
        <v>1</v>
      </c>
      <c r="BC88" s="13"/>
      <c r="BD88" s="118"/>
      <c r="BE88" s="13"/>
      <c r="BF88" s="13"/>
      <c r="BG88" s="13"/>
      <c r="BQ88" t="str">
        <f t="shared" si="167"/>
        <v>10-1 &amp; k=3 &amp; 0.814814814814815 &amp; 0.916666666666667 &amp; 0.862745098039216 &amp; 0.818181818181818 &amp; 0.818181818181818 &amp; 0.818181818181818 &amp; 0.88 &amp; 1 &amp; 0.936170212765957 &amp; 6 &amp; 6 &amp; 0.5 &amp; 1 \\ \hline</v>
      </c>
    </row>
    <row r="89" spans="1:69">
      <c r="C89" s="98"/>
      <c r="Q89" s="129"/>
      <c r="R89" s="129"/>
      <c r="S89" s="127"/>
      <c r="W89" s="129"/>
      <c r="X89" s="129"/>
      <c r="Y89" s="127"/>
      <c r="AC89" s="129"/>
      <c r="AD89" s="129"/>
      <c r="AE89" s="127"/>
      <c r="AG89"/>
      <c r="AH89"/>
      <c r="AI89" s="127"/>
      <c r="AJ89" s="127"/>
    </row>
    <row r="90" spans="1:69" s="75" customFormat="1">
      <c r="A90" s="75" t="s">
        <v>320</v>
      </c>
      <c r="B90" s="94">
        <v>45179</v>
      </c>
      <c r="C90" s="93" t="s">
        <v>162</v>
      </c>
      <c r="D90" s="78">
        <f>VLOOKUP($C$90,Overview!$Q$2:$AS$64,23,FALSE)</f>
        <v>0.50627224900379741</v>
      </c>
      <c r="E90" s="78" t="str">
        <f>VLOOKUP($C$90,Overview!$Q$2:$AS$64,24,FALSE)</f>
        <v>low</v>
      </c>
      <c r="F90" s="75">
        <f>VLOOKUP(C90,Overview!$Q$2:$AS$64,13,FALSE)</f>
        <v>31</v>
      </c>
      <c r="G90" s="75">
        <f>VLOOKUP(C90,Overview!$Q$2:$AS$64,16,FALSE)</f>
        <v>9</v>
      </c>
      <c r="H90" s="75">
        <f>VLOOKUP(C90,Overview!$Q$2:$AS$64,18,FALSE)</f>
        <v>11</v>
      </c>
      <c r="I90" s="75">
        <f>VLOOKUP($C$90,Overview!$Q$2:$AS$64,19,FALSE)</f>
        <v>29</v>
      </c>
      <c r="K90" s="294" t="str">
        <f>VLOOKUP($C$90,Overview!$Q$2:$AS$64,5,FALSE)</f>
        <v>6-2, 8-2</v>
      </c>
      <c r="L90" s="293" t="s">
        <v>786</v>
      </c>
      <c r="N90" s="115"/>
      <c r="O90" s="97"/>
      <c r="P90" s="97"/>
      <c r="Q90" s="130"/>
      <c r="R90" s="130"/>
      <c r="S90" s="128"/>
      <c r="T90" s="115"/>
      <c r="U90" s="97"/>
      <c r="V90" s="97"/>
      <c r="W90" s="130"/>
      <c r="X90" s="130"/>
      <c r="Y90" s="128"/>
      <c r="Z90" s="115"/>
      <c r="AA90" s="97"/>
      <c r="AB90" s="97"/>
      <c r="AC90" s="130"/>
      <c r="AD90" s="130"/>
      <c r="AE90" s="128"/>
      <c r="AF90" s="115"/>
      <c r="AI90" s="128"/>
      <c r="AJ90" s="127"/>
      <c r="AK90" s="97"/>
      <c r="AL90" s="115"/>
      <c r="AM90" s="122"/>
      <c r="AN90" s="101"/>
      <c r="AQ90" s="101"/>
      <c r="AR90" s="101"/>
      <c r="AV90" s="119"/>
      <c r="AW90" s="101"/>
      <c r="AX90" s="101"/>
      <c r="AY90" s="101"/>
      <c r="AZ90" s="101"/>
      <c r="BA90" s="101"/>
      <c r="BB90" s="83"/>
      <c r="BD90" s="101"/>
      <c r="BQ90"/>
    </row>
    <row r="91" spans="1:69">
      <c r="A91" t="s">
        <v>305</v>
      </c>
      <c r="C91" s="98"/>
      <c r="J91" t="s">
        <v>679</v>
      </c>
      <c r="K91" s="296" t="s">
        <v>787</v>
      </c>
      <c r="L91" s="210" t="s">
        <v>161</v>
      </c>
      <c r="M91" s="77"/>
      <c r="O91" s="163">
        <f>P91-0</f>
        <v>28</v>
      </c>
      <c r="P91" s="163">
        <f>$F$90-3</f>
        <v>28</v>
      </c>
      <c r="Q91" s="129">
        <f t="shared" ref="Q91:Q96" si="168">O91/$F$90</f>
        <v>0.90322580645161288</v>
      </c>
      <c r="R91" s="129">
        <f t="shared" ref="R91:R96" si="169">O91/P91</f>
        <v>1</v>
      </c>
      <c r="S91" s="127">
        <f t="shared" ref="S91:S96" si="170">2*(Q91*R91)/(Q91+R91)</f>
        <v>0.94915254237288127</v>
      </c>
      <c r="U91" s="81">
        <f>V91-0</f>
        <v>9</v>
      </c>
      <c r="V91" s="81">
        <f>$G$90-0</f>
        <v>9</v>
      </c>
      <c r="W91" s="129">
        <f t="shared" ref="W91:W96" si="171">U91/$G$90</f>
        <v>1</v>
      </c>
      <c r="X91" s="129">
        <f t="shared" ref="X91:X96" si="172">U91/V91</f>
        <v>1</v>
      </c>
      <c r="Y91" s="127">
        <f t="shared" ref="Y91:Y96" si="173">2*(W91*X91)/(W91+X91)</f>
        <v>1</v>
      </c>
      <c r="AA91" s="81">
        <f>AB91-0</f>
        <v>26</v>
      </c>
      <c r="AB91" s="81">
        <f>$I$90-3</f>
        <v>26</v>
      </c>
      <c r="AC91" s="129">
        <f t="shared" ref="AC91:AC96" si="174">AA91/$I$90</f>
        <v>0.89655172413793105</v>
      </c>
      <c r="AD91" s="129">
        <f t="shared" ref="AD91:AD96" si="175">AA91/AB91</f>
        <v>1</v>
      </c>
      <c r="AE91" s="127">
        <f t="shared" ref="AE91:AE96" si="176">2*(AC91*AD91)/(AC91+AD91)</f>
        <v>0.94545454545454544</v>
      </c>
      <c r="AG91">
        <f>AH91-0</f>
        <v>9</v>
      </c>
      <c r="AH91">
        <v>9</v>
      </c>
      <c r="AI91" s="127">
        <f t="shared" ref="AI91:AI96" si="177">AG91/$H$90</f>
        <v>0.81818181818181823</v>
      </c>
      <c r="AJ91" s="127">
        <f t="shared" si="134"/>
        <v>1</v>
      </c>
      <c r="AM91" s="122">
        <v>3</v>
      </c>
      <c r="AN91" s="101">
        <v>1</v>
      </c>
      <c r="AO91">
        <v>273</v>
      </c>
      <c r="AP91">
        <v>14</v>
      </c>
      <c r="AQ91" s="101">
        <v>14</v>
      </c>
      <c r="AR91" s="101">
        <v>13</v>
      </c>
      <c r="AS91">
        <v>0</v>
      </c>
      <c r="AT91">
        <v>0</v>
      </c>
      <c r="AU91">
        <v>0</v>
      </c>
      <c r="AV91" s="119">
        <v>10</v>
      </c>
      <c r="AW91" s="101">
        <f>($F$90-N91)/$F$90</f>
        <v>1</v>
      </c>
      <c r="AY91" s="101">
        <f>($G$90-AN91)/$G$90</f>
        <v>0.88888888888888884</v>
      </c>
      <c r="AZ91" s="101">
        <f>AR91/AQ91</f>
        <v>0.9285714285714286</v>
      </c>
      <c r="BA91" s="101">
        <v>0</v>
      </c>
      <c r="BB91" s="85">
        <f>(AW91+AY91+AZ91+BA91)/4</f>
        <v>0.70436507936507931</v>
      </c>
      <c r="BC91" s="13">
        <f>AP91/$H$90</f>
        <v>1.2727272727272727</v>
      </c>
      <c r="BD91" s="118">
        <f>AV91/AP91</f>
        <v>0.7142857142857143</v>
      </c>
      <c r="BE91" s="13">
        <f>AO91/AP91</f>
        <v>19.5</v>
      </c>
      <c r="BF91" s="13">
        <f>AT91/$H$90</f>
        <v>0</v>
      </c>
      <c r="BG91" s="13">
        <f>AR91/$H$90</f>
        <v>1.1818181818181819</v>
      </c>
      <c r="BQ91" t="str">
        <f>_xlfn.CONCAT($C$90," &amp; ",J91," &amp; ",Q91," &amp; ",R91," &amp; ",S91," &amp; ",W91," &amp; ",X91," &amp; ",Y91," &amp; ",AC91," &amp; ",AD91," &amp; ",AE91," &amp; ",AG91," &amp; ",AH91," &amp; ",AI91," &amp; ",AJ91, " \\ \hline")</f>
        <v>8-3 &amp; k=1 &amp; 0.903225806451613 &amp; 1 &amp; 0.949152542372881 &amp; 1 &amp; 1 &amp; 1 &amp; 0.896551724137931 &amp; 1 &amp; 0.945454545454545 &amp; 9 &amp; 9 &amp; 0.818181818181818 &amp; 1 \\ \hline</v>
      </c>
    </row>
    <row r="92" spans="1:69">
      <c r="A92" t="s">
        <v>306</v>
      </c>
      <c r="C92" s="98"/>
      <c r="J92" t="s">
        <v>679</v>
      </c>
      <c r="L92" s="210" t="s">
        <v>161</v>
      </c>
      <c r="M92" s="77"/>
      <c r="O92" s="163">
        <f>P92-3</f>
        <v>24</v>
      </c>
      <c r="P92" s="163">
        <f>$F$90-4</f>
        <v>27</v>
      </c>
      <c r="Q92" s="129">
        <f t="shared" si="168"/>
        <v>0.77419354838709675</v>
      </c>
      <c r="R92" s="129">
        <f t="shared" si="169"/>
        <v>0.88888888888888884</v>
      </c>
      <c r="S92" s="127">
        <f t="shared" si="170"/>
        <v>0.82758620689655171</v>
      </c>
      <c r="U92" s="81">
        <f>V92-2</f>
        <v>7</v>
      </c>
      <c r="V92" s="81">
        <f>$G$90</f>
        <v>9</v>
      </c>
      <c r="W92" s="129">
        <f t="shared" si="171"/>
        <v>0.77777777777777779</v>
      </c>
      <c r="X92" s="129">
        <f t="shared" si="172"/>
        <v>0.77777777777777779</v>
      </c>
      <c r="Y92" s="127">
        <f t="shared" si="173"/>
        <v>0.77777777777777779</v>
      </c>
      <c r="AA92" s="81">
        <f>AB92-3</f>
        <v>22</v>
      </c>
      <c r="AB92" s="81">
        <f>$I$90-4</f>
        <v>25</v>
      </c>
      <c r="AC92" s="129">
        <f t="shared" si="174"/>
        <v>0.75862068965517238</v>
      </c>
      <c r="AD92" s="129">
        <f t="shared" si="175"/>
        <v>0.88</v>
      </c>
      <c r="AE92" s="127">
        <f t="shared" si="176"/>
        <v>0.81481481481481477</v>
      </c>
      <c r="AG92">
        <f>AH92-1</f>
        <v>8</v>
      </c>
      <c r="AH92">
        <v>9</v>
      </c>
      <c r="AI92" s="127">
        <f t="shared" si="177"/>
        <v>0.72727272727272729</v>
      </c>
      <c r="AJ92" s="127">
        <f t="shared" si="134"/>
        <v>0.88888888888888884</v>
      </c>
      <c r="AM92" s="122">
        <v>4</v>
      </c>
      <c r="AN92" s="101">
        <v>2</v>
      </c>
      <c r="AO92">
        <v>347</v>
      </c>
      <c r="AP92">
        <v>17</v>
      </c>
      <c r="AQ92" s="101">
        <v>14</v>
      </c>
      <c r="AR92" s="101">
        <v>11</v>
      </c>
      <c r="AS92">
        <v>3</v>
      </c>
      <c r="AT92">
        <v>2</v>
      </c>
      <c r="AU92">
        <v>0</v>
      </c>
      <c r="AV92" s="119">
        <v>9</v>
      </c>
      <c r="AW92" s="101">
        <f>($F$90-N92)/$F$90</f>
        <v>1</v>
      </c>
      <c r="AY92" s="101">
        <f>($G$90-AN92)/$G$90</f>
        <v>0.77777777777777779</v>
      </c>
      <c r="AZ92" s="101">
        <f>AR92/AQ92</f>
        <v>0.7857142857142857</v>
      </c>
      <c r="BA92" s="101">
        <f>AT92/AS92</f>
        <v>0.66666666666666663</v>
      </c>
      <c r="BB92" s="85">
        <f>(AW92+AY92+AZ92+BA92)/4</f>
        <v>0.80753968253968245</v>
      </c>
      <c r="BC92" s="13">
        <f>AP92/$H$90</f>
        <v>1.5454545454545454</v>
      </c>
      <c r="BD92" s="118">
        <f>AV92/AP92</f>
        <v>0.52941176470588236</v>
      </c>
      <c r="BE92" s="13">
        <f>AO92/AP92</f>
        <v>20.411764705882351</v>
      </c>
      <c r="BF92" s="13">
        <f>AT92/$H$90</f>
        <v>0.18181818181818182</v>
      </c>
      <c r="BG92" s="13">
        <f>AR92/$H$90</f>
        <v>1</v>
      </c>
      <c r="BQ92" t="str">
        <f t="shared" ref="BQ92:BQ96" si="178">_xlfn.CONCAT($C$90," &amp; ",J92," &amp; ",Q92," &amp; ",R92," &amp; ",S92," &amp; ",W92," &amp; ",X92," &amp; ",Y92," &amp; ",AC92," &amp; ",AD92," &amp; ",AE92," &amp; ",AG92," &amp; ",AH92," &amp; ",AI92," &amp; ",AJ92, " \\ \hline")</f>
        <v>8-3 &amp; k=1 &amp; 0.774193548387097 &amp; 0.888888888888889 &amp; 0.827586206896552 &amp; 0.777777777777778 &amp; 0.777777777777778 &amp; 0.777777777777778 &amp; 0.758620689655172 &amp; 0.88 &amp; 0.814814814814815 &amp; 8 &amp; 9 &amp; 0.727272727272727 &amp; 0.888888888888889 \\ \hline</v>
      </c>
    </row>
    <row r="93" spans="1:69">
      <c r="A93" t="s">
        <v>307</v>
      </c>
      <c r="C93" s="98"/>
      <c r="J93" t="s">
        <v>680</v>
      </c>
      <c r="L93" s="210" t="s">
        <v>693</v>
      </c>
      <c r="M93" s="77"/>
      <c r="O93" s="163">
        <f>P93-3</f>
        <v>25</v>
      </c>
      <c r="P93" s="163">
        <f>$F$90-3</f>
        <v>28</v>
      </c>
      <c r="Q93" s="129">
        <f t="shared" si="168"/>
        <v>0.80645161290322576</v>
      </c>
      <c r="R93" s="129">
        <f t="shared" si="169"/>
        <v>0.8928571428571429</v>
      </c>
      <c r="S93" s="127">
        <f t="shared" si="170"/>
        <v>0.84745762711864392</v>
      </c>
      <c r="U93" s="81">
        <f>V93-3</f>
        <v>6</v>
      </c>
      <c r="V93" s="81">
        <f>$G$90</f>
        <v>9</v>
      </c>
      <c r="W93" s="129">
        <f t="shared" si="171"/>
        <v>0.66666666666666663</v>
      </c>
      <c r="X93" s="129">
        <f t="shared" si="172"/>
        <v>0.66666666666666663</v>
      </c>
      <c r="Y93" s="127">
        <f t="shared" si="173"/>
        <v>0.66666666666666663</v>
      </c>
      <c r="AA93" s="81">
        <f>AB93-2</f>
        <v>24</v>
      </c>
      <c r="AB93" s="81">
        <f>$I$90-3</f>
        <v>26</v>
      </c>
      <c r="AC93" s="129">
        <f t="shared" si="174"/>
        <v>0.82758620689655171</v>
      </c>
      <c r="AD93" s="129">
        <f t="shared" si="175"/>
        <v>0.92307692307692313</v>
      </c>
      <c r="AE93" s="127">
        <f t="shared" si="176"/>
        <v>0.87272727272727268</v>
      </c>
      <c r="AG93">
        <f>AH93-0</f>
        <v>3</v>
      </c>
      <c r="AH93">
        <v>3</v>
      </c>
      <c r="AI93" s="127">
        <f t="shared" si="177"/>
        <v>0.27272727272727271</v>
      </c>
      <c r="AJ93" s="127">
        <f t="shared" si="134"/>
        <v>1</v>
      </c>
      <c r="AM93" s="122">
        <v>3</v>
      </c>
      <c r="AN93" s="101">
        <v>2</v>
      </c>
      <c r="AO93">
        <v>282</v>
      </c>
      <c r="AP93">
        <v>16</v>
      </c>
      <c r="AQ93" s="101">
        <v>14</v>
      </c>
      <c r="AR93" s="101">
        <v>8</v>
      </c>
      <c r="AS93">
        <v>2</v>
      </c>
      <c r="AT93">
        <v>2</v>
      </c>
      <c r="AU93">
        <v>0</v>
      </c>
      <c r="AV93" s="119">
        <v>6</v>
      </c>
      <c r="AW93" s="101">
        <f>($F$90-N93)/$F$90</f>
        <v>1</v>
      </c>
      <c r="AY93" s="101">
        <f>($G$90-AN93)/$G$90</f>
        <v>0.77777777777777779</v>
      </c>
      <c r="AZ93" s="101">
        <f>AR93/AQ93</f>
        <v>0.5714285714285714</v>
      </c>
      <c r="BA93" s="101">
        <f>AT93/AS93</f>
        <v>1</v>
      </c>
      <c r="BB93" s="85">
        <f>(AW93+AY93+AZ93+BA93)/4</f>
        <v>0.83730158730158721</v>
      </c>
      <c r="BC93" s="13">
        <f>AP93/$H$90</f>
        <v>1.4545454545454546</v>
      </c>
      <c r="BD93" s="118">
        <f>AV93/AP93</f>
        <v>0.375</v>
      </c>
      <c r="BE93" s="13">
        <f>AO93/AP93</f>
        <v>17.625</v>
      </c>
      <c r="BF93" s="13">
        <f>AT93/$H$90</f>
        <v>0.18181818181818182</v>
      </c>
      <c r="BG93" s="13">
        <f>AR93/$H$90</f>
        <v>0.72727272727272729</v>
      </c>
      <c r="BQ93" t="str">
        <f t="shared" si="178"/>
        <v>8-3 &amp; k=2 &amp; 0.806451612903226 &amp; 0.892857142857143 &amp; 0.847457627118644 &amp; 0.666666666666667 &amp; 0.666666666666667 &amp; 0.666666666666667 &amp; 0.827586206896552 &amp; 0.923076923076923 &amp; 0.872727272727273 &amp; 3 &amp; 3 &amp; 0.272727272727273 &amp; 1 \\ \hline</v>
      </c>
    </row>
    <row r="94" spans="1:69">
      <c r="A94" t="s">
        <v>308</v>
      </c>
      <c r="C94" s="98"/>
      <c r="J94" t="s">
        <v>680</v>
      </c>
      <c r="L94" s="210" t="s">
        <v>693</v>
      </c>
      <c r="M94" s="77"/>
      <c r="O94" s="163">
        <f>P94-2</f>
        <v>27</v>
      </c>
      <c r="P94" s="163">
        <f>$F$90-2</f>
        <v>29</v>
      </c>
      <c r="Q94" s="129">
        <f t="shared" si="168"/>
        <v>0.87096774193548387</v>
      </c>
      <c r="R94" s="129">
        <f t="shared" si="169"/>
        <v>0.93103448275862066</v>
      </c>
      <c r="S94" s="127">
        <f t="shared" si="170"/>
        <v>0.9</v>
      </c>
      <c r="U94" s="81">
        <f>V94-1</f>
        <v>8</v>
      </c>
      <c r="V94" s="81">
        <f>$G$90</f>
        <v>9</v>
      </c>
      <c r="W94" s="129">
        <f t="shared" si="171"/>
        <v>0.88888888888888884</v>
      </c>
      <c r="X94" s="129">
        <f t="shared" si="172"/>
        <v>0.88888888888888884</v>
      </c>
      <c r="Y94" s="127">
        <f t="shared" si="173"/>
        <v>0.88888888888888884</v>
      </c>
      <c r="AA94" s="81">
        <f>AB94-2</f>
        <v>25</v>
      </c>
      <c r="AB94" s="81">
        <f>$I$90-2</f>
        <v>27</v>
      </c>
      <c r="AC94" s="129">
        <f t="shared" si="174"/>
        <v>0.86206896551724133</v>
      </c>
      <c r="AD94" s="129">
        <f t="shared" si="175"/>
        <v>0.92592592592592593</v>
      </c>
      <c r="AE94" s="127">
        <f t="shared" si="176"/>
        <v>0.8928571428571429</v>
      </c>
      <c r="AG94">
        <f>AH94-0</f>
        <v>7</v>
      </c>
      <c r="AH94">
        <v>7</v>
      </c>
      <c r="AI94" s="127">
        <f t="shared" si="177"/>
        <v>0.63636363636363635</v>
      </c>
      <c r="AJ94" s="127">
        <f t="shared" si="134"/>
        <v>1</v>
      </c>
      <c r="AM94" s="122">
        <v>4</v>
      </c>
      <c r="AN94" s="101">
        <v>2</v>
      </c>
      <c r="AO94">
        <v>309</v>
      </c>
      <c r="AP94">
        <v>15</v>
      </c>
      <c r="AQ94" s="101">
        <v>13</v>
      </c>
      <c r="AR94" s="101">
        <v>12</v>
      </c>
      <c r="AS94">
        <v>2</v>
      </c>
      <c r="AT94">
        <v>2</v>
      </c>
      <c r="AU94">
        <v>0</v>
      </c>
      <c r="AV94" s="119">
        <v>11</v>
      </c>
      <c r="AW94" s="101">
        <f>($F$90-N94)/$F$90</f>
        <v>1</v>
      </c>
      <c r="AY94" s="101">
        <f>($G$90-AN94)/$G$90</f>
        <v>0.77777777777777779</v>
      </c>
      <c r="AZ94" s="101">
        <f>AR94/AQ94</f>
        <v>0.92307692307692313</v>
      </c>
      <c r="BA94" s="101">
        <f>AT94/AS94</f>
        <v>1</v>
      </c>
      <c r="BB94" s="85">
        <f>(AW94+AY94+AZ94+BA94)/4</f>
        <v>0.92521367521367526</v>
      </c>
      <c r="BC94" s="13">
        <f>AP94/$H$90</f>
        <v>1.3636363636363635</v>
      </c>
      <c r="BD94" s="118">
        <f>AV94/AP94</f>
        <v>0.73333333333333328</v>
      </c>
      <c r="BE94" s="13">
        <f>AO94/AP94</f>
        <v>20.6</v>
      </c>
      <c r="BF94" s="13">
        <f>AT94/$H$90</f>
        <v>0.18181818181818182</v>
      </c>
      <c r="BG94" s="13">
        <f>AR94/$H$90</f>
        <v>1.0909090909090908</v>
      </c>
      <c r="BQ94" t="str">
        <f t="shared" si="178"/>
        <v>8-3 &amp; k=2 &amp; 0.870967741935484 &amp; 0.931034482758621 &amp; 0.9 &amp; 0.888888888888889 &amp; 0.888888888888889 &amp; 0.888888888888889 &amp; 0.862068965517241 &amp; 0.925925925925926 &amp; 0.892857142857143 &amp; 7 &amp; 7 &amp; 0.636363636363636 &amp; 1 \\ \hline</v>
      </c>
    </row>
    <row r="95" spans="1:69">
      <c r="A95" t="s">
        <v>309</v>
      </c>
      <c r="C95" s="98"/>
      <c r="J95" t="s">
        <v>681</v>
      </c>
      <c r="L95" s="210" t="s">
        <v>694</v>
      </c>
      <c r="M95" s="77"/>
      <c r="O95" s="163">
        <f>P95-2</f>
        <v>23</v>
      </c>
      <c r="P95" s="163">
        <f>$F$90-6</f>
        <v>25</v>
      </c>
      <c r="Q95" s="129">
        <f t="shared" si="168"/>
        <v>0.74193548387096775</v>
      </c>
      <c r="R95" s="129">
        <f t="shared" si="169"/>
        <v>0.92</v>
      </c>
      <c r="S95" s="127">
        <f t="shared" si="170"/>
        <v>0.8214285714285714</v>
      </c>
      <c r="U95" s="81">
        <f>V95-1</f>
        <v>7</v>
      </c>
      <c r="V95" s="81">
        <f>$G$90-1</f>
        <v>8</v>
      </c>
      <c r="W95" s="129">
        <f t="shared" si="171"/>
        <v>0.77777777777777779</v>
      </c>
      <c r="X95" s="129">
        <f t="shared" si="172"/>
        <v>0.875</v>
      </c>
      <c r="Y95" s="127">
        <f t="shared" si="173"/>
        <v>0.82352941176470595</v>
      </c>
      <c r="AA95" s="81">
        <f>AB95-2</f>
        <v>21</v>
      </c>
      <c r="AB95" s="81">
        <f>$I$90-6</f>
        <v>23</v>
      </c>
      <c r="AC95" s="129">
        <f t="shared" si="174"/>
        <v>0.72413793103448276</v>
      </c>
      <c r="AD95" s="129">
        <f t="shared" si="175"/>
        <v>0.91304347826086951</v>
      </c>
      <c r="AE95" s="127">
        <f t="shared" si="176"/>
        <v>0.8076923076923076</v>
      </c>
      <c r="AG95">
        <f>AH95-0</f>
        <v>2</v>
      </c>
      <c r="AH95">
        <v>2</v>
      </c>
      <c r="AI95" s="127">
        <f t="shared" si="177"/>
        <v>0.18181818181818182</v>
      </c>
      <c r="AJ95" s="127">
        <f t="shared" si="134"/>
        <v>1</v>
      </c>
      <c r="BC95" s="13"/>
      <c r="BD95" s="118"/>
      <c r="BE95" s="13"/>
      <c r="BF95" s="13"/>
      <c r="BG95" s="13"/>
      <c r="BQ95" t="str">
        <f t="shared" si="178"/>
        <v>8-3 &amp; k=3 &amp; 0.741935483870968 &amp; 0.92 &amp; 0.821428571428571 &amp; 0.777777777777778 &amp; 0.875 &amp; 0.823529411764706 &amp; 0.724137931034483 &amp; 0.91304347826087 &amp; 0.807692307692308 &amp; 2 &amp; 2 &amp; 0.181818181818182 &amp; 1 \\ \hline</v>
      </c>
    </row>
    <row r="96" spans="1:69">
      <c r="A96" t="s">
        <v>667</v>
      </c>
      <c r="C96" s="98"/>
      <c r="J96" t="s">
        <v>681</v>
      </c>
      <c r="L96" s="210" t="s">
        <v>694</v>
      </c>
      <c r="M96" s="77"/>
      <c r="O96" s="163">
        <f>P96-2</f>
        <v>23</v>
      </c>
      <c r="P96" s="163">
        <f>$F$90-6</f>
        <v>25</v>
      </c>
      <c r="Q96" s="129">
        <f t="shared" si="168"/>
        <v>0.74193548387096775</v>
      </c>
      <c r="R96" s="129">
        <f t="shared" si="169"/>
        <v>0.92</v>
      </c>
      <c r="S96" s="127">
        <f t="shared" si="170"/>
        <v>0.8214285714285714</v>
      </c>
      <c r="U96" s="81">
        <f>V96-1</f>
        <v>7</v>
      </c>
      <c r="V96" s="81">
        <f>$G$90-1</f>
        <v>8</v>
      </c>
      <c r="W96" s="129">
        <f t="shared" si="171"/>
        <v>0.77777777777777779</v>
      </c>
      <c r="X96" s="129">
        <f t="shared" si="172"/>
        <v>0.875</v>
      </c>
      <c r="Y96" s="127">
        <f t="shared" si="173"/>
        <v>0.82352941176470595</v>
      </c>
      <c r="AA96" s="81">
        <f>AB96-2</f>
        <v>21</v>
      </c>
      <c r="AB96" s="81">
        <f>$I$90-6</f>
        <v>23</v>
      </c>
      <c r="AC96" s="129">
        <f t="shared" si="174"/>
        <v>0.72413793103448276</v>
      </c>
      <c r="AD96" s="129">
        <f t="shared" si="175"/>
        <v>0.91304347826086951</v>
      </c>
      <c r="AE96" s="127">
        <f t="shared" si="176"/>
        <v>0.8076923076923076</v>
      </c>
      <c r="AG96">
        <f>AH96-0</f>
        <v>2</v>
      </c>
      <c r="AH96">
        <v>2</v>
      </c>
      <c r="AI96" s="127">
        <f t="shared" si="177"/>
        <v>0.18181818181818182</v>
      </c>
      <c r="AJ96" s="127">
        <f t="shared" si="134"/>
        <v>1</v>
      </c>
      <c r="BC96" s="13"/>
      <c r="BD96" s="118"/>
      <c r="BE96" s="13"/>
      <c r="BF96" s="13"/>
      <c r="BG96" s="13"/>
      <c r="BQ96" t="str">
        <f t="shared" si="178"/>
        <v>8-3 &amp; k=3 &amp; 0.741935483870968 &amp; 0.92 &amp; 0.821428571428571 &amp; 0.777777777777778 &amp; 0.875 &amp; 0.823529411764706 &amp; 0.724137931034483 &amp; 0.91304347826087 &amp; 0.807692307692308 &amp; 2 &amp; 2 &amp; 0.181818181818182 &amp; 1 \\ \hline</v>
      </c>
    </row>
    <row r="97" spans="1:69">
      <c r="C97" s="98"/>
      <c r="Q97" s="129"/>
      <c r="R97" s="129"/>
      <c r="S97" s="127"/>
      <c r="W97" s="129"/>
      <c r="X97" s="129"/>
      <c r="Y97" s="127"/>
      <c r="AC97" s="129"/>
      <c r="AD97" s="129"/>
      <c r="AE97" s="127"/>
      <c r="AG97"/>
      <c r="AH97"/>
      <c r="AI97" s="127"/>
      <c r="AJ97" s="127"/>
    </row>
    <row r="98" spans="1:69" s="75" customFormat="1">
      <c r="A98" s="73" t="s">
        <v>346</v>
      </c>
      <c r="B98" s="94">
        <v>45179</v>
      </c>
      <c r="C98" s="99" t="s">
        <v>161</v>
      </c>
      <c r="D98" s="78">
        <f>VLOOKUP($C$98,Overview!$Q$2:$AS$64,23,FALSE)</f>
        <v>0.52174731599712521</v>
      </c>
      <c r="E98" s="78" t="str">
        <f>VLOOKUP($C$98,Overview!$Q$2:$AS$64,24,FALSE)</f>
        <v>low</v>
      </c>
      <c r="F98" s="75">
        <f>VLOOKUP(C98,Overview!$Q$2:$AS$64,13,FALSE)</f>
        <v>32</v>
      </c>
      <c r="G98" s="75">
        <f>VLOOKUP(C98,Overview!$Q$2:$AS$64,16,FALSE)</f>
        <v>9</v>
      </c>
      <c r="H98" s="75">
        <f>VLOOKUP(C98,Overview!$Q$2:$AS$64,18,FALSE)</f>
        <v>11</v>
      </c>
      <c r="I98" s="75">
        <f>VLOOKUP($C$98,Overview!$Q$2:$AS$64,19,FALSE)</f>
        <v>30</v>
      </c>
      <c r="K98" s="75" t="str">
        <f>VLOOKUP($C$98,Overview!$Q$2:$AS$64,5,FALSE)</f>
        <v>6-2, 3-8</v>
      </c>
      <c r="L98" s="96"/>
      <c r="N98" s="115"/>
      <c r="O98" s="97"/>
      <c r="P98" s="97"/>
      <c r="Q98" s="130"/>
      <c r="R98" s="130"/>
      <c r="S98" s="128"/>
      <c r="T98" s="115"/>
      <c r="U98" s="97"/>
      <c r="V98" s="97"/>
      <c r="W98" s="130"/>
      <c r="X98" s="130"/>
      <c r="Y98" s="128"/>
      <c r="Z98" s="115"/>
      <c r="AA98" s="97"/>
      <c r="AB98" s="97"/>
      <c r="AC98" s="130"/>
      <c r="AD98" s="130"/>
      <c r="AE98" s="128"/>
      <c r="AF98" s="115"/>
      <c r="AI98" s="128"/>
      <c r="AJ98" s="127"/>
      <c r="AK98" s="97"/>
      <c r="AL98" s="115"/>
      <c r="AM98" s="122"/>
      <c r="AN98" s="101"/>
      <c r="AQ98" s="101"/>
      <c r="AR98" s="101"/>
      <c r="AV98" s="119"/>
      <c r="AW98" s="101"/>
      <c r="AX98" s="101"/>
      <c r="AY98" s="101"/>
      <c r="AZ98" s="101"/>
      <c r="BA98" s="101"/>
      <c r="BB98" s="83"/>
      <c r="BD98" s="101"/>
      <c r="BQ98"/>
    </row>
    <row r="99" spans="1:69">
      <c r="A99" t="s">
        <v>305</v>
      </c>
      <c r="C99" s="111"/>
      <c r="J99" t="s">
        <v>679</v>
      </c>
      <c r="K99" s="296" t="s">
        <v>787</v>
      </c>
      <c r="L99" s="211" t="s">
        <v>152</v>
      </c>
      <c r="M99" s="77"/>
      <c r="O99" s="81">
        <f>P99-3</f>
        <v>21</v>
      </c>
      <c r="P99" s="81">
        <f>$F$98-8</f>
        <v>24</v>
      </c>
      <c r="Q99" s="129">
        <f t="shared" ref="Q99:Q104" si="179">O99/$F$98</f>
        <v>0.65625</v>
      </c>
      <c r="R99" s="129">
        <f t="shared" ref="R99:R104" si="180">O99/P99</f>
        <v>0.875</v>
      </c>
      <c r="S99" s="127">
        <f t="shared" ref="S99:S104" si="181">2*(Q99*R99)/(Q99+R99)</f>
        <v>0.75</v>
      </c>
      <c r="U99" s="81">
        <f>V99-2</f>
        <v>7</v>
      </c>
      <c r="V99" s="81">
        <f t="shared" ref="V99:V104" si="182">$G$98-0</f>
        <v>9</v>
      </c>
      <c r="W99" s="129">
        <f t="shared" ref="W99:W104" si="183">U99/$G$98</f>
        <v>0.77777777777777779</v>
      </c>
      <c r="X99" s="129">
        <f t="shared" ref="X99:X104" si="184">U99/V99</f>
        <v>0.77777777777777779</v>
      </c>
      <c r="Y99" s="127">
        <f t="shared" ref="Y99:Y104" si="185">2*(W99*X99)/(W99+X99)</f>
        <v>0.77777777777777779</v>
      </c>
      <c r="AA99" s="81">
        <f>AB99-0</f>
        <v>22</v>
      </c>
      <c r="AB99" s="81">
        <f>$I$98-8</f>
        <v>22</v>
      </c>
      <c r="AC99" s="129">
        <f t="shared" ref="AC99:AC104" si="186">AA99/$I$98</f>
        <v>0.73333333333333328</v>
      </c>
      <c r="AD99" s="129">
        <f t="shared" ref="AD99:AD104" si="187">AA99/AB99</f>
        <v>1</v>
      </c>
      <c r="AE99" s="127">
        <f t="shared" ref="AE99:AE104" si="188">2*(AC99*AD99)/(AC99+AD99)</f>
        <v>0.84615384615384603</v>
      </c>
      <c r="AG99">
        <f t="shared" ref="AG99:AG104" si="189">AH99-0</f>
        <v>11</v>
      </c>
      <c r="AH99">
        <v>11</v>
      </c>
      <c r="AI99" s="127">
        <f t="shared" ref="AI99:AI104" si="190">AG99/$H$98</f>
        <v>1</v>
      </c>
      <c r="AJ99" s="127">
        <f t="shared" si="134"/>
        <v>1</v>
      </c>
      <c r="AM99" s="122">
        <v>9</v>
      </c>
      <c r="AN99" s="101">
        <v>2</v>
      </c>
      <c r="AO99">
        <v>229</v>
      </c>
      <c r="AP99">
        <v>12</v>
      </c>
      <c r="AQ99" s="101">
        <v>12</v>
      </c>
      <c r="AR99" s="101">
        <v>4</v>
      </c>
      <c r="AS99">
        <v>0</v>
      </c>
      <c r="AT99">
        <v>0</v>
      </c>
      <c r="AU99">
        <v>0</v>
      </c>
      <c r="AV99" s="119">
        <v>10</v>
      </c>
      <c r="AW99" s="101">
        <f>($F$98-N99)/$F$98</f>
        <v>1</v>
      </c>
      <c r="AY99" s="101">
        <f>($G$98-AN99)/$G$98</f>
        <v>0.77777777777777779</v>
      </c>
      <c r="AZ99" s="101">
        <f>AR99/AQ99</f>
        <v>0.33333333333333331</v>
      </c>
      <c r="BA99" s="101">
        <v>0</v>
      </c>
      <c r="BB99" s="85">
        <f>(AW99+AY99+AZ99+BA99)/4</f>
        <v>0.52777777777777779</v>
      </c>
      <c r="BC99" s="13">
        <f>AP99/$H$98</f>
        <v>1.0909090909090908</v>
      </c>
      <c r="BD99" s="118">
        <f>AV99/AP99</f>
        <v>0.83333333333333337</v>
      </c>
      <c r="BE99" s="13">
        <f>AO99/AP99</f>
        <v>19.083333333333332</v>
      </c>
      <c r="BF99" s="13">
        <f>AT99/$H$98</f>
        <v>0</v>
      </c>
      <c r="BG99" s="13">
        <f>AR99/$H$98</f>
        <v>0.36363636363636365</v>
      </c>
      <c r="BQ99" t="str">
        <f>_xlfn.CONCAT($C$98," &amp; ",J99," &amp; ",Q99," &amp; ",R99," &amp; ",S99," &amp; ",W99," &amp; ",X99," &amp; ",Y99," &amp; ",AC99," &amp; ",AD99," &amp; ",AE99," &amp; ",AG99," &amp; ",AH99," &amp; ",AI99," &amp; ",AJ99, " \\ \hline")</f>
        <v>8-2 &amp; k=1 &amp; 0.65625 &amp; 0.875 &amp; 0.75 &amp; 0.777777777777778 &amp; 0.777777777777778 &amp; 0.777777777777778 &amp; 0.733333333333333 &amp; 1 &amp; 0.846153846153846 &amp; 11 &amp; 11 &amp; 1 &amp; 1 \\ \hline</v>
      </c>
    </row>
    <row r="100" spans="1:69">
      <c r="A100" t="s">
        <v>306</v>
      </c>
      <c r="C100" s="98"/>
      <c r="J100" t="s">
        <v>679</v>
      </c>
      <c r="L100" s="211" t="s">
        <v>152</v>
      </c>
      <c r="M100" s="77"/>
      <c r="O100" s="81">
        <f>P100-3</f>
        <v>21</v>
      </c>
      <c r="P100" s="81">
        <f>$F$98-8</f>
        <v>24</v>
      </c>
      <c r="Q100" s="129">
        <f t="shared" si="179"/>
        <v>0.65625</v>
      </c>
      <c r="R100" s="129">
        <f t="shared" si="180"/>
        <v>0.875</v>
      </c>
      <c r="S100" s="127">
        <f t="shared" si="181"/>
        <v>0.75</v>
      </c>
      <c r="U100" s="81">
        <f>V100-2</f>
        <v>7</v>
      </c>
      <c r="V100" s="81">
        <f t="shared" si="182"/>
        <v>9</v>
      </c>
      <c r="W100" s="129">
        <f t="shared" si="183"/>
        <v>0.77777777777777779</v>
      </c>
      <c r="X100" s="129">
        <f t="shared" si="184"/>
        <v>0.77777777777777779</v>
      </c>
      <c r="Y100" s="127">
        <f t="shared" si="185"/>
        <v>0.77777777777777779</v>
      </c>
      <c r="AA100" s="81">
        <f>AB100-0</f>
        <v>22</v>
      </c>
      <c r="AB100" s="81">
        <f>$I$98-8</f>
        <v>22</v>
      </c>
      <c r="AC100" s="129">
        <f t="shared" si="186"/>
        <v>0.73333333333333328</v>
      </c>
      <c r="AD100" s="129">
        <f t="shared" si="187"/>
        <v>1</v>
      </c>
      <c r="AE100" s="127">
        <f t="shared" si="188"/>
        <v>0.84615384615384603</v>
      </c>
      <c r="AG100">
        <f t="shared" si="189"/>
        <v>11</v>
      </c>
      <c r="AH100">
        <v>11</v>
      </c>
      <c r="AI100" s="127">
        <f t="shared" si="190"/>
        <v>1</v>
      </c>
      <c r="AJ100" s="127">
        <f t="shared" si="134"/>
        <v>1</v>
      </c>
      <c r="AM100" s="122">
        <v>4</v>
      </c>
      <c r="AN100" s="101">
        <v>1</v>
      </c>
      <c r="AO100">
        <v>338</v>
      </c>
      <c r="AP100">
        <v>14</v>
      </c>
      <c r="AQ100" s="101">
        <v>11</v>
      </c>
      <c r="AR100" s="101">
        <v>6</v>
      </c>
      <c r="AS100">
        <v>3</v>
      </c>
      <c r="AT100">
        <v>3</v>
      </c>
      <c r="AU100">
        <v>0</v>
      </c>
      <c r="AV100" s="119">
        <v>8</v>
      </c>
      <c r="AW100" s="101">
        <f>($F$98-N100)/$F$98</f>
        <v>1</v>
      </c>
      <c r="AY100" s="101">
        <f>($G$98-AN100)/$G$98</f>
        <v>0.88888888888888884</v>
      </c>
      <c r="AZ100" s="101">
        <f>AR100/AQ100</f>
        <v>0.54545454545454541</v>
      </c>
      <c r="BA100" s="101">
        <f>AT100/AS100</f>
        <v>1</v>
      </c>
      <c r="BB100" s="85">
        <f>(AW100+AY100+AZ100+BA100)/4</f>
        <v>0.85858585858585856</v>
      </c>
      <c r="BC100" s="13">
        <f>AP100/$H$98</f>
        <v>1.2727272727272727</v>
      </c>
      <c r="BD100" s="118">
        <f>AV100/AP100</f>
        <v>0.5714285714285714</v>
      </c>
      <c r="BE100" s="13">
        <f>AO100/AP100</f>
        <v>24.142857142857142</v>
      </c>
      <c r="BF100" s="13">
        <f>AT100/$H$98</f>
        <v>0.27272727272727271</v>
      </c>
      <c r="BG100" s="13">
        <f>AR100/$H$98</f>
        <v>0.54545454545454541</v>
      </c>
      <c r="BQ100" t="str">
        <f t="shared" ref="BQ100:BQ104" si="191">_xlfn.CONCAT($C$98," &amp; ",J100," &amp; ",Q100," &amp; ",R100," &amp; ",S100," &amp; ",W100," &amp; ",X100," &amp; ",Y100," &amp; ",AC100," &amp; ",AD100," &amp; ",AE100," &amp; ",AG100," &amp; ",AH100," &amp; ",AI100," &amp; ",AJ100, " \\ \hline")</f>
        <v>8-2 &amp; k=1 &amp; 0.65625 &amp; 0.875 &amp; 0.75 &amp; 0.777777777777778 &amp; 0.777777777777778 &amp; 0.777777777777778 &amp; 0.733333333333333 &amp; 1 &amp; 0.846153846153846 &amp; 11 &amp; 11 &amp; 1 &amp; 1 \\ \hline</v>
      </c>
    </row>
    <row r="101" spans="1:69">
      <c r="A101" t="s">
        <v>307</v>
      </c>
      <c r="C101" s="98"/>
      <c r="J101" t="s">
        <v>680</v>
      </c>
      <c r="L101" s="211" t="s">
        <v>600</v>
      </c>
      <c r="M101" s="77"/>
      <c r="O101" s="81">
        <f>P101-3</f>
        <v>23</v>
      </c>
      <c r="P101" s="81">
        <f>$F$98-6</f>
        <v>26</v>
      </c>
      <c r="Q101" s="129">
        <f t="shared" si="179"/>
        <v>0.71875</v>
      </c>
      <c r="R101" s="129">
        <f t="shared" si="180"/>
        <v>0.88461538461538458</v>
      </c>
      <c r="S101" s="127">
        <f t="shared" si="181"/>
        <v>0.7931034482758621</v>
      </c>
      <c r="U101" s="81">
        <f>V101-2</f>
        <v>7</v>
      </c>
      <c r="V101" s="81">
        <f t="shared" si="182"/>
        <v>9</v>
      </c>
      <c r="W101" s="129">
        <f t="shared" si="183"/>
        <v>0.77777777777777779</v>
      </c>
      <c r="X101" s="129">
        <f t="shared" si="184"/>
        <v>0.77777777777777779</v>
      </c>
      <c r="Y101" s="127">
        <f t="shared" si="185"/>
        <v>0.77777777777777779</v>
      </c>
      <c r="AA101" s="81">
        <f>AB101-0</f>
        <v>24</v>
      </c>
      <c r="AB101" s="81">
        <f>$I$98-6</f>
        <v>24</v>
      </c>
      <c r="AC101" s="129">
        <f t="shared" si="186"/>
        <v>0.8</v>
      </c>
      <c r="AD101" s="129">
        <f t="shared" si="187"/>
        <v>1</v>
      </c>
      <c r="AE101" s="127">
        <f t="shared" si="188"/>
        <v>0.88888888888888895</v>
      </c>
      <c r="AG101">
        <f t="shared" si="189"/>
        <v>3</v>
      </c>
      <c r="AH101">
        <v>3</v>
      </c>
      <c r="AI101" s="127">
        <f t="shared" si="190"/>
        <v>0.27272727272727271</v>
      </c>
      <c r="AJ101" s="127">
        <f t="shared" si="134"/>
        <v>1</v>
      </c>
      <c r="AM101" s="122">
        <v>7</v>
      </c>
      <c r="AN101" s="101">
        <v>2</v>
      </c>
      <c r="AO101">
        <v>302</v>
      </c>
      <c r="AP101">
        <v>17</v>
      </c>
      <c r="AQ101" s="101">
        <v>15</v>
      </c>
      <c r="AR101" s="101">
        <v>10</v>
      </c>
      <c r="AS101">
        <v>2</v>
      </c>
      <c r="AT101">
        <v>2</v>
      </c>
      <c r="AU101">
        <v>0</v>
      </c>
      <c r="AV101" s="119">
        <v>12</v>
      </c>
      <c r="AW101" s="101">
        <f>($F$98-N101)/$F$98</f>
        <v>1</v>
      </c>
      <c r="AY101" s="101">
        <f>($G$98-AN101)/$G$98</f>
        <v>0.77777777777777779</v>
      </c>
      <c r="AZ101" s="101">
        <f>AR101/AQ101</f>
        <v>0.66666666666666663</v>
      </c>
      <c r="BA101" s="101">
        <f>AT101/AS101</f>
        <v>1</v>
      </c>
      <c r="BB101" s="85">
        <f>(AW101+AY101+AZ101+BA101)/4</f>
        <v>0.86111111111111105</v>
      </c>
      <c r="BC101" s="13">
        <f>AP101/$H$98</f>
        <v>1.5454545454545454</v>
      </c>
      <c r="BD101" s="118">
        <f>AV101/AP101</f>
        <v>0.70588235294117652</v>
      </c>
      <c r="BE101" s="13">
        <f>AO101/AP101</f>
        <v>17.764705882352942</v>
      </c>
      <c r="BF101" s="13">
        <f>AT101/$H$98</f>
        <v>0.18181818181818182</v>
      </c>
      <c r="BG101" s="13">
        <f>AR101/$H$98</f>
        <v>0.90909090909090906</v>
      </c>
      <c r="BQ101" t="str">
        <f t="shared" si="191"/>
        <v>8-2 &amp; k=2 &amp; 0.71875 &amp; 0.884615384615385 &amp; 0.793103448275862 &amp; 0.777777777777778 &amp; 0.777777777777778 &amp; 0.777777777777778 &amp; 0.8 &amp; 1 &amp; 0.888888888888889 &amp; 3 &amp; 3 &amp; 0.272727272727273 &amp; 1 \\ \hline</v>
      </c>
    </row>
    <row r="102" spans="1:69">
      <c r="A102" t="s">
        <v>308</v>
      </c>
      <c r="C102" s="98"/>
      <c r="J102" t="s">
        <v>680</v>
      </c>
      <c r="K102" s="107"/>
      <c r="L102" s="211" t="s">
        <v>600</v>
      </c>
      <c r="M102" s="77"/>
      <c r="O102" s="81">
        <f>P102-2</f>
        <v>23</v>
      </c>
      <c r="P102" s="81">
        <f>$F$98-7</f>
        <v>25</v>
      </c>
      <c r="Q102" s="129">
        <f t="shared" si="179"/>
        <v>0.71875</v>
      </c>
      <c r="R102" s="129">
        <f t="shared" si="180"/>
        <v>0.92</v>
      </c>
      <c r="S102" s="127">
        <f t="shared" si="181"/>
        <v>0.80701754385964919</v>
      </c>
      <c r="U102" s="81">
        <f>V102-2</f>
        <v>7</v>
      </c>
      <c r="V102" s="81">
        <f t="shared" si="182"/>
        <v>9</v>
      </c>
      <c r="W102" s="129">
        <f t="shared" si="183"/>
        <v>0.77777777777777779</v>
      </c>
      <c r="X102" s="129">
        <f t="shared" si="184"/>
        <v>0.77777777777777779</v>
      </c>
      <c r="Y102" s="127">
        <f t="shared" si="185"/>
        <v>0.77777777777777779</v>
      </c>
      <c r="AA102" s="81">
        <f>AB102-0</f>
        <v>23</v>
      </c>
      <c r="AB102" s="81">
        <f>$I$98-7</f>
        <v>23</v>
      </c>
      <c r="AC102" s="129">
        <f t="shared" si="186"/>
        <v>0.76666666666666672</v>
      </c>
      <c r="AD102" s="129">
        <f t="shared" si="187"/>
        <v>1</v>
      </c>
      <c r="AE102" s="127">
        <f t="shared" si="188"/>
        <v>0.86792452830188693</v>
      </c>
      <c r="AG102">
        <f t="shared" si="189"/>
        <v>6</v>
      </c>
      <c r="AH102">
        <v>6</v>
      </c>
      <c r="AI102" s="127">
        <f t="shared" si="190"/>
        <v>0.54545454545454541</v>
      </c>
      <c r="AJ102" s="127">
        <f t="shared" si="134"/>
        <v>1</v>
      </c>
      <c r="AM102" s="122">
        <v>7</v>
      </c>
      <c r="AN102" s="101">
        <v>1</v>
      </c>
      <c r="AO102">
        <v>362</v>
      </c>
      <c r="AP102">
        <v>19</v>
      </c>
      <c r="AQ102" s="101">
        <v>15</v>
      </c>
      <c r="AR102" s="101">
        <v>8</v>
      </c>
      <c r="AS102">
        <v>4</v>
      </c>
      <c r="AT102">
        <v>3</v>
      </c>
      <c r="AU102">
        <v>0</v>
      </c>
      <c r="AV102" s="119">
        <v>11</v>
      </c>
      <c r="AW102" s="101">
        <f>($F$98-N102)/$F$98</f>
        <v>1</v>
      </c>
      <c r="AY102" s="101">
        <f>($G$98-AN102)/$G$98</f>
        <v>0.88888888888888884</v>
      </c>
      <c r="AZ102" s="101">
        <f>AR102/AQ102</f>
        <v>0.53333333333333333</v>
      </c>
      <c r="BA102" s="101">
        <f>AT102/AS102</f>
        <v>0.75</v>
      </c>
      <c r="BB102" s="85">
        <f>(AW102+AY102+AZ102+BA102)/4</f>
        <v>0.79305555555555551</v>
      </c>
      <c r="BC102" s="13">
        <f>AP102/$H$98</f>
        <v>1.7272727272727273</v>
      </c>
      <c r="BD102" s="118">
        <f>AV102/AP102</f>
        <v>0.57894736842105265</v>
      </c>
      <c r="BE102" s="13">
        <f>AO102/AP102</f>
        <v>19.05263157894737</v>
      </c>
      <c r="BF102" s="13">
        <f>AT102/$H$98</f>
        <v>0.27272727272727271</v>
      </c>
      <c r="BG102" s="13">
        <f>AR102/$H$98</f>
        <v>0.72727272727272729</v>
      </c>
      <c r="BQ102" t="str">
        <f t="shared" si="191"/>
        <v>8-2 &amp; k=2 &amp; 0.71875 &amp; 0.92 &amp; 0.807017543859649 &amp; 0.777777777777778 &amp; 0.777777777777778 &amp; 0.777777777777778 &amp; 0.766666666666667 &amp; 1 &amp; 0.867924528301887 &amp; 6 &amp; 6 &amp; 0.545454545454545 &amp; 1 \\ \hline</v>
      </c>
    </row>
    <row r="103" spans="1:69">
      <c r="A103" t="s">
        <v>309</v>
      </c>
      <c r="C103" s="98"/>
      <c r="J103" t="s">
        <v>681</v>
      </c>
      <c r="L103" s="211" t="s">
        <v>695</v>
      </c>
      <c r="M103" s="77"/>
      <c r="O103" s="81">
        <f>P103-2</f>
        <v>26</v>
      </c>
      <c r="P103" s="81">
        <f>$F$98-4</f>
        <v>28</v>
      </c>
      <c r="Q103" s="129">
        <f t="shared" si="179"/>
        <v>0.8125</v>
      </c>
      <c r="R103" s="129">
        <f t="shared" si="180"/>
        <v>0.9285714285714286</v>
      </c>
      <c r="S103" s="127">
        <f t="shared" si="181"/>
        <v>0.86666666666666659</v>
      </c>
      <c r="U103" s="81">
        <f>V103-1</f>
        <v>8</v>
      </c>
      <c r="V103" s="81">
        <f t="shared" si="182"/>
        <v>9</v>
      </c>
      <c r="W103" s="129">
        <f t="shared" si="183"/>
        <v>0.88888888888888884</v>
      </c>
      <c r="X103" s="129">
        <f t="shared" si="184"/>
        <v>0.88888888888888884</v>
      </c>
      <c r="Y103" s="127">
        <f t="shared" si="185"/>
        <v>0.88888888888888884</v>
      </c>
      <c r="AA103" s="81">
        <f>AB103-4</f>
        <v>22</v>
      </c>
      <c r="AB103" s="81">
        <f>$I$98-4</f>
        <v>26</v>
      </c>
      <c r="AC103" s="129">
        <f t="shared" si="186"/>
        <v>0.73333333333333328</v>
      </c>
      <c r="AD103" s="129">
        <f t="shared" si="187"/>
        <v>0.84615384615384615</v>
      </c>
      <c r="AE103" s="127">
        <f t="shared" si="188"/>
        <v>0.78571428571428559</v>
      </c>
      <c r="AG103">
        <f t="shared" si="189"/>
        <v>6</v>
      </c>
      <c r="AH103">
        <v>6</v>
      </c>
      <c r="AI103" s="127">
        <f t="shared" si="190"/>
        <v>0.54545454545454541</v>
      </c>
      <c r="AJ103" s="127">
        <f t="shared" si="134"/>
        <v>1</v>
      </c>
      <c r="BC103" s="13"/>
      <c r="BD103" s="118"/>
      <c r="BE103" s="13"/>
      <c r="BF103" s="13"/>
      <c r="BG103" s="13"/>
      <c r="BQ103" t="str">
        <f t="shared" si="191"/>
        <v>8-2 &amp; k=3 &amp; 0.8125 &amp; 0.928571428571429 &amp; 0.866666666666667 &amp; 0.888888888888889 &amp; 0.888888888888889 &amp; 0.888888888888889 &amp; 0.733333333333333 &amp; 0.846153846153846 &amp; 0.785714285714286 &amp; 6 &amp; 6 &amp; 0.545454545454545 &amp; 1 \\ \hline</v>
      </c>
    </row>
    <row r="104" spans="1:69">
      <c r="A104" t="s">
        <v>667</v>
      </c>
      <c r="C104" s="98"/>
      <c r="J104" t="s">
        <v>681</v>
      </c>
      <c r="L104" s="211" t="s">
        <v>695</v>
      </c>
      <c r="M104" s="77"/>
      <c r="O104" s="81">
        <f>P104-3</f>
        <v>21</v>
      </c>
      <c r="P104" s="81">
        <f>$F$98-8</f>
        <v>24</v>
      </c>
      <c r="Q104" s="129">
        <f t="shared" si="179"/>
        <v>0.65625</v>
      </c>
      <c r="R104" s="129">
        <f t="shared" si="180"/>
        <v>0.875</v>
      </c>
      <c r="S104" s="127">
        <f t="shared" si="181"/>
        <v>0.75</v>
      </c>
      <c r="U104" s="81">
        <f>V104-2</f>
        <v>7</v>
      </c>
      <c r="V104" s="81">
        <f t="shared" si="182"/>
        <v>9</v>
      </c>
      <c r="W104" s="129">
        <f t="shared" si="183"/>
        <v>0.77777777777777779</v>
      </c>
      <c r="X104" s="129">
        <f t="shared" si="184"/>
        <v>0.77777777777777779</v>
      </c>
      <c r="Y104" s="127">
        <f t="shared" si="185"/>
        <v>0.77777777777777779</v>
      </c>
      <c r="AA104" s="81">
        <f>AB104-0</f>
        <v>22</v>
      </c>
      <c r="AB104" s="81">
        <f>$I$98-8</f>
        <v>22</v>
      </c>
      <c r="AC104" s="129">
        <f t="shared" si="186"/>
        <v>0.73333333333333328</v>
      </c>
      <c r="AD104" s="129">
        <f t="shared" si="187"/>
        <v>1</v>
      </c>
      <c r="AE104" s="127">
        <f t="shared" si="188"/>
        <v>0.84615384615384603</v>
      </c>
      <c r="AG104">
        <f t="shared" si="189"/>
        <v>2</v>
      </c>
      <c r="AH104">
        <v>2</v>
      </c>
      <c r="AI104" s="127">
        <f t="shared" si="190"/>
        <v>0.18181818181818182</v>
      </c>
      <c r="AJ104" s="127">
        <f t="shared" si="134"/>
        <v>1</v>
      </c>
      <c r="BC104" s="13"/>
      <c r="BD104" s="118"/>
      <c r="BE104" s="13"/>
      <c r="BF104" s="13"/>
      <c r="BG104" s="13"/>
      <c r="BQ104" t="str">
        <f t="shared" si="191"/>
        <v>8-2 &amp; k=3 &amp; 0.65625 &amp; 0.875 &amp; 0.75 &amp; 0.777777777777778 &amp; 0.777777777777778 &amp; 0.777777777777778 &amp; 0.733333333333333 &amp; 1 &amp; 0.846153846153846 &amp; 2 &amp; 2 &amp; 0.181818181818182 &amp; 1 \\ \hline</v>
      </c>
    </row>
    <row r="105" spans="1:69">
      <c r="C105" s="98"/>
      <c r="Q105" s="129"/>
      <c r="R105" s="129"/>
      <c r="S105" s="127"/>
      <c r="W105" s="129"/>
      <c r="X105" s="129"/>
      <c r="Y105" s="127"/>
      <c r="AC105" s="129"/>
      <c r="AD105" s="129"/>
      <c r="AE105" s="127"/>
      <c r="AG105"/>
      <c r="AH105"/>
      <c r="AI105" s="127"/>
      <c r="AJ105" s="127"/>
    </row>
    <row r="106" spans="1:69" s="75" customFormat="1">
      <c r="A106" s="73" t="s">
        <v>347</v>
      </c>
      <c r="B106" s="95">
        <v>45178</v>
      </c>
      <c r="C106" s="99" t="s">
        <v>148</v>
      </c>
      <c r="D106" s="78">
        <f>VLOOKUP($C$106,Overview!$Q$2:$AS$64,23,FALSE)</f>
        <v>0.56186483688761291</v>
      </c>
      <c r="E106" s="78" t="str">
        <f>VLOOKUP($C$106,Overview!$Q$2:$AS$64,24,FALSE)</f>
        <v>low</v>
      </c>
      <c r="F106" s="75">
        <f>VLOOKUP(C106,Overview!$Q$2:$AS$64,13,FALSE)</f>
        <v>33</v>
      </c>
      <c r="G106" s="75">
        <f>VLOOKUP(C106,Overview!$Q$2:$AS$64,16,FALSE)</f>
        <v>8</v>
      </c>
      <c r="H106" s="75">
        <f>VLOOKUP(C106,Overview!$Q$2:$AS$64,18,FALSE)</f>
        <v>8</v>
      </c>
      <c r="I106" s="75">
        <f>VLOOKUP($C$106,Overview!$Q$2:$AS$64,19,FALSE)</f>
        <v>33</v>
      </c>
      <c r="K106" s="294" t="str">
        <f>VLOOKUP($C$106,Overview!$Q$2:$AS$64,5,FALSE)</f>
        <v>5-1, 3-8</v>
      </c>
      <c r="L106" s="293" t="s">
        <v>785</v>
      </c>
      <c r="N106" s="115"/>
      <c r="O106" s="97"/>
      <c r="P106" s="97"/>
      <c r="Q106" s="130"/>
      <c r="R106" s="130"/>
      <c r="S106" s="128"/>
      <c r="T106" s="115"/>
      <c r="U106" s="97"/>
      <c r="V106" s="97"/>
      <c r="W106" s="130"/>
      <c r="X106" s="130"/>
      <c r="Y106" s="128"/>
      <c r="Z106" s="115"/>
      <c r="AA106" s="97"/>
      <c r="AB106" s="97"/>
      <c r="AC106" s="130"/>
      <c r="AD106" s="130"/>
      <c r="AE106" s="128"/>
      <c r="AF106" s="115"/>
      <c r="AI106" s="128"/>
      <c r="AJ106" s="127"/>
      <c r="AK106" s="97"/>
      <c r="AL106" s="115"/>
      <c r="AM106" s="122"/>
      <c r="AN106" s="101"/>
      <c r="AQ106" s="101"/>
      <c r="AR106" s="101"/>
      <c r="AV106" s="119"/>
      <c r="AW106" s="101"/>
      <c r="AX106" s="101"/>
      <c r="AY106" s="101"/>
      <c r="AZ106" s="101"/>
      <c r="BA106" s="101"/>
      <c r="BB106" s="83"/>
      <c r="BD106" s="101"/>
      <c r="BQ106"/>
    </row>
    <row r="107" spans="1:69">
      <c r="A107" t="s">
        <v>305</v>
      </c>
      <c r="C107" s="111" t="s">
        <v>471</v>
      </c>
      <c r="J107" t="s">
        <v>679</v>
      </c>
      <c r="K107" s="296" t="s">
        <v>787</v>
      </c>
      <c r="L107" s="211" t="s">
        <v>149</v>
      </c>
      <c r="M107" s="77"/>
      <c r="O107" s="81">
        <f>P107-1</f>
        <v>32</v>
      </c>
      <c r="P107" s="81">
        <f>$F$106-0</f>
        <v>33</v>
      </c>
      <c r="Q107" s="129">
        <f t="shared" ref="Q107:Q112" si="192">O107/$F$106</f>
        <v>0.96969696969696972</v>
      </c>
      <c r="R107" s="129">
        <f t="shared" ref="R107:R112" si="193">O107/P107</f>
        <v>0.96969696969696972</v>
      </c>
      <c r="S107" s="127">
        <f t="shared" ref="S107:S112" si="194">2*(Q107*R107)/(Q107+R107)</f>
        <v>0.96969696969696972</v>
      </c>
      <c r="U107" s="81">
        <f>V107-1</f>
        <v>7</v>
      </c>
      <c r="V107" s="81">
        <f>$G$106-0</f>
        <v>8</v>
      </c>
      <c r="W107" s="129">
        <f t="shared" ref="W107:W112" si="195">U107/$G$106</f>
        <v>0.875</v>
      </c>
      <c r="X107" s="129">
        <f t="shared" ref="X107:X112" si="196">U107/V107</f>
        <v>0.875</v>
      </c>
      <c r="Y107" s="127">
        <f t="shared" ref="Y107:Y112" si="197">2*(W107*X107)/(W107+X107)</f>
        <v>0.875</v>
      </c>
      <c r="AA107" s="81">
        <f>AB107-5</f>
        <v>28</v>
      </c>
      <c r="AB107" s="81">
        <f>$I$106-0</f>
        <v>33</v>
      </c>
      <c r="AC107" s="129">
        <f t="shared" ref="AC107:AC112" si="198">AA107/$I$106</f>
        <v>0.84848484848484851</v>
      </c>
      <c r="AD107" s="129">
        <f t="shared" ref="AD107:AD112" si="199">AA107/AB107</f>
        <v>0.84848484848484851</v>
      </c>
      <c r="AE107" s="127">
        <f t="shared" ref="AE107:AE112" si="200">2*(AC107*AD107)/(AC107+AD107)</f>
        <v>0.84848484848484862</v>
      </c>
      <c r="AG107">
        <f>AH107-1</f>
        <v>11</v>
      </c>
      <c r="AH107">
        <v>12</v>
      </c>
      <c r="AI107" s="127">
        <f t="shared" ref="AI107:AI112" si="201">AG107/$H$106</f>
        <v>1.375</v>
      </c>
      <c r="AJ107" s="127">
        <f t="shared" si="134"/>
        <v>0.91666666666666663</v>
      </c>
      <c r="AM107" s="122">
        <v>1</v>
      </c>
      <c r="AN107" s="101">
        <v>1</v>
      </c>
      <c r="AO107">
        <v>270</v>
      </c>
      <c r="AP107">
        <v>19</v>
      </c>
      <c r="AQ107" s="101">
        <v>9</v>
      </c>
      <c r="AR107" s="101">
        <v>9</v>
      </c>
      <c r="AS107">
        <v>10</v>
      </c>
      <c r="AT107">
        <v>8</v>
      </c>
      <c r="AU107">
        <v>0</v>
      </c>
      <c r="AV107" s="119">
        <v>1</v>
      </c>
      <c r="AW107" s="101">
        <f>($F$106-N107)/$F$106</f>
        <v>1</v>
      </c>
      <c r="AY107" s="101">
        <f>($G$106-AN107)/$G$106</f>
        <v>0.875</v>
      </c>
      <c r="AZ107" s="101">
        <f>AR107/AQ107</f>
        <v>1</v>
      </c>
      <c r="BA107" s="101">
        <f>AT107/AS107</f>
        <v>0.8</v>
      </c>
      <c r="BB107" s="85">
        <f>(AW107+AY107+AZ107+BA107)/4</f>
        <v>0.91874999999999996</v>
      </c>
      <c r="BC107" s="13">
        <f>AP107/$H$106</f>
        <v>2.375</v>
      </c>
      <c r="BD107" s="118">
        <f>AV107/AP107</f>
        <v>5.2631578947368418E-2</v>
      </c>
      <c r="BE107" s="13">
        <f>AO107/AP107</f>
        <v>14.210526315789474</v>
      </c>
      <c r="BF107" s="13">
        <f>AT107/$H$106</f>
        <v>1</v>
      </c>
      <c r="BG107" s="13">
        <f>AR107/$H$106</f>
        <v>1.125</v>
      </c>
      <c r="BQ107" t="str">
        <f>_xlfn.CONCAT($C$106," &amp; ",J107," &amp; ",Q107," &amp; ",R107," &amp; ",S107," &amp; ",W107," &amp; ",X107," &amp; ",Y107," &amp; ",AC107," &amp; ",AD107," &amp; ",AE107," &amp; ",AG107," &amp; ",AH107," &amp; ",AI107," &amp; ",AJ107, " \\ \hline")</f>
        <v>3-7 &amp; k=1 &amp; 0.96969696969697 &amp; 0.96969696969697 &amp; 0.96969696969697 &amp; 0.875 &amp; 0.875 &amp; 0.875 &amp; 0.848484848484849 &amp; 0.848484848484849 &amp; 0.848484848484849 &amp; 11 &amp; 12 &amp; 1.375 &amp; 0.916666666666667 \\ \hline</v>
      </c>
    </row>
    <row r="108" spans="1:69">
      <c r="A108" t="s">
        <v>306</v>
      </c>
      <c r="C108" s="98"/>
      <c r="J108" t="s">
        <v>679</v>
      </c>
      <c r="L108" s="211" t="s">
        <v>149</v>
      </c>
      <c r="M108" s="77"/>
      <c r="O108" s="81">
        <f>P108-1</f>
        <v>32</v>
      </c>
      <c r="P108" s="81">
        <f>$F$106-0</f>
        <v>33</v>
      </c>
      <c r="Q108" s="129">
        <f t="shared" si="192"/>
        <v>0.96969696969696972</v>
      </c>
      <c r="R108" s="129">
        <f t="shared" si="193"/>
        <v>0.96969696969696972</v>
      </c>
      <c r="S108" s="127">
        <f t="shared" si="194"/>
        <v>0.96969696969696972</v>
      </c>
      <c r="U108" s="81">
        <f>V108-1</f>
        <v>7</v>
      </c>
      <c r="V108" s="81">
        <f>$G$106-0</f>
        <v>8</v>
      </c>
      <c r="W108" s="129">
        <f t="shared" si="195"/>
        <v>0.875</v>
      </c>
      <c r="X108" s="129">
        <f t="shared" si="196"/>
        <v>0.875</v>
      </c>
      <c r="Y108" s="127">
        <f t="shared" si="197"/>
        <v>0.875</v>
      </c>
      <c r="AA108" s="81">
        <f>AB108-5</f>
        <v>28</v>
      </c>
      <c r="AB108" s="81">
        <f>$I$106-0</f>
        <v>33</v>
      </c>
      <c r="AC108" s="129">
        <f t="shared" si="198"/>
        <v>0.84848484848484851</v>
      </c>
      <c r="AD108" s="129">
        <f t="shared" si="199"/>
        <v>0.84848484848484851</v>
      </c>
      <c r="AE108" s="127">
        <f t="shared" si="200"/>
        <v>0.84848484848484862</v>
      </c>
      <c r="AG108">
        <f>AH108-1</f>
        <v>12</v>
      </c>
      <c r="AH108">
        <v>13</v>
      </c>
      <c r="AI108" s="127">
        <f t="shared" si="201"/>
        <v>1.5</v>
      </c>
      <c r="AJ108" s="127">
        <f t="shared" si="134"/>
        <v>0.92307692307692313</v>
      </c>
      <c r="AM108" s="122">
        <v>1</v>
      </c>
      <c r="AN108" s="101">
        <v>1</v>
      </c>
      <c r="AO108">
        <v>318</v>
      </c>
      <c r="AP108">
        <v>20</v>
      </c>
      <c r="AQ108" s="101">
        <v>8</v>
      </c>
      <c r="AR108" s="101">
        <v>8</v>
      </c>
      <c r="AS108">
        <v>12</v>
      </c>
      <c r="AT108">
        <v>12</v>
      </c>
      <c r="AU108">
        <v>0</v>
      </c>
      <c r="AV108" s="119">
        <v>6</v>
      </c>
      <c r="AW108" s="101">
        <f>($F$106-N108)/$F$106</f>
        <v>1</v>
      </c>
      <c r="AY108" s="101">
        <f>($G$106-AN108)/$G$106</f>
        <v>0.875</v>
      </c>
      <c r="AZ108" s="101">
        <f>AR108/AQ108</f>
        <v>1</v>
      </c>
      <c r="BA108" s="101">
        <f>AT108/AS108</f>
        <v>1</v>
      </c>
      <c r="BB108" s="85">
        <f>(AW108+AY108+AZ108+BA108)/4</f>
        <v>0.96875</v>
      </c>
      <c r="BC108" s="13">
        <f>AP108/$H$106</f>
        <v>2.5</v>
      </c>
      <c r="BD108" s="118">
        <f>AV108/AP108</f>
        <v>0.3</v>
      </c>
      <c r="BE108" s="13">
        <f>AO108/AP108</f>
        <v>15.9</v>
      </c>
      <c r="BF108" s="13">
        <f>AT108/$H$106</f>
        <v>1.5</v>
      </c>
      <c r="BG108" s="13">
        <f>AR108/$H$106</f>
        <v>1</v>
      </c>
      <c r="BQ108" t="str">
        <f t="shared" ref="BQ108:BQ112" si="202">_xlfn.CONCAT($C$106," &amp; ",J108," &amp; ",Q108," &amp; ",R108," &amp; ",S108," &amp; ",W108," &amp; ",X108," &amp; ",Y108," &amp; ",AC108," &amp; ",AD108," &amp; ",AE108," &amp; ",AG108," &amp; ",AH108," &amp; ",AI108," &amp; ",AJ108, " \\ \hline")</f>
        <v>3-7 &amp; k=1 &amp; 0.96969696969697 &amp; 0.96969696969697 &amp; 0.96969696969697 &amp; 0.875 &amp; 0.875 &amp; 0.875 &amp; 0.848484848484849 &amp; 0.848484848484849 &amp; 0.848484848484849 &amp; 12 &amp; 13 &amp; 1.5 &amp; 0.923076923076923 \\ \hline</v>
      </c>
    </row>
    <row r="109" spans="1:69">
      <c r="A109" t="s">
        <v>307</v>
      </c>
      <c r="C109" s="98"/>
      <c r="J109" t="s">
        <v>680</v>
      </c>
      <c r="L109" s="211" t="s">
        <v>683</v>
      </c>
      <c r="M109" s="77"/>
      <c r="O109" s="81">
        <f>P109-0</f>
        <v>32</v>
      </c>
      <c r="P109" s="81">
        <f>$F$106-1</f>
        <v>32</v>
      </c>
      <c r="Q109" s="129">
        <f t="shared" si="192"/>
        <v>0.96969696969696972</v>
      </c>
      <c r="R109" s="129">
        <f t="shared" si="193"/>
        <v>1</v>
      </c>
      <c r="S109" s="127">
        <f t="shared" si="194"/>
        <v>0.98461538461538467</v>
      </c>
      <c r="U109" s="81">
        <f>V109-0</f>
        <v>7</v>
      </c>
      <c r="V109" s="81">
        <f>$G$106-1</f>
        <v>7</v>
      </c>
      <c r="W109" s="129">
        <f t="shared" si="195"/>
        <v>0.875</v>
      </c>
      <c r="X109" s="129">
        <f t="shared" si="196"/>
        <v>1</v>
      </c>
      <c r="Y109" s="127">
        <f t="shared" si="197"/>
        <v>0.93333333333333335</v>
      </c>
      <c r="AA109" s="81">
        <f>AB109-4</f>
        <v>28</v>
      </c>
      <c r="AB109" s="81">
        <f>$I$106-1</f>
        <v>32</v>
      </c>
      <c r="AC109" s="129">
        <f t="shared" si="198"/>
        <v>0.84848484848484851</v>
      </c>
      <c r="AD109" s="129">
        <f t="shared" si="199"/>
        <v>0.875</v>
      </c>
      <c r="AE109" s="127">
        <f t="shared" si="200"/>
        <v>0.86153846153846148</v>
      </c>
      <c r="AG109">
        <f>AH109-2</f>
        <v>13</v>
      </c>
      <c r="AH109">
        <v>15</v>
      </c>
      <c r="AI109" s="127">
        <f t="shared" si="201"/>
        <v>1.625</v>
      </c>
      <c r="AJ109" s="127">
        <f t="shared" si="134"/>
        <v>0.8666666666666667</v>
      </c>
      <c r="AM109" s="122">
        <v>1</v>
      </c>
      <c r="AN109" s="101">
        <v>1</v>
      </c>
      <c r="AO109">
        <v>344</v>
      </c>
      <c r="AP109">
        <v>23</v>
      </c>
      <c r="AQ109" s="101">
        <v>8</v>
      </c>
      <c r="AR109" s="101">
        <v>8</v>
      </c>
      <c r="AS109">
        <v>15</v>
      </c>
      <c r="AT109">
        <v>13</v>
      </c>
      <c r="AU109">
        <v>0</v>
      </c>
      <c r="AV109" s="119">
        <v>6</v>
      </c>
      <c r="AW109" s="101">
        <f>($F$106-N109)/$F$106</f>
        <v>1</v>
      </c>
      <c r="AY109" s="101">
        <f>($G$106-AN109)/$G$106</f>
        <v>0.875</v>
      </c>
      <c r="AZ109" s="101">
        <f>AR109/AQ109</f>
        <v>1</v>
      </c>
      <c r="BA109" s="101">
        <f>AT109/AS109</f>
        <v>0.8666666666666667</v>
      </c>
      <c r="BB109" s="85">
        <f>(AW109+AY109+AZ109+BA109)/4</f>
        <v>0.93541666666666667</v>
      </c>
      <c r="BC109" s="13">
        <f>AP109/$H$106</f>
        <v>2.875</v>
      </c>
      <c r="BD109" s="118">
        <f>AV109/AP109</f>
        <v>0.2608695652173913</v>
      </c>
      <c r="BE109" s="13">
        <f>AO109/AP109</f>
        <v>14.956521739130435</v>
      </c>
      <c r="BF109" s="13">
        <f>AT109/$H$106</f>
        <v>1.625</v>
      </c>
      <c r="BG109" s="13">
        <f>AR109/$H$106</f>
        <v>1</v>
      </c>
      <c r="BQ109" t="str">
        <f t="shared" si="202"/>
        <v>3-7 &amp; k=2 &amp; 0.96969696969697 &amp; 1 &amp; 0.984615384615385 &amp; 0.875 &amp; 1 &amp; 0.933333333333333 &amp; 0.848484848484849 &amp; 0.875 &amp; 0.861538461538461 &amp; 13 &amp; 15 &amp; 1.625 &amp; 0.866666666666667 \\ \hline</v>
      </c>
    </row>
    <row r="110" spans="1:69">
      <c r="A110" t="s">
        <v>308</v>
      </c>
      <c r="C110" s="98"/>
      <c r="J110" t="s">
        <v>680</v>
      </c>
      <c r="K110" s="107"/>
      <c r="L110" s="211" t="s">
        <v>683</v>
      </c>
      <c r="M110" s="77"/>
      <c r="O110" s="81">
        <f>P110-0</f>
        <v>32</v>
      </c>
      <c r="P110" s="81">
        <f>$F$106-1</f>
        <v>32</v>
      </c>
      <c r="Q110" s="129">
        <f t="shared" si="192"/>
        <v>0.96969696969696972</v>
      </c>
      <c r="R110" s="129">
        <f t="shared" si="193"/>
        <v>1</v>
      </c>
      <c r="S110" s="127">
        <f t="shared" si="194"/>
        <v>0.98461538461538467</v>
      </c>
      <c r="U110" s="81">
        <f>V110-0</f>
        <v>7</v>
      </c>
      <c r="V110" s="81">
        <f>$G$106-1</f>
        <v>7</v>
      </c>
      <c r="W110" s="129">
        <f t="shared" si="195"/>
        <v>0.875</v>
      </c>
      <c r="X110" s="129">
        <f t="shared" si="196"/>
        <v>1</v>
      </c>
      <c r="Y110" s="127">
        <f t="shared" si="197"/>
        <v>0.93333333333333335</v>
      </c>
      <c r="AA110" s="81">
        <f>AB110-4</f>
        <v>28</v>
      </c>
      <c r="AB110" s="81">
        <f>$I$106-1</f>
        <v>32</v>
      </c>
      <c r="AC110" s="129">
        <f t="shared" si="198"/>
        <v>0.84848484848484851</v>
      </c>
      <c r="AD110" s="129">
        <f t="shared" si="199"/>
        <v>0.875</v>
      </c>
      <c r="AE110" s="127">
        <f t="shared" si="200"/>
        <v>0.86153846153846148</v>
      </c>
      <c r="AG110">
        <f>AH110-0</f>
        <v>7</v>
      </c>
      <c r="AH110">
        <v>7</v>
      </c>
      <c r="AI110" s="127">
        <f t="shared" si="201"/>
        <v>0.875</v>
      </c>
      <c r="AJ110" s="127">
        <f t="shared" si="134"/>
        <v>1</v>
      </c>
      <c r="AM110" s="122">
        <v>1</v>
      </c>
      <c r="AN110" s="101">
        <v>1</v>
      </c>
      <c r="AO110">
        <v>384</v>
      </c>
      <c r="AP110">
        <v>28</v>
      </c>
      <c r="AQ110" s="101">
        <v>8</v>
      </c>
      <c r="AR110" s="101">
        <v>8</v>
      </c>
      <c r="AS110">
        <v>20</v>
      </c>
      <c r="AT110">
        <v>20</v>
      </c>
      <c r="AU110">
        <v>0</v>
      </c>
      <c r="AV110" s="119">
        <v>4</v>
      </c>
      <c r="AW110" s="101">
        <f>($F$106-N110)/$F$106</f>
        <v>1</v>
      </c>
      <c r="AY110" s="101">
        <f>($G$106-AN110)/$G$106</f>
        <v>0.875</v>
      </c>
      <c r="AZ110" s="101">
        <f>AR110/AQ110</f>
        <v>1</v>
      </c>
      <c r="BA110" s="101">
        <f>AT110/AS110</f>
        <v>1</v>
      </c>
      <c r="BB110" s="85">
        <f>(AW110+AY110+AZ110+BA110)/4</f>
        <v>0.96875</v>
      </c>
      <c r="BC110" s="13">
        <f>AP110/$H$106</f>
        <v>3.5</v>
      </c>
      <c r="BD110" s="118">
        <f>AV110/AP110</f>
        <v>0.14285714285714285</v>
      </c>
      <c r="BE110" s="13">
        <f>AO110/AP110</f>
        <v>13.714285714285714</v>
      </c>
      <c r="BF110" s="13">
        <f>AT110/$H$106</f>
        <v>2.5</v>
      </c>
      <c r="BG110" s="13">
        <f>AR110/$H$106</f>
        <v>1</v>
      </c>
      <c r="BQ110" t="str">
        <f t="shared" si="202"/>
        <v>3-7 &amp; k=2 &amp; 0.96969696969697 &amp; 1 &amp; 0.984615384615385 &amp; 0.875 &amp; 1 &amp; 0.933333333333333 &amp; 0.848484848484849 &amp; 0.875 &amp; 0.861538461538461 &amp; 7 &amp; 7 &amp; 0.875 &amp; 1 \\ \hline</v>
      </c>
    </row>
    <row r="111" spans="1:69">
      <c r="A111" t="s">
        <v>309</v>
      </c>
      <c r="C111" s="98"/>
      <c r="J111" t="s">
        <v>681</v>
      </c>
      <c r="L111" s="211" t="s">
        <v>684</v>
      </c>
      <c r="M111" s="77"/>
      <c r="O111" s="81">
        <f>P111-0</f>
        <v>32</v>
      </c>
      <c r="P111" s="81">
        <f>$F$106-1</f>
        <v>32</v>
      </c>
      <c r="Q111" s="129">
        <f t="shared" si="192"/>
        <v>0.96969696969696972</v>
      </c>
      <c r="R111" s="129">
        <f t="shared" si="193"/>
        <v>1</v>
      </c>
      <c r="S111" s="127">
        <f t="shared" si="194"/>
        <v>0.98461538461538467</v>
      </c>
      <c r="U111" s="81">
        <f>V111-0</f>
        <v>7</v>
      </c>
      <c r="V111" s="81">
        <f>$G$106-1</f>
        <v>7</v>
      </c>
      <c r="W111" s="129">
        <f t="shared" si="195"/>
        <v>0.875</v>
      </c>
      <c r="X111" s="129">
        <f t="shared" si="196"/>
        <v>1</v>
      </c>
      <c r="Y111" s="127">
        <f t="shared" si="197"/>
        <v>0.93333333333333335</v>
      </c>
      <c r="AA111" s="81">
        <f>AB111-4</f>
        <v>28</v>
      </c>
      <c r="AB111" s="81">
        <f>$I$106-1</f>
        <v>32</v>
      </c>
      <c r="AC111" s="129">
        <f t="shared" si="198"/>
        <v>0.84848484848484851</v>
      </c>
      <c r="AD111" s="129">
        <f t="shared" si="199"/>
        <v>0.875</v>
      </c>
      <c r="AE111" s="127">
        <f t="shared" si="200"/>
        <v>0.86153846153846148</v>
      </c>
      <c r="AG111">
        <f>AH111-2</f>
        <v>9</v>
      </c>
      <c r="AH111">
        <v>11</v>
      </c>
      <c r="AI111" s="127">
        <f t="shared" si="201"/>
        <v>1.125</v>
      </c>
      <c r="AJ111" s="127">
        <f t="shared" si="134"/>
        <v>0.81818181818181823</v>
      </c>
      <c r="BC111" s="13"/>
      <c r="BD111" s="118"/>
      <c r="BE111" s="13"/>
      <c r="BF111" s="13"/>
      <c r="BG111" s="13"/>
      <c r="BQ111" t="str">
        <f t="shared" si="202"/>
        <v>3-7 &amp; k=3 &amp; 0.96969696969697 &amp; 1 &amp; 0.984615384615385 &amp; 0.875 &amp; 1 &amp; 0.933333333333333 &amp; 0.848484848484849 &amp; 0.875 &amp; 0.861538461538461 &amp; 9 &amp; 11 &amp; 1.125 &amp; 0.818181818181818 \\ \hline</v>
      </c>
    </row>
    <row r="112" spans="1:69">
      <c r="A112" t="s">
        <v>667</v>
      </c>
      <c r="C112" s="98"/>
      <c r="J112" t="s">
        <v>681</v>
      </c>
      <c r="L112" s="211" t="s">
        <v>684</v>
      </c>
      <c r="M112" s="77"/>
      <c r="O112" s="81">
        <f>P112-1</f>
        <v>32</v>
      </c>
      <c r="P112" s="81">
        <f>$F$106-0</f>
        <v>33</v>
      </c>
      <c r="Q112" s="129">
        <f t="shared" si="192"/>
        <v>0.96969696969696972</v>
      </c>
      <c r="R112" s="129">
        <f t="shared" si="193"/>
        <v>0.96969696969696972</v>
      </c>
      <c r="S112" s="127">
        <f t="shared" si="194"/>
        <v>0.96969696969696972</v>
      </c>
      <c r="U112" s="81">
        <f>V112-1</f>
        <v>7</v>
      </c>
      <c r="V112" s="81">
        <f>$G$106-0</f>
        <v>8</v>
      </c>
      <c r="W112" s="129">
        <f t="shared" si="195"/>
        <v>0.875</v>
      </c>
      <c r="X112" s="129">
        <f t="shared" si="196"/>
        <v>0.875</v>
      </c>
      <c r="Y112" s="127">
        <f t="shared" si="197"/>
        <v>0.875</v>
      </c>
      <c r="AA112" s="81">
        <f>AB112-10</f>
        <v>23</v>
      </c>
      <c r="AB112" s="81">
        <f>$I$106-0</f>
        <v>33</v>
      </c>
      <c r="AC112" s="129">
        <f t="shared" si="198"/>
        <v>0.69696969696969702</v>
      </c>
      <c r="AD112" s="129">
        <f t="shared" si="199"/>
        <v>0.69696969696969702</v>
      </c>
      <c r="AE112" s="127">
        <f t="shared" si="200"/>
        <v>0.69696969696969702</v>
      </c>
      <c r="AG112">
        <f>AH112-1</f>
        <v>6</v>
      </c>
      <c r="AH112">
        <v>7</v>
      </c>
      <c r="AI112" s="127">
        <f t="shared" si="201"/>
        <v>0.75</v>
      </c>
      <c r="AJ112" s="127">
        <f t="shared" si="134"/>
        <v>0.8571428571428571</v>
      </c>
      <c r="BC112" s="13"/>
      <c r="BD112" s="118"/>
      <c r="BE112" s="13"/>
      <c r="BF112" s="13"/>
      <c r="BG112" s="13"/>
      <c r="BQ112" t="str">
        <f t="shared" si="202"/>
        <v>3-7 &amp; k=3 &amp; 0.96969696969697 &amp; 0.96969696969697 &amp; 0.96969696969697 &amp; 0.875 &amp; 0.875 &amp; 0.875 &amp; 0.696969696969697 &amp; 0.696969696969697 &amp; 0.696969696969697 &amp; 6 &amp; 7 &amp; 0.75 &amp; 0.857142857142857 \\ \hline</v>
      </c>
    </row>
    <row r="113" spans="1:69">
      <c r="C113" s="98"/>
      <c r="Q113" s="129"/>
      <c r="R113" s="129"/>
      <c r="S113" s="127"/>
      <c r="W113" s="129"/>
      <c r="X113" s="129"/>
      <c r="Y113" s="127"/>
      <c r="AC113" s="129"/>
      <c r="AD113" s="129"/>
      <c r="AE113" s="127"/>
      <c r="AG113"/>
      <c r="AH113"/>
      <c r="AI113" s="127"/>
      <c r="AJ113" s="127"/>
    </row>
    <row r="114" spans="1:69" s="75" customFormat="1">
      <c r="A114" s="73" t="s">
        <v>400</v>
      </c>
      <c r="B114" s="94">
        <v>45179</v>
      </c>
      <c r="C114" s="99" t="s">
        <v>149</v>
      </c>
      <c r="D114" s="78">
        <f>VLOOKUP($C$114,Overview!$Q$2:$AS$64,23,FALSE)</f>
        <v>0.58694356495428268</v>
      </c>
      <c r="E114" s="78" t="str">
        <f>VLOOKUP($C$114,Overview!$Q$2:$AS$64,24,FALSE)</f>
        <v>low</v>
      </c>
      <c r="F114" s="75">
        <f>VLOOKUP(C114,Overview!$Q$2:$AS$64,13,FALSE)</f>
        <v>33</v>
      </c>
      <c r="G114" s="75">
        <f>VLOOKUP(C114,Overview!$Q$2:$AS$64,16,FALSE)</f>
        <v>8</v>
      </c>
      <c r="H114" s="75">
        <f>VLOOKUP(C114,Overview!$Q$2:$AS$64,18,FALSE)</f>
        <v>12</v>
      </c>
      <c r="I114" s="75">
        <f>VLOOKUP($C$114,Overview!$Q$2:$AS$64,19,FALSE)</f>
        <v>28</v>
      </c>
      <c r="K114" s="75" t="str">
        <f>VLOOKUP($C$114,Overview!$Q$2:$AS$64,5,FALSE)</f>
        <v>6-2, 5-2</v>
      </c>
      <c r="L114" s="96"/>
      <c r="N114" s="115"/>
      <c r="O114" s="97"/>
      <c r="P114" s="97"/>
      <c r="Q114" s="130"/>
      <c r="R114" s="130"/>
      <c r="S114" s="128"/>
      <c r="T114" s="115"/>
      <c r="U114" s="97"/>
      <c r="V114" s="97"/>
      <c r="W114" s="130"/>
      <c r="X114" s="130"/>
      <c r="Y114" s="128"/>
      <c r="Z114" s="115"/>
      <c r="AA114" s="97"/>
      <c r="AB114" s="97"/>
      <c r="AC114" s="130"/>
      <c r="AD114" s="130"/>
      <c r="AE114" s="128"/>
      <c r="AF114" s="115"/>
      <c r="AI114" s="128"/>
      <c r="AJ114" s="127"/>
      <c r="AK114" s="97"/>
      <c r="AL114" s="115"/>
      <c r="AM114" s="122"/>
      <c r="AN114" s="101"/>
      <c r="AQ114" s="101"/>
      <c r="AR114" s="101"/>
      <c r="AV114" s="119"/>
      <c r="AW114" s="101"/>
      <c r="AX114" s="101"/>
      <c r="AY114" s="101"/>
      <c r="AZ114" s="101"/>
      <c r="BA114" s="101"/>
      <c r="BB114" s="83"/>
      <c r="BD114" s="101"/>
      <c r="BQ114"/>
    </row>
    <row r="115" spans="1:69">
      <c r="A115" t="s">
        <v>305</v>
      </c>
      <c r="C115" s="98"/>
      <c r="J115" t="s">
        <v>679</v>
      </c>
      <c r="K115" s="296" t="s">
        <v>787</v>
      </c>
      <c r="L115" s="211" t="s">
        <v>152</v>
      </c>
      <c r="M115" s="77"/>
      <c r="O115" s="81">
        <f>P115-0</f>
        <v>32</v>
      </c>
      <c r="P115" s="81">
        <f>$F$114-1</f>
        <v>32</v>
      </c>
      <c r="Q115" s="129">
        <f t="shared" ref="Q115:Q120" si="203">O115/$F$114</f>
        <v>0.96969696969696972</v>
      </c>
      <c r="R115" s="129">
        <f t="shared" ref="R115:R120" si="204">O115/P115</f>
        <v>1</v>
      </c>
      <c r="S115" s="127">
        <f t="shared" ref="S115:S120" si="205">2*(Q115*R115)/(Q115+R115)</f>
        <v>0.98461538461538467</v>
      </c>
      <c r="U115" s="81">
        <f t="shared" ref="U115:U120" si="206">V115-0</f>
        <v>8</v>
      </c>
      <c r="V115" s="81">
        <f t="shared" ref="V115:V120" si="207">$G$114-0</f>
        <v>8</v>
      </c>
      <c r="W115" s="129">
        <f t="shared" ref="W115:W120" si="208">U115/$G$114</f>
        <v>1</v>
      </c>
      <c r="X115" s="129">
        <f t="shared" ref="X115:X120" si="209">U115/V115</f>
        <v>1</v>
      </c>
      <c r="Y115" s="127">
        <f t="shared" ref="Y115:Y120" si="210">2*(W115*X115)/(W115+X115)</f>
        <v>1</v>
      </c>
      <c r="AA115" s="81">
        <f>AB115-4</f>
        <v>23</v>
      </c>
      <c r="AB115" s="81">
        <f>$I$114-1</f>
        <v>27</v>
      </c>
      <c r="AC115" s="129">
        <f t="shared" ref="AC115:AC120" si="211">AA115/$I$114</f>
        <v>0.8214285714285714</v>
      </c>
      <c r="AD115" s="129">
        <f t="shared" ref="AD115:AD120" si="212">AA115/AB115</f>
        <v>0.85185185185185186</v>
      </c>
      <c r="AE115" s="127">
        <f t="shared" ref="AE115:AE120" si="213">2*(AC115*AD115)/(AC115+AD115)</f>
        <v>0.83636363636363642</v>
      </c>
      <c r="AG115">
        <f t="shared" ref="AG115:AG120" si="214">AH115-0</f>
        <v>14</v>
      </c>
      <c r="AH115">
        <v>14</v>
      </c>
      <c r="AI115" s="127">
        <f t="shared" ref="AI115:AI120" si="215">AG115/$H$114</f>
        <v>1.1666666666666667</v>
      </c>
      <c r="AJ115" s="127">
        <f t="shared" si="134"/>
        <v>1</v>
      </c>
      <c r="AM115" s="122">
        <v>1</v>
      </c>
      <c r="AN115" s="101">
        <v>1</v>
      </c>
      <c r="AO115">
        <v>165</v>
      </c>
      <c r="AP115">
        <v>11</v>
      </c>
      <c r="AQ115" s="101">
        <v>8</v>
      </c>
      <c r="AR115" s="101">
        <v>6</v>
      </c>
      <c r="AS115">
        <v>1</v>
      </c>
      <c r="AT115">
        <v>1</v>
      </c>
      <c r="AU115">
        <v>2</v>
      </c>
      <c r="AV115" s="119">
        <v>3</v>
      </c>
      <c r="AW115" s="101">
        <f>($F$114-N115)/$F$114</f>
        <v>1</v>
      </c>
      <c r="AY115" s="101">
        <f>($G$114-AN115)/$G$114</f>
        <v>0.875</v>
      </c>
      <c r="AZ115" s="101">
        <f>AR115/AQ115</f>
        <v>0.75</v>
      </c>
      <c r="BA115" s="101">
        <f>AT115/AS115</f>
        <v>1</v>
      </c>
      <c r="BB115" s="85">
        <f>(AW115+AY115+AZ115+BA115)/4</f>
        <v>0.90625</v>
      </c>
      <c r="BC115" s="13">
        <f>AP115/$H$114</f>
        <v>0.91666666666666663</v>
      </c>
      <c r="BD115" s="118">
        <f>AV115/AP115</f>
        <v>0.27272727272727271</v>
      </c>
      <c r="BE115" s="13">
        <f>AO115/AP115</f>
        <v>15</v>
      </c>
      <c r="BF115" s="13">
        <f>AT115/$H$114</f>
        <v>8.3333333333333329E-2</v>
      </c>
      <c r="BG115" s="13">
        <f>AR115/$H$114</f>
        <v>0.5</v>
      </c>
      <c r="BQ115" t="str">
        <f>_xlfn.CONCAT($C$114," &amp; ",J115," &amp; ",Q115," &amp; ",R115," &amp; ",S115," &amp; ",W115," &amp; ",X115," &amp; ",Y115," &amp; ",AC115," &amp; ",AD115," &amp; ",AE115," &amp; ",AG115," &amp; ",AH115," &amp; ",AI115," &amp; ",AJ115, " \\ \hline")</f>
        <v>3-8 &amp; k=1 &amp; 0.96969696969697 &amp; 1 &amp; 0.984615384615385 &amp; 1 &amp; 1 &amp; 1 &amp; 0.821428571428571 &amp; 0.851851851851852 &amp; 0.836363636363636 &amp; 14 &amp; 14 &amp; 1.16666666666667 &amp; 1 \\ \hline</v>
      </c>
    </row>
    <row r="116" spans="1:69">
      <c r="A116" t="s">
        <v>306</v>
      </c>
      <c r="C116" s="98"/>
      <c r="J116" t="s">
        <v>679</v>
      </c>
      <c r="L116" s="211" t="s">
        <v>152</v>
      </c>
      <c r="M116" s="77"/>
      <c r="O116" s="81">
        <f>P116-0</f>
        <v>27</v>
      </c>
      <c r="P116" s="81">
        <f>$F$114-6</f>
        <v>27</v>
      </c>
      <c r="Q116" s="129">
        <f t="shared" si="203"/>
        <v>0.81818181818181823</v>
      </c>
      <c r="R116" s="129">
        <f t="shared" si="204"/>
        <v>1</v>
      </c>
      <c r="S116" s="127">
        <f t="shared" si="205"/>
        <v>0.9</v>
      </c>
      <c r="U116" s="81">
        <f t="shared" si="206"/>
        <v>8</v>
      </c>
      <c r="V116" s="81">
        <f t="shared" si="207"/>
        <v>8</v>
      </c>
      <c r="W116" s="129">
        <f t="shared" si="208"/>
        <v>1</v>
      </c>
      <c r="X116" s="129">
        <f t="shared" si="209"/>
        <v>1</v>
      </c>
      <c r="Y116" s="127">
        <f t="shared" si="210"/>
        <v>1</v>
      </c>
      <c r="AA116" s="81">
        <f>AB116-2</f>
        <v>20</v>
      </c>
      <c r="AB116" s="81">
        <f>$I$114-6</f>
        <v>22</v>
      </c>
      <c r="AC116" s="129">
        <f t="shared" si="211"/>
        <v>0.7142857142857143</v>
      </c>
      <c r="AD116" s="129">
        <f t="shared" si="212"/>
        <v>0.90909090909090906</v>
      </c>
      <c r="AE116" s="127">
        <f t="shared" si="213"/>
        <v>0.8</v>
      </c>
      <c r="AG116">
        <f t="shared" si="214"/>
        <v>11</v>
      </c>
      <c r="AH116">
        <v>11</v>
      </c>
      <c r="AI116" s="127">
        <f t="shared" si="215"/>
        <v>0.91666666666666663</v>
      </c>
      <c r="AJ116" s="127">
        <f t="shared" si="134"/>
        <v>1</v>
      </c>
      <c r="AM116" s="122">
        <v>1</v>
      </c>
      <c r="AN116" s="101">
        <v>1</v>
      </c>
      <c r="AO116">
        <v>266</v>
      </c>
      <c r="AP116" s="107">
        <v>15</v>
      </c>
      <c r="AQ116" s="101">
        <v>11</v>
      </c>
      <c r="AR116" s="101">
        <v>8</v>
      </c>
      <c r="AS116">
        <v>4</v>
      </c>
      <c r="AT116">
        <v>4</v>
      </c>
      <c r="AU116">
        <v>0</v>
      </c>
      <c r="AV116" s="119">
        <v>7</v>
      </c>
      <c r="AW116" s="101">
        <f>($F$114-N116)/$F$114</f>
        <v>1</v>
      </c>
      <c r="AY116" s="101">
        <f>($G$114-AN116)/$G$114</f>
        <v>0.875</v>
      </c>
      <c r="AZ116" s="101">
        <f>AR116/AQ116</f>
        <v>0.72727272727272729</v>
      </c>
      <c r="BA116" s="101">
        <f>AT116/AS116</f>
        <v>1</v>
      </c>
      <c r="BB116" s="85">
        <f>(AW116+AY116+AZ116+BA116)/4</f>
        <v>0.90056818181818188</v>
      </c>
      <c r="BC116" s="13">
        <f>AP116/$H$114</f>
        <v>1.25</v>
      </c>
      <c r="BD116" s="118">
        <f>AV116/AP116</f>
        <v>0.46666666666666667</v>
      </c>
      <c r="BE116" s="13">
        <f>AO116/AP116</f>
        <v>17.733333333333334</v>
      </c>
      <c r="BF116" s="13">
        <f>AT116/$H$114</f>
        <v>0.33333333333333331</v>
      </c>
      <c r="BG116" s="13">
        <f>AR116/$H$114</f>
        <v>0.66666666666666663</v>
      </c>
      <c r="BQ116" t="str">
        <f t="shared" ref="BQ116:BQ120" si="216">_xlfn.CONCAT($C$114," &amp; ",J116," &amp; ",Q116," &amp; ",R116," &amp; ",S116," &amp; ",W116," &amp; ",X116," &amp; ",Y116," &amp; ",AC116," &amp; ",AD116," &amp; ",AE116," &amp; ",AG116," &amp; ",AH116," &amp; ",AI116," &amp; ",AJ116, " \\ \hline")</f>
        <v>3-8 &amp; k=1 &amp; 0.818181818181818 &amp; 1 &amp; 0.9 &amp; 1 &amp; 1 &amp; 1 &amp; 0.714285714285714 &amp; 0.909090909090909 &amp; 0.8 &amp; 11 &amp; 11 &amp; 0.916666666666667 &amp; 1 \\ \hline</v>
      </c>
    </row>
    <row r="117" spans="1:69">
      <c r="A117" t="s">
        <v>307</v>
      </c>
      <c r="C117" s="98"/>
      <c r="J117" t="s">
        <v>680</v>
      </c>
      <c r="L117" s="211" t="s">
        <v>696</v>
      </c>
      <c r="M117" s="77"/>
      <c r="O117" s="81">
        <f>P117-1</f>
        <v>30</v>
      </c>
      <c r="P117" s="81">
        <f>$F$114-2</f>
        <v>31</v>
      </c>
      <c r="Q117" s="129">
        <f t="shared" si="203"/>
        <v>0.90909090909090906</v>
      </c>
      <c r="R117" s="129">
        <f t="shared" si="204"/>
        <v>0.967741935483871</v>
      </c>
      <c r="S117" s="127">
        <f t="shared" si="205"/>
        <v>0.93749999999999989</v>
      </c>
      <c r="U117" s="81">
        <f t="shared" si="206"/>
        <v>8</v>
      </c>
      <c r="V117" s="81">
        <f t="shared" si="207"/>
        <v>8</v>
      </c>
      <c r="W117" s="129">
        <f t="shared" si="208"/>
        <v>1</v>
      </c>
      <c r="X117" s="129">
        <f t="shared" si="209"/>
        <v>1</v>
      </c>
      <c r="Y117" s="127">
        <f t="shared" si="210"/>
        <v>1</v>
      </c>
      <c r="AA117" s="81">
        <f>AB117-9</f>
        <v>17</v>
      </c>
      <c r="AB117" s="81">
        <f>$I$114-2</f>
        <v>26</v>
      </c>
      <c r="AC117" s="129">
        <f t="shared" si="211"/>
        <v>0.6071428571428571</v>
      </c>
      <c r="AD117" s="129">
        <f t="shared" si="212"/>
        <v>0.65384615384615385</v>
      </c>
      <c r="AE117" s="127">
        <f t="shared" si="213"/>
        <v>0.62962962962962965</v>
      </c>
      <c r="AG117">
        <f t="shared" si="214"/>
        <v>6</v>
      </c>
      <c r="AH117">
        <v>6</v>
      </c>
      <c r="AI117" s="127">
        <f t="shared" si="215"/>
        <v>0.5</v>
      </c>
      <c r="AJ117" s="127">
        <f t="shared" si="134"/>
        <v>1</v>
      </c>
      <c r="AM117" s="122">
        <v>1</v>
      </c>
      <c r="AN117" s="101">
        <v>1</v>
      </c>
      <c r="AO117">
        <v>254</v>
      </c>
      <c r="AP117">
        <v>19</v>
      </c>
      <c r="AQ117" s="101">
        <v>15</v>
      </c>
      <c r="AR117" s="101">
        <v>12</v>
      </c>
      <c r="AS117">
        <v>2</v>
      </c>
      <c r="AT117">
        <v>2</v>
      </c>
      <c r="AU117">
        <v>2</v>
      </c>
      <c r="AV117" s="119">
        <v>8</v>
      </c>
      <c r="AW117" s="101">
        <f>($F$114-N117)/$F$114</f>
        <v>1</v>
      </c>
      <c r="AY117" s="101">
        <f>($G$114-AN117)/$G$114</f>
        <v>0.875</v>
      </c>
      <c r="AZ117" s="101">
        <f>AR117/AQ117</f>
        <v>0.8</v>
      </c>
      <c r="BA117" s="101">
        <f>AT117/AS117</f>
        <v>1</v>
      </c>
      <c r="BB117" s="85">
        <f>(AW117+AY117+AZ117+BA117)/4</f>
        <v>0.91874999999999996</v>
      </c>
      <c r="BC117" s="13">
        <f>AP117/$H$114</f>
        <v>1.5833333333333333</v>
      </c>
      <c r="BD117" s="118">
        <f>AV117/AP117</f>
        <v>0.42105263157894735</v>
      </c>
      <c r="BE117" s="13">
        <f>AO117/AP117</f>
        <v>13.368421052631579</v>
      </c>
      <c r="BF117" s="13">
        <f>AT117/$H$114</f>
        <v>0.16666666666666666</v>
      </c>
      <c r="BG117" s="13">
        <f>AR117/$H$114</f>
        <v>1</v>
      </c>
      <c r="BQ117" t="str">
        <f t="shared" si="216"/>
        <v>3-8 &amp; k=2 &amp; 0.909090909090909 &amp; 0.967741935483871 &amp; 0.9375 &amp; 1 &amp; 1 &amp; 1 &amp; 0.607142857142857 &amp; 0.653846153846154 &amp; 0.62962962962963 &amp; 6 &amp; 6 &amp; 0.5 &amp; 1 \\ \hline</v>
      </c>
    </row>
    <row r="118" spans="1:69">
      <c r="A118" t="s">
        <v>308</v>
      </c>
      <c r="C118" s="98"/>
      <c r="J118" t="s">
        <v>680</v>
      </c>
      <c r="K118" s="107"/>
      <c r="L118" s="211" t="s">
        <v>696</v>
      </c>
      <c r="M118" s="77"/>
      <c r="O118" s="81">
        <f>P118-0</f>
        <v>33</v>
      </c>
      <c r="P118" s="81">
        <f>$F$114-0</f>
        <v>33</v>
      </c>
      <c r="Q118" s="129">
        <f t="shared" si="203"/>
        <v>1</v>
      </c>
      <c r="R118" s="129">
        <f t="shared" si="204"/>
        <v>1</v>
      </c>
      <c r="S118" s="127">
        <f t="shared" si="205"/>
        <v>1</v>
      </c>
      <c r="U118" s="81">
        <f t="shared" si="206"/>
        <v>8</v>
      </c>
      <c r="V118" s="81">
        <f t="shared" si="207"/>
        <v>8</v>
      </c>
      <c r="W118" s="129">
        <f t="shared" si="208"/>
        <v>1</v>
      </c>
      <c r="X118" s="129">
        <f t="shared" si="209"/>
        <v>1</v>
      </c>
      <c r="Y118" s="127">
        <f t="shared" si="210"/>
        <v>1</v>
      </c>
      <c r="AA118" s="81">
        <f>AB118-5</f>
        <v>23</v>
      </c>
      <c r="AB118" s="81">
        <f>$I$114-0</f>
        <v>28</v>
      </c>
      <c r="AC118" s="129">
        <f t="shared" si="211"/>
        <v>0.8214285714285714</v>
      </c>
      <c r="AD118" s="129">
        <f t="shared" si="212"/>
        <v>0.8214285714285714</v>
      </c>
      <c r="AE118" s="127">
        <f t="shared" si="213"/>
        <v>0.8214285714285714</v>
      </c>
      <c r="AG118">
        <f t="shared" si="214"/>
        <v>11</v>
      </c>
      <c r="AH118">
        <v>11</v>
      </c>
      <c r="AI118" s="127">
        <f t="shared" si="215"/>
        <v>0.91666666666666663</v>
      </c>
      <c r="AJ118" s="127">
        <f t="shared" si="134"/>
        <v>1</v>
      </c>
      <c r="AM118" s="122">
        <v>0</v>
      </c>
      <c r="AN118" s="101">
        <v>0</v>
      </c>
      <c r="AO118">
        <v>217</v>
      </c>
      <c r="AP118">
        <v>16</v>
      </c>
      <c r="AQ118" s="101">
        <v>14</v>
      </c>
      <c r="AR118" s="101">
        <v>14</v>
      </c>
      <c r="AS118">
        <v>2</v>
      </c>
      <c r="AT118">
        <v>2</v>
      </c>
      <c r="AU118">
        <v>0</v>
      </c>
      <c r="AV118" s="119">
        <v>8</v>
      </c>
      <c r="AW118" s="101">
        <f>($F$114-N118)/$F$114</f>
        <v>1</v>
      </c>
      <c r="AY118" s="101">
        <f>($G$114-AN118)/$G$114</f>
        <v>1</v>
      </c>
      <c r="AZ118" s="101">
        <f>AR118/AQ118</f>
        <v>1</v>
      </c>
      <c r="BA118" s="101">
        <f>AT118/AS118</f>
        <v>1</v>
      </c>
      <c r="BB118" s="85">
        <f>(AW118+AY118+AZ118+BA118)/4</f>
        <v>1</v>
      </c>
      <c r="BC118" s="13">
        <f>AP118/$H$114</f>
        <v>1.3333333333333333</v>
      </c>
      <c r="BD118" s="118">
        <f>AV118/AP118</f>
        <v>0.5</v>
      </c>
      <c r="BE118" s="13">
        <f>AO118/AP118</f>
        <v>13.5625</v>
      </c>
      <c r="BF118" s="13">
        <f>AT118/$H$114</f>
        <v>0.16666666666666666</v>
      </c>
      <c r="BG118" s="13">
        <f>AR118/$H$114</f>
        <v>1.1666666666666667</v>
      </c>
      <c r="BQ118" t="str">
        <f t="shared" si="216"/>
        <v>3-8 &amp; k=2 &amp; 1 &amp; 1 &amp; 1 &amp; 1 &amp; 1 &amp; 1 &amp; 0.821428571428571 &amp; 0.821428571428571 &amp; 0.821428571428571 &amp; 11 &amp; 11 &amp; 0.916666666666667 &amp; 1 \\ \hline</v>
      </c>
    </row>
    <row r="119" spans="1:69">
      <c r="A119" t="s">
        <v>309</v>
      </c>
      <c r="C119" s="98"/>
      <c r="J119" t="s">
        <v>681</v>
      </c>
      <c r="L119" s="211" t="s">
        <v>697</v>
      </c>
      <c r="M119" s="77"/>
      <c r="O119" s="81">
        <f>P119-0</f>
        <v>31</v>
      </c>
      <c r="P119" s="81">
        <f>$F$114-2</f>
        <v>31</v>
      </c>
      <c r="Q119" s="129">
        <f t="shared" si="203"/>
        <v>0.93939393939393945</v>
      </c>
      <c r="R119" s="129">
        <f t="shared" si="204"/>
        <v>1</v>
      </c>
      <c r="S119" s="127">
        <f t="shared" si="205"/>
        <v>0.96875</v>
      </c>
      <c r="U119" s="81">
        <f t="shared" si="206"/>
        <v>8</v>
      </c>
      <c r="V119" s="81">
        <f t="shared" si="207"/>
        <v>8</v>
      </c>
      <c r="W119" s="129">
        <f t="shared" si="208"/>
        <v>1</v>
      </c>
      <c r="X119" s="129">
        <f t="shared" si="209"/>
        <v>1</v>
      </c>
      <c r="Y119" s="127">
        <f t="shared" si="210"/>
        <v>1</v>
      </c>
      <c r="AA119" s="81">
        <f>AB119-0</f>
        <v>26</v>
      </c>
      <c r="AB119" s="81">
        <f>$I$114-2</f>
        <v>26</v>
      </c>
      <c r="AC119" s="129">
        <f t="shared" si="211"/>
        <v>0.9285714285714286</v>
      </c>
      <c r="AD119" s="129">
        <f t="shared" si="212"/>
        <v>1</v>
      </c>
      <c r="AE119" s="127">
        <f t="shared" si="213"/>
        <v>0.96296296296296302</v>
      </c>
      <c r="AG119">
        <f t="shared" si="214"/>
        <v>7</v>
      </c>
      <c r="AH119">
        <v>7</v>
      </c>
      <c r="AI119" s="127">
        <f t="shared" si="215"/>
        <v>0.58333333333333337</v>
      </c>
      <c r="AJ119" s="127">
        <f t="shared" si="134"/>
        <v>1</v>
      </c>
      <c r="BC119" s="13"/>
      <c r="BD119" s="118"/>
      <c r="BE119" s="13"/>
      <c r="BF119" s="13"/>
      <c r="BG119" s="13"/>
      <c r="BQ119" t="str">
        <f t="shared" si="216"/>
        <v>3-8 &amp; k=3 &amp; 0.939393939393939 &amp; 1 &amp; 0.96875 &amp; 1 &amp; 1 &amp; 1 &amp; 0.928571428571429 &amp; 1 &amp; 0.962962962962963 &amp; 7 &amp; 7 &amp; 0.583333333333333 &amp; 1 \\ \hline</v>
      </c>
    </row>
    <row r="120" spans="1:69">
      <c r="A120" t="s">
        <v>667</v>
      </c>
      <c r="C120" s="98"/>
      <c r="J120" t="s">
        <v>681</v>
      </c>
      <c r="L120" s="211" t="s">
        <v>697</v>
      </c>
      <c r="M120" s="77"/>
      <c r="O120" s="81">
        <f>P120-0</f>
        <v>27</v>
      </c>
      <c r="P120" s="81">
        <f>$F$114-6</f>
        <v>27</v>
      </c>
      <c r="Q120" s="129">
        <f t="shared" si="203"/>
        <v>0.81818181818181823</v>
      </c>
      <c r="R120" s="129">
        <f t="shared" si="204"/>
        <v>1</v>
      </c>
      <c r="S120" s="127">
        <f t="shared" si="205"/>
        <v>0.9</v>
      </c>
      <c r="U120" s="81">
        <f t="shared" si="206"/>
        <v>8</v>
      </c>
      <c r="V120" s="81">
        <f t="shared" si="207"/>
        <v>8</v>
      </c>
      <c r="W120" s="129">
        <f t="shared" si="208"/>
        <v>1</v>
      </c>
      <c r="X120" s="129">
        <f t="shared" si="209"/>
        <v>1</v>
      </c>
      <c r="Y120" s="127">
        <f t="shared" si="210"/>
        <v>1</v>
      </c>
      <c r="AA120" s="81">
        <f>AB120-3</f>
        <v>19</v>
      </c>
      <c r="AB120" s="81">
        <f>$I$114-6</f>
        <v>22</v>
      </c>
      <c r="AC120" s="129">
        <f t="shared" si="211"/>
        <v>0.6785714285714286</v>
      </c>
      <c r="AD120" s="129">
        <f t="shared" si="212"/>
        <v>0.86363636363636365</v>
      </c>
      <c r="AE120" s="127">
        <f t="shared" si="213"/>
        <v>0.76</v>
      </c>
      <c r="AG120">
        <f t="shared" si="214"/>
        <v>4</v>
      </c>
      <c r="AH120">
        <v>4</v>
      </c>
      <c r="AI120" s="127">
        <f t="shared" si="215"/>
        <v>0.33333333333333331</v>
      </c>
      <c r="AJ120" s="127">
        <f t="shared" si="134"/>
        <v>1</v>
      </c>
      <c r="BC120" s="13"/>
      <c r="BD120" s="118"/>
      <c r="BE120" s="13"/>
      <c r="BF120" s="13"/>
      <c r="BG120" s="13"/>
      <c r="BQ120" t="str">
        <f t="shared" si="216"/>
        <v>3-8 &amp; k=3 &amp; 0.818181818181818 &amp; 1 &amp; 0.9 &amp; 1 &amp; 1 &amp; 1 &amp; 0.678571428571429 &amp; 0.863636363636364 &amp; 0.76 &amp; 4 &amp; 4 &amp; 0.333333333333333 &amp; 1 \\ \hline</v>
      </c>
    </row>
    <row r="121" spans="1:69">
      <c r="C121" s="98"/>
      <c r="Q121" s="129"/>
      <c r="R121" s="129"/>
      <c r="S121" s="127"/>
      <c r="W121" s="129"/>
      <c r="X121" s="129"/>
      <c r="Y121" s="127"/>
      <c r="AC121" s="129"/>
      <c r="AD121" s="129"/>
      <c r="AE121" s="127"/>
      <c r="AG121"/>
      <c r="AH121"/>
      <c r="AI121" s="127"/>
      <c r="AJ121" s="127"/>
    </row>
    <row r="122" spans="1:69" s="75" customFormat="1">
      <c r="A122" s="75" t="s">
        <v>322</v>
      </c>
      <c r="B122" s="94">
        <v>45178</v>
      </c>
      <c r="C122" s="93" t="s">
        <v>180</v>
      </c>
      <c r="D122" s="78">
        <f>VLOOKUP($C$122,Overview!$Q$2:$AS$64,23,FALSE)</f>
        <v>0.61852981482680436</v>
      </c>
      <c r="E122" s="78" t="str">
        <f>VLOOKUP($C$122,Overview!$Q$2:$AS$64,24,FALSE)</f>
        <v>medium</v>
      </c>
      <c r="F122" s="75">
        <f>VLOOKUP(C122,Overview!$Q$2:$AS$64,13,FALSE)</f>
        <v>34</v>
      </c>
      <c r="G122" s="75">
        <f>VLOOKUP(C122,Overview!$Q$2:$AS$64,16,FALSE)</f>
        <v>12</v>
      </c>
      <c r="H122" s="75">
        <f>VLOOKUP(C122,Overview!$Q$2:$AS$64,18,FALSE)</f>
        <v>15</v>
      </c>
      <c r="I122" s="75">
        <f>VLOOKUP($C$122,Overview!$Q$2:$AS$64,19,FALSE)</f>
        <v>31</v>
      </c>
      <c r="K122" s="294" t="str">
        <f>VLOOKUP($C$122,Overview!$Q$2:$AS$64,5,FALSE)</f>
        <v>6-2, 3-8</v>
      </c>
      <c r="L122" s="293" t="s">
        <v>786</v>
      </c>
      <c r="N122" s="115"/>
      <c r="O122" s="97"/>
      <c r="P122" s="97"/>
      <c r="Q122" s="130"/>
      <c r="R122" s="130"/>
      <c r="S122" s="128"/>
      <c r="T122" s="115"/>
      <c r="U122" s="97"/>
      <c r="V122" s="97"/>
      <c r="W122" s="130"/>
      <c r="X122" s="130"/>
      <c r="Y122" s="128"/>
      <c r="Z122" s="115"/>
      <c r="AA122" s="97"/>
      <c r="AB122" s="97"/>
      <c r="AC122" s="130"/>
      <c r="AD122" s="130"/>
      <c r="AE122" s="128"/>
      <c r="AF122" s="115"/>
      <c r="AI122" s="128"/>
      <c r="AJ122" s="127"/>
      <c r="AK122" s="97"/>
      <c r="AL122" s="115"/>
      <c r="AM122" s="122"/>
      <c r="AN122" s="101"/>
      <c r="AQ122" s="101"/>
      <c r="AR122" s="101"/>
      <c r="AV122" s="119"/>
      <c r="AW122" s="101"/>
      <c r="AX122" s="101"/>
      <c r="AY122" s="101"/>
      <c r="AZ122" s="101"/>
      <c r="BA122" s="101"/>
      <c r="BB122" s="83"/>
      <c r="BD122" s="101"/>
      <c r="BQ122"/>
    </row>
    <row r="123" spans="1:69">
      <c r="A123" t="s">
        <v>305</v>
      </c>
      <c r="C123" s="98"/>
      <c r="J123" t="s">
        <v>679</v>
      </c>
      <c r="K123" s="296" t="s">
        <v>787</v>
      </c>
      <c r="L123" s="211" t="s">
        <v>161</v>
      </c>
      <c r="M123" s="77"/>
      <c r="O123" s="81">
        <f>P123-2</f>
        <v>32</v>
      </c>
      <c r="P123" s="81">
        <f>$F$122-0</f>
        <v>34</v>
      </c>
      <c r="Q123" s="129">
        <f t="shared" ref="Q123:Q128" si="217">O123/$F$122</f>
        <v>0.94117647058823528</v>
      </c>
      <c r="R123" s="129">
        <f t="shared" ref="R123:R128" si="218">O123/P123</f>
        <v>0.94117647058823528</v>
      </c>
      <c r="S123" s="127">
        <f t="shared" ref="S123:S128" si="219">2*(Q123*R123)/(Q123+R123)</f>
        <v>0.94117647058823528</v>
      </c>
      <c r="U123" s="81">
        <f>V123-2</f>
        <v>10</v>
      </c>
      <c r="V123" s="81">
        <f t="shared" ref="V123:V128" si="220">$G$122-0</f>
        <v>12</v>
      </c>
      <c r="W123" s="129">
        <f t="shared" ref="W123:W128" si="221">U123/$G$122</f>
        <v>0.83333333333333337</v>
      </c>
      <c r="X123" s="129">
        <f t="shared" ref="X123:X128" si="222">U123/V123</f>
        <v>0.83333333333333337</v>
      </c>
      <c r="Y123" s="127">
        <f t="shared" ref="Y123:Y128" si="223">2*(W123*X123)/(W123+X123)</f>
        <v>0.83333333333333337</v>
      </c>
      <c r="AA123" s="81">
        <f>AB123-1</f>
        <v>30</v>
      </c>
      <c r="AB123" s="81">
        <f>$I$122-0</f>
        <v>31</v>
      </c>
      <c r="AC123" s="129">
        <f t="shared" ref="AC123:AC128" si="224">AA123/$I$122</f>
        <v>0.967741935483871</v>
      </c>
      <c r="AD123" s="129">
        <f t="shared" ref="AD123:AD128" si="225">AA123/AB123</f>
        <v>0.967741935483871</v>
      </c>
      <c r="AE123" s="127">
        <f t="shared" ref="AE123:AE128" si="226">2*(AC123*AD123)/(AC123+AD123)</f>
        <v>0.967741935483871</v>
      </c>
      <c r="AG123">
        <f>AH123-0</f>
        <v>5</v>
      </c>
      <c r="AH123">
        <v>5</v>
      </c>
      <c r="AI123" s="127">
        <f t="shared" ref="AI123:AI128" si="227">AG123/$H$122</f>
        <v>0.33333333333333331</v>
      </c>
      <c r="AJ123" s="127">
        <f t="shared" si="134"/>
        <v>1</v>
      </c>
      <c r="AM123" s="122">
        <v>0</v>
      </c>
      <c r="AN123" s="101">
        <v>0</v>
      </c>
      <c r="AO123">
        <v>280</v>
      </c>
      <c r="AP123">
        <v>12</v>
      </c>
      <c r="AQ123" s="101">
        <v>11</v>
      </c>
      <c r="AR123" s="101">
        <v>11</v>
      </c>
      <c r="AS123">
        <v>1</v>
      </c>
      <c r="AT123">
        <v>1</v>
      </c>
      <c r="AU123">
        <v>0</v>
      </c>
      <c r="AV123" s="119">
        <v>7</v>
      </c>
      <c r="AW123" s="101">
        <f>($F$122-N123)/$F$122</f>
        <v>1</v>
      </c>
      <c r="AY123" s="101">
        <f>($G$122-AN123)/$G$122</f>
        <v>1</v>
      </c>
      <c r="AZ123" s="101">
        <f>AR123/AQ123</f>
        <v>1</v>
      </c>
      <c r="BA123" s="101">
        <f>AT123/AS123</f>
        <v>1</v>
      </c>
      <c r="BB123" s="85">
        <f>(AW123+AY123+AZ123+BA123)/4</f>
        <v>1</v>
      </c>
      <c r="BC123" s="13">
        <f>AP123/$H$122</f>
        <v>0.8</v>
      </c>
      <c r="BD123" s="118">
        <f>AV123/AP123</f>
        <v>0.58333333333333337</v>
      </c>
      <c r="BE123" s="13">
        <f>AO123/AP123</f>
        <v>23.333333333333332</v>
      </c>
      <c r="BF123" s="13">
        <f>AT123/$H$122</f>
        <v>6.6666666666666666E-2</v>
      </c>
      <c r="BG123" s="13">
        <f>AR123/$H$122</f>
        <v>0.73333333333333328</v>
      </c>
      <c r="BQ123" t="str">
        <f>_xlfn.CONCAT($C$122," &amp; ",J123," &amp; ",Q123," &amp; ",R123," &amp; ",S123," &amp; ",W123," &amp; ",X123," &amp; ",Y123," &amp; ",AC123," &amp; ",AD123," &amp; ",AE123," &amp; ",AG123," &amp; ",AH123," &amp; ",AI123," &amp; ",AJ123, " \\ \hline")</f>
        <v>10-12 &amp; k=1 &amp; 0.941176470588235 &amp; 0.941176470588235 &amp; 0.941176470588235 &amp; 0.833333333333333 &amp; 0.833333333333333 &amp; 0.833333333333333 &amp; 0.967741935483871 &amp; 0.967741935483871 &amp; 0.967741935483871 &amp; 5 &amp; 5 &amp; 0.333333333333333 &amp; 1 \\ \hline</v>
      </c>
    </row>
    <row r="124" spans="1:69">
      <c r="A124" t="s">
        <v>306</v>
      </c>
      <c r="C124" s="98"/>
      <c r="J124" t="s">
        <v>679</v>
      </c>
      <c r="L124" s="211" t="s">
        <v>161</v>
      </c>
      <c r="M124" s="77"/>
      <c r="O124" s="81">
        <f>P124-0</f>
        <v>34</v>
      </c>
      <c r="P124" s="81">
        <f>$F$122-0</f>
        <v>34</v>
      </c>
      <c r="Q124" s="129">
        <f t="shared" si="217"/>
        <v>1</v>
      </c>
      <c r="R124" s="129">
        <f t="shared" si="218"/>
        <v>1</v>
      </c>
      <c r="S124" s="127">
        <f t="shared" si="219"/>
        <v>1</v>
      </c>
      <c r="U124" s="81">
        <f>V124-0</f>
        <v>12</v>
      </c>
      <c r="V124" s="81">
        <f t="shared" si="220"/>
        <v>12</v>
      </c>
      <c r="W124" s="129">
        <f t="shared" si="221"/>
        <v>1</v>
      </c>
      <c r="X124" s="129">
        <f t="shared" si="222"/>
        <v>1</v>
      </c>
      <c r="Y124" s="127">
        <f t="shared" si="223"/>
        <v>1</v>
      </c>
      <c r="AA124" s="81">
        <f>AB124-1</f>
        <v>30</v>
      </c>
      <c r="AB124" s="81">
        <f>$I$122-0</f>
        <v>31</v>
      </c>
      <c r="AC124" s="129">
        <f t="shared" si="224"/>
        <v>0.967741935483871</v>
      </c>
      <c r="AD124" s="129">
        <f t="shared" si="225"/>
        <v>0.967741935483871</v>
      </c>
      <c r="AE124" s="127">
        <f t="shared" si="226"/>
        <v>0.967741935483871</v>
      </c>
      <c r="AG124">
        <f>AH124-0</f>
        <v>9</v>
      </c>
      <c r="AH124">
        <v>9</v>
      </c>
      <c r="AI124" s="127">
        <f t="shared" si="227"/>
        <v>0.6</v>
      </c>
      <c r="AJ124" s="127">
        <f t="shared" si="134"/>
        <v>1</v>
      </c>
      <c r="AM124" s="122">
        <v>0</v>
      </c>
      <c r="AN124" s="101">
        <v>0</v>
      </c>
      <c r="AO124">
        <v>289</v>
      </c>
      <c r="AP124">
        <v>19</v>
      </c>
      <c r="AQ124" s="101">
        <v>17</v>
      </c>
      <c r="AR124" s="101">
        <v>17</v>
      </c>
      <c r="AS124">
        <v>2</v>
      </c>
      <c r="AT124">
        <v>2</v>
      </c>
      <c r="AU124">
        <v>0</v>
      </c>
      <c r="AV124" s="119">
        <v>8</v>
      </c>
      <c r="AW124" s="101">
        <f>($F$122-N124)/$F$122</f>
        <v>1</v>
      </c>
      <c r="AY124" s="101">
        <f>($G$122-AN124)/$G$122</f>
        <v>1</v>
      </c>
      <c r="AZ124" s="101">
        <f>AR124/AQ124</f>
        <v>1</v>
      </c>
      <c r="BA124" s="101">
        <f>AT124/AS124</f>
        <v>1</v>
      </c>
      <c r="BB124" s="85">
        <f>(AW124+AY124+AZ124+BA124)/4</f>
        <v>1</v>
      </c>
      <c r="BC124" s="13">
        <f>AP124/$H$122</f>
        <v>1.2666666666666666</v>
      </c>
      <c r="BD124" s="118">
        <f>AV124/AP124</f>
        <v>0.42105263157894735</v>
      </c>
      <c r="BE124" s="13">
        <f>AO124/AP124</f>
        <v>15.210526315789474</v>
      </c>
      <c r="BF124" s="13">
        <f>AT124/$H$122</f>
        <v>0.13333333333333333</v>
      </c>
      <c r="BG124" s="13">
        <f>AR124/$H$122</f>
        <v>1.1333333333333333</v>
      </c>
      <c r="BQ124" t="str">
        <f t="shared" ref="BQ124:BQ128" si="228">_xlfn.CONCAT($C$122," &amp; ",J124," &amp; ",Q124," &amp; ",R124," &amp; ",S124," &amp; ",W124," &amp; ",X124," &amp; ",Y124," &amp; ",AC124," &amp; ",AD124," &amp; ",AE124," &amp; ",AG124," &amp; ",AH124," &amp; ",AI124," &amp; ",AJ124, " \\ \hline")</f>
        <v>10-12 &amp; k=1 &amp; 1 &amp; 1 &amp; 1 &amp; 1 &amp; 1 &amp; 1 &amp; 0.967741935483871 &amp; 0.967741935483871 &amp; 0.967741935483871 &amp; 9 &amp; 9 &amp; 0.6 &amp; 1 \\ \hline</v>
      </c>
    </row>
    <row r="125" spans="1:69">
      <c r="A125" t="s">
        <v>307</v>
      </c>
      <c r="C125" s="98"/>
      <c r="J125" t="s">
        <v>680</v>
      </c>
      <c r="L125" s="211" t="s">
        <v>663</v>
      </c>
      <c r="M125" s="77"/>
      <c r="O125" s="81">
        <f>P125-0</f>
        <v>33</v>
      </c>
      <c r="P125" s="81">
        <f>$F$122-1</f>
        <v>33</v>
      </c>
      <c r="Q125" s="129">
        <f t="shared" si="217"/>
        <v>0.97058823529411764</v>
      </c>
      <c r="R125" s="129">
        <f t="shared" si="218"/>
        <v>1</v>
      </c>
      <c r="S125" s="127">
        <f t="shared" si="219"/>
        <v>0.9850746268656716</v>
      </c>
      <c r="U125" s="81">
        <f>V125-0</f>
        <v>12</v>
      </c>
      <c r="V125" s="81">
        <f t="shared" si="220"/>
        <v>12</v>
      </c>
      <c r="W125" s="129">
        <f t="shared" si="221"/>
        <v>1</v>
      </c>
      <c r="X125" s="129">
        <f t="shared" si="222"/>
        <v>1</v>
      </c>
      <c r="Y125" s="127">
        <f t="shared" si="223"/>
        <v>1</v>
      </c>
      <c r="AA125" s="81">
        <f>AB125-1</f>
        <v>29</v>
      </c>
      <c r="AB125" s="81">
        <f>$I$122-1</f>
        <v>30</v>
      </c>
      <c r="AC125" s="129">
        <f t="shared" si="224"/>
        <v>0.93548387096774188</v>
      </c>
      <c r="AD125" s="129">
        <f t="shared" si="225"/>
        <v>0.96666666666666667</v>
      </c>
      <c r="AE125" s="127">
        <f t="shared" si="226"/>
        <v>0.9508196721311476</v>
      </c>
      <c r="AG125">
        <f>AH125-0</f>
        <v>8</v>
      </c>
      <c r="AH125">
        <v>8</v>
      </c>
      <c r="AI125" s="127">
        <f t="shared" si="227"/>
        <v>0.53333333333333333</v>
      </c>
      <c r="AJ125" s="127">
        <f t="shared" si="134"/>
        <v>1</v>
      </c>
      <c r="AM125" s="122">
        <v>0</v>
      </c>
      <c r="AN125" s="101">
        <v>0</v>
      </c>
      <c r="AO125">
        <v>291</v>
      </c>
      <c r="AP125">
        <v>19</v>
      </c>
      <c r="AQ125" s="101">
        <v>16</v>
      </c>
      <c r="AR125" s="101">
        <v>16</v>
      </c>
      <c r="AS125">
        <v>1</v>
      </c>
      <c r="AT125">
        <v>1</v>
      </c>
      <c r="AU125">
        <v>2</v>
      </c>
      <c r="AV125" s="119">
        <v>8</v>
      </c>
      <c r="AW125" s="101">
        <f>($F$122-N125)/$F$122</f>
        <v>1</v>
      </c>
      <c r="AY125" s="101">
        <f>($G$122-AN125)/$G$122</f>
        <v>1</v>
      </c>
      <c r="AZ125" s="101">
        <f>AR125/AQ125</f>
        <v>1</v>
      </c>
      <c r="BA125" s="101">
        <f>AT125/AS125</f>
        <v>1</v>
      </c>
      <c r="BB125" s="85">
        <f>(AW125+AY125+AZ125+BA125)/4</f>
        <v>1</v>
      </c>
      <c r="BC125" s="13">
        <f>AP125/$H$122</f>
        <v>1.2666666666666666</v>
      </c>
      <c r="BD125" s="118">
        <f>AV125/AP125</f>
        <v>0.42105263157894735</v>
      </c>
      <c r="BE125" s="13">
        <f>AO125/AP125</f>
        <v>15.315789473684211</v>
      </c>
      <c r="BF125" s="13">
        <f>AT125/$H$122</f>
        <v>6.6666666666666666E-2</v>
      </c>
      <c r="BG125" s="13">
        <f>AR125/$H$122</f>
        <v>1.0666666666666667</v>
      </c>
      <c r="BQ125" t="str">
        <f t="shared" si="228"/>
        <v>10-12 &amp; k=2 &amp; 0.970588235294118 &amp; 1 &amp; 0.985074626865672 &amp; 1 &amp; 1 &amp; 1 &amp; 0.935483870967742 &amp; 0.966666666666667 &amp; 0.950819672131148 &amp; 8 &amp; 8 &amp; 0.533333333333333 &amp; 1 \\ \hline</v>
      </c>
    </row>
    <row r="126" spans="1:69">
      <c r="A126" t="s">
        <v>308</v>
      </c>
      <c r="C126" s="98"/>
      <c r="J126" t="s">
        <v>680</v>
      </c>
      <c r="K126" s="107"/>
      <c r="L126" s="211" t="s">
        <v>663</v>
      </c>
      <c r="M126" s="77"/>
      <c r="O126" s="81">
        <f>P126-2</f>
        <v>29</v>
      </c>
      <c r="P126" s="81">
        <f>$F$122-3</f>
        <v>31</v>
      </c>
      <c r="Q126" s="129">
        <f t="shared" si="217"/>
        <v>0.8529411764705882</v>
      </c>
      <c r="R126" s="129">
        <f t="shared" si="218"/>
        <v>0.93548387096774188</v>
      </c>
      <c r="S126" s="127">
        <f t="shared" si="219"/>
        <v>0.89230769230769225</v>
      </c>
      <c r="U126" s="81">
        <f>V126-2</f>
        <v>10</v>
      </c>
      <c r="V126" s="81">
        <f t="shared" si="220"/>
        <v>12</v>
      </c>
      <c r="W126" s="129">
        <f t="shared" si="221"/>
        <v>0.83333333333333337</v>
      </c>
      <c r="X126" s="129">
        <f t="shared" si="222"/>
        <v>0.83333333333333337</v>
      </c>
      <c r="Y126" s="127">
        <f t="shared" si="223"/>
        <v>0.83333333333333337</v>
      </c>
      <c r="AA126" s="81">
        <f>AB126-0</f>
        <v>28</v>
      </c>
      <c r="AB126" s="81">
        <f>$I$122-3</f>
        <v>28</v>
      </c>
      <c r="AC126" s="129">
        <f t="shared" si="224"/>
        <v>0.90322580645161288</v>
      </c>
      <c r="AD126" s="129">
        <f t="shared" si="225"/>
        <v>1</v>
      </c>
      <c r="AE126" s="127">
        <f t="shared" si="226"/>
        <v>0.94915254237288127</v>
      </c>
      <c r="AG126">
        <f>AH126-0</f>
        <v>6</v>
      </c>
      <c r="AH126">
        <v>6</v>
      </c>
      <c r="AI126" s="127">
        <f t="shared" si="227"/>
        <v>0.4</v>
      </c>
      <c r="AJ126" s="127">
        <f t="shared" si="134"/>
        <v>1</v>
      </c>
      <c r="AM126" s="122">
        <v>2</v>
      </c>
      <c r="AN126" s="101">
        <v>1</v>
      </c>
      <c r="AO126">
        <v>296</v>
      </c>
      <c r="AP126">
        <v>16</v>
      </c>
      <c r="AQ126" s="101">
        <v>15</v>
      </c>
      <c r="AR126" s="101">
        <v>15</v>
      </c>
      <c r="AS126">
        <v>1</v>
      </c>
      <c r="AT126">
        <v>1</v>
      </c>
      <c r="AU126">
        <v>0</v>
      </c>
      <c r="AV126" s="119">
        <v>8</v>
      </c>
      <c r="AW126" s="101">
        <f>($F$122-N126)/$F$122</f>
        <v>1</v>
      </c>
      <c r="AY126" s="101">
        <f>($G$122-AN126)/$G$122</f>
        <v>0.91666666666666663</v>
      </c>
      <c r="AZ126" s="101">
        <f>AR126/AQ126</f>
        <v>1</v>
      </c>
      <c r="BA126" s="101">
        <f>AT126/AS126</f>
        <v>1</v>
      </c>
      <c r="BB126" s="85">
        <f>(AW126+AY126+AZ126+BA126)/4</f>
        <v>0.97916666666666663</v>
      </c>
      <c r="BC126" s="13">
        <f>AP126/$H$122</f>
        <v>1.0666666666666667</v>
      </c>
      <c r="BD126" s="118">
        <f>AV126/AP126</f>
        <v>0.5</v>
      </c>
      <c r="BE126" s="13">
        <f>AO126/AP126</f>
        <v>18.5</v>
      </c>
      <c r="BF126" s="13">
        <f>AT126/$H$122</f>
        <v>6.6666666666666666E-2</v>
      </c>
      <c r="BG126" s="13">
        <f>AR126/$H$122</f>
        <v>1</v>
      </c>
      <c r="BQ126" t="str">
        <f t="shared" si="228"/>
        <v>10-12 &amp; k=2 &amp; 0.852941176470588 &amp; 0.935483870967742 &amp; 0.892307692307692 &amp; 0.833333333333333 &amp; 0.833333333333333 &amp; 0.833333333333333 &amp; 0.903225806451613 &amp; 1 &amp; 0.949152542372881 &amp; 6 &amp; 6 &amp; 0.4 &amp; 1 \\ \hline</v>
      </c>
    </row>
    <row r="127" spans="1:69">
      <c r="A127" t="s">
        <v>309</v>
      </c>
      <c r="C127" s="98"/>
      <c r="J127" t="s">
        <v>681</v>
      </c>
      <c r="L127" s="211" t="s">
        <v>692</v>
      </c>
      <c r="M127" s="77"/>
      <c r="O127" s="81">
        <f>P127-2</f>
        <v>32</v>
      </c>
      <c r="P127" s="81">
        <f>$F$122-0</f>
        <v>34</v>
      </c>
      <c r="Q127" s="129">
        <f t="shared" si="217"/>
        <v>0.94117647058823528</v>
      </c>
      <c r="R127" s="129">
        <f t="shared" si="218"/>
        <v>0.94117647058823528</v>
      </c>
      <c r="S127" s="127">
        <f t="shared" si="219"/>
        <v>0.94117647058823528</v>
      </c>
      <c r="U127" s="81">
        <f>V127-2</f>
        <v>10</v>
      </c>
      <c r="V127" s="81">
        <f t="shared" si="220"/>
        <v>12</v>
      </c>
      <c r="W127" s="129">
        <f t="shared" si="221"/>
        <v>0.83333333333333337</v>
      </c>
      <c r="X127" s="129">
        <f t="shared" si="222"/>
        <v>0.83333333333333337</v>
      </c>
      <c r="Y127" s="127">
        <f t="shared" si="223"/>
        <v>0.83333333333333337</v>
      </c>
      <c r="AA127" s="81">
        <f>AB127-0</f>
        <v>31</v>
      </c>
      <c r="AB127" s="81">
        <f>$I$122-0</f>
        <v>31</v>
      </c>
      <c r="AC127" s="129">
        <f t="shared" si="224"/>
        <v>1</v>
      </c>
      <c r="AD127" s="129">
        <f t="shared" si="225"/>
        <v>1</v>
      </c>
      <c r="AE127" s="127">
        <f t="shared" si="226"/>
        <v>1</v>
      </c>
      <c r="AG127">
        <f>AH127-0</f>
        <v>5</v>
      </c>
      <c r="AH127">
        <v>5</v>
      </c>
      <c r="AI127" s="127">
        <f t="shared" si="227"/>
        <v>0.33333333333333331</v>
      </c>
      <c r="AJ127" s="127">
        <f t="shared" si="134"/>
        <v>1</v>
      </c>
      <c r="BC127" s="13"/>
      <c r="BD127" s="118"/>
      <c r="BE127" s="13"/>
      <c r="BF127" s="13"/>
      <c r="BG127" s="13"/>
      <c r="BQ127" t="str">
        <f t="shared" si="228"/>
        <v>10-12 &amp; k=3 &amp; 0.941176470588235 &amp; 0.941176470588235 &amp; 0.941176470588235 &amp; 0.833333333333333 &amp; 0.833333333333333 &amp; 0.833333333333333 &amp; 1 &amp; 1 &amp; 1 &amp; 5 &amp; 5 &amp; 0.333333333333333 &amp; 1 \\ \hline</v>
      </c>
    </row>
    <row r="128" spans="1:69">
      <c r="A128" t="s">
        <v>667</v>
      </c>
      <c r="C128" s="98"/>
      <c r="J128" t="s">
        <v>681</v>
      </c>
      <c r="L128" s="211" t="s">
        <v>692</v>
      </c>
      <c r="M128" s="77"/>
      <c r="O128" s="81">
        <f>P128-2</f>
        <v>31</v>
      </c>
      <c r="P128" s="81">
        <f>$F$122-1</f>
        <v>33</v>
      </c>
      <c r="Q128" s="129">
        <f t="shared" si="217"/>
        <v>0.91176470588235292</v>
      </c>
      <c r="R128" s="129">
        <f t="shared" si="218"/>
        <v>0.93939393939393945</v>
      </c>
      <c r="S128" s="127">
        <f t="shared" si="219"/>
        <v>0.92537313432835833</v>
      </c>
      <c r="U128" s="81">
        <f>V128-2</f>
        <v>10</v>
      </c>
      <c r="V128" s="81">
        <f t="shared" si="220"/>
        <v>12</v>
      </c>
      <c r="W128" s="129">
        <f t="shared" si="221"/>
        <v>0.83333333333333337</v>
      </c>
      <c r="X128" s="129">
        <f t="shared" si="222"/>
        <v>0.83333333333333337</v>
      </c>
      <c r="Y128" s="127">
        <f t="shared" si="223"/>
        <v>0.83333333333333337</v>
      </c>
      <c r="AA128" s="81">
        <f>AB128-0</f>
        <v>30</v>
      </c>
      <c r="AB128" s="81">
        <f>$I$122-1</f>
        <v>30</v>
      </c>
      <c r="AC128" s="129">
        <f t="shared" si="224"/>
        <v>0.967741935483871</v>
      </c>
      <c r="AD128" s="129">
        <f t="shared" si="225"/>
        <v>1</v>
      </c>
      <c r="AE128" s="127">
        <f t="shared" si="226"/>
        <v>0.98360655737704916</v>
      </c>
      <c r="AG128">
        <f>AH128-1</f>
        <v>2</v>
      </c>
      <c r="AH128">
        <v>3</v>
      </c>
      <c r="AI128" s="127">
        <f t="shared" si="227"/>
        <v>0.13333333333333333</v>
      </c>
      <c r="AJ128" s="127">
        <f t="shared" si="134"/>
        <v>0.66666666666666663</v>
      </c>
      <c r="BC128" s="13"/>
      <c r="BD128" s="118"/>
      <c r="BE128" s="13"/>
      <c r="BF128" s="13"/>
      <c r="BG128" s="13"/>
      <c r="BQ128" t="str">
        <f t="shared" si="228"/>
        <v>10-12 &amp; k=3 &amp; 0.911764705882353 &amp; 0.939393939393939 &amp; 0.925373134328358 &amp; 0.833333333333333 &amp; 0.833333333333333 &amp; 0.833333333333333 &amp; 0.967741935483871 &amp; 1 &amp; 0.983606557377049 &amp; 2 &amp; 3 &amp; 0.133333333333333 &amp; 0.666666666666667 \\ \hline</v>
      </c>
    </row>
    <row r="129" spans="1:69">
      <c r="C129" s="98"/>
      <c r="Q129" s="129"/>
      <c r="R129" s="129"/>
      <c r="S129" s="127"/>
      <c r="W129" s="129"/>
      <c r="X129" s="129"/>
      <c r="Y129" s="127"/>
      <c r="AC129" s="129"/>
      <c r="AD129" s="129"/>
      <c r="AE129" s="127"/>
      <c r="AG129"/>
      <c r="AH129"/>
      <c r="AI129" s="127"/>
      <c r="AJ129" s="127"/>
    </row>
    <row r="130" spans="1:69" s="75" customFormat="1">
      <c r="A130" s="75" t="s">
        <v>323</v>
      </c>
      <c r="B130" s="94">
        <v>45179</v>
      </c>
      <c r="C130" s="93" t="s">
        <v>142</v>
      </c>
      <c r="D130" s="78">
        <f>VLOOKUP($C$130,Overview!$Q$2:$AS$64,23,FALSE)</f>
        <v>0.68692634591772206</v>
      </c>
      <c r="E130" s="78" t="str">
        <f>VLOOKUP($C$130,Overview!$Q$2:$AS$64,24,FALSE)</f>
        <v>medium</v>
      </c>
      <c r="F130" s="75">
        <f>VLOOKUP(C130,Overview!$Q$2:$AS$64,13,FALSE)</f>
        <v>35</v>
      </c>
      <c r="G130" s="75">
        <f>VLOOKUP(C130,Overview!$Q$2:$AS$64,16,FALSE)</f>
        <v>9</v>
      </c>
      <c r="H130" s="75">
        <f>VLOOKUP(C130,Overview!$Q$2:$AS$64,18,FALSE)</f>
        <v>8</v>
      </c>
      <c r="I130" s="75">
        <f>VLOOKUP($C$130,Overview!$Q$2:$AS$64,19,FALSE)</f>
        <v>30</v>
      </c>
      <c r="K130" s="294" t="str">
        <f>VLOOKUP($C$130,Overview!$Q$2:$AS$64,5,FALSE)</f>
        <v>6-2, 3-8</v>
      </c>
      <c r="L130" s="293" t="s">
        <v>786</v>
      </c>
      <c r="N130" s="115"/>
      <c r="O130" s="97"/>
      <c r="P130" s="97"/>
      <c r="Q130" s="130"/>
      <c r="R130" s="130"/>
      <c r="S130" s="128"/>
      <c r="T130" s="115"/>
      <c r="U130" s="97"/>
      <c r="V130" s="97"/>
      <c r="W130" s="130"/>
      <c r="X130" s="130"/>
      <c r="Y130" s="128"/>
      <c r="Z130" s="115"/>
      <c r="AA130" s="97"/>
      <c r="AB130" s="97"/>
      <c r="AC130" s="130"/>
      <c r="AD130" s="130"/>
      <c r="AE130" s="128"/>
      <c r="AF130" s="115"/>
      <c r="AI130" s="128"/>
      <c r="AJ130" s="127"/>
      <c r="AK130" s="97"/>
      <c r="AL130" s="115"/>
      <c r="AM130" s="122"/>
      <c r="AN130" s="101"/>
      <c r="AQ130" s="101"/>
      <c r="AR130" s="101"/>
      <c r="AV130" s="119"/>
      <c r="AW130" s="101"/>
      <c r="AX130" s="101"/>
      <c r="AY130" s="101"/>
      <c r="AZ130" s="101"/>
      <c r="BA130" s="101"/>
      <c r="BB130" s="83"/>
      <c r="BD130" s="101"/>
      <c r="BQ130"/>
    </row>
    <row r="131" spans="1:69">
      <c r="A131" t="s">
        <v>305</v>
      </c>
      <c r="C131" s="110" t="s">
        <v>648</v>
      </c>
      <c r="J131" t="s">
        <v>679</v>
      </c>
      <c r="K131" s="296" t="s">
        <v>787</v>
      </c>
      <c r="L131" s="212" t="s">
        <v>149</v>
      </c>
      <c r="M131" s="77"/>
      <c r="O131" s="81">
        <f t="shared" ref="O131:O136" si="229">P131-0</f>
        <v>31</v>
      </c>
      <c r="P131" s="81">
        <f>$F$130-4</f>
        <v>31</v>
      </c>
      <c r="Q131" s="129">
        <f t="shared" ref="Q131:Q136" si="230">O131/$F$130</f>
        <v>0.88571428571428568</v>
      </c>
      <c r="R131" s="129">
        <f t="shared" ref="R131:R136" si="231">O131/P131</f>
        <v>1</v>
      </c>
      <c r="S131" s="127">
        <f t="shared" ref="S131:S136" si="232">2*(Q131*R131)/(Q131+R131)</f>
        <v>0.93939393939393934</v>
      </c>
      <c r="U131" s="81">
        <f t="shared" ref="U131:U136" si="233">V131-0</f>
        <v>9</v>
      </c>
      <c r="V131" s="81">
        <f>$G$130-0</f>
        <v>9</v>
      </c>
      <c r="W131" s="129">
        <f t="shared" ref="W131:W136" si="234">U131/$G$130</f>
        <v>1</v>
      </c>
      <c r="X131" s="129">
        <f t="shared" ref="X131:X136" si="235">U131/V131</f>
        <v>1</v>
      </c>
      <c r="Y131" s="127">
        <f t="shared" ref="Y131:Y136" si="236">2*(W131*X131)/(W131+X131)</f>
        <v>1</v>
      </c>
      <c r="AA131" s="81">
        <f>AB131-1</f>
        <v>25</v>
      </c>
      <c r="AB131" s="81">
        <f>$I$130-4</f>
        <v>26</v>
      </c>
      <c r="AC131" s="129">
        <f t="shared" ref="AC131:AC136" si="237">AA131/$I$130</f>
        <v>0.83333333333333337</v>
      </c>
      <c r="AD131" s="129">
        <f t="shared" ref="AD131:AD136" si="238">AA131/AB131</f>
        <v>0.96153846153846156</v>
      </c>
      <c r="AE131" s="127">
        <f t="shared" ref="AE131:AE136" si="239">2*(AC131*AD131)/(AC131+AD131)</f>
        <v>0.8928571428571429</v>
      </c>
      <c r="AG131">
        <f t="shared" ref="AG131:AG136" si="240">AH131-0</f>
        <v>7</v>
      </c>
      <c r="AH131">
        <v>7</v>
      </c>
      <c r="AI131" s="127">
        <f t="shared" ref="AI131:AI136" si="241">AG131/$H$130</f>
        <v>0.875</v>
      </c>
      <c r="AJ131" s="127">
        <f t="shared" si="134"/>
        <v>1</v>
      </c>
      <c r="AM131" s="122">
        <v>4</v>
      </c>
      <c r="AN131" s="101">
        <v>3</v>
      </c>
      <c r="AO131">
        <v>285</v>
      </c>
      <c r="AP131">
        <v>12</v>
      </c>
      <c r="AQ131" s="101">
        <v>8</v>
      </c>
      <c r="AR131" s="101">
        <v>6</v>
      </c>
      <c r="AS131">
        <v>4</v>
      </c>
      <c r="AT131">
        <v>4</v>
      </c>
      <c r="AU131">
        <v>0</v>
      </c>
      <c r="AV131" s="119">
        <v>5</v>
      </c>
      <c r="AW131" s="101">
        <f>($F$130-N131)/$F$130</f>
        <v>1</v>
      </c>
      <c r="AY131" s="101">
        <f>($G$130-AN131)/$G$130</f>
        <v>0.66666666666666663</v>
      </c>
      <c r="AZ131" s="101">
        <f>AR131/AQ131</f>
        <v>0.75</v>
      </c>
      <c r="BA131" s="101">
        <f>AT131/AS131</f>
        <v>1</v>
      </c>
      <c r="BB131" s="85">
        <f>(AW131+AY131+AZ131+BA131)/4</f>
        <v>0.85416666666666663</v>
      </c>
      <c r="BC131" s="13">
        <f>AP131/$H$130</f>
        <v>1.5</v>
      </c>
      <c r="BD131" s="118">
        <f>AV131/AP131</f>
        <v>0.41666666666666669</v>
      </c>
      <c r="BE131" s="13">
        <f>AO131/AP131</f>
        <v>23.75</v>
      </c>
      <c r="BF131" s="13">
        <f>AT131/$H$130</f>
        <v>0.5</v>
      </c>
      <c r="BG131" s="13">
        <f>AR131/$H$130</f>
        <v>0.75</v>
      </c>
      <c r="BQ131" t="str">
        <f>_xlfn.CONCAT($C$130," &amp; ",J131," &amp; ",Q131," &amp; ",R131," &amp; ",S131," &amp; ",W131," &amp; ",X131," &amp; ",Y131," &amp; ",AC131," &amp; ",AD131," &amp; ",AE131," &amp; ",AG131," &amp; ",AH131," &amp; ",AI131," &amp; ",AJ131, " \\ \hline")</f>
        <v>3-1 &amp; k=1 &amp; 0.885714285714286 &amp; 1 &amp; 0.939393939393939 &amp; 1 &amp; 1 &amp; 1 &amp; 0.833333333333333 &amp; 0.961538461538462 &amp; 0.892857142857143 &amp; 7 &amp; 7 &amp; 0.875 &amp; 1 \\ \hline</v>
      </c>
    </row>
    <row r="132" spans="1:69">
      <c r="A132" t="s">
        <v>306</v>
      </c>
      <c r="C132" s="98"/>
      <c r="J132" t="s">
        <v>679</v>
      </c>
      <c r="L132" s="212" t="s">
        <v>149</v>
      </c>
      <c r="M132" s="2"/>
      <c r="O132" s="81">
        <f t="shared" si="229"/>
        <v>18</v>
      </c>
      <c r="P132" s="81">
        <f>$F$130-17</f>
        <v>18</v>
      </c>
      <c r="Q132" s="129">
        <f t="shared" si="230"/>
        <v>0.51428571428571423</v>
      </c>
      <c r="R132" s="129">
        <f t="shared" si="231"/>
        <v>1</v>
      </c>
      <c r="S132" s="127">
        <f t="shared" si="232"/>
        <v>0.67924528301886788</v>
      </c>
      <c r="U132" s="81">
        <f t="shared" si="233"/>
        <v>7</v>
      </c>
      <c r="V132" s="81">
        <f>$G$130-2</f>
        <v>7</v>
      </c>
      <c r="W132" s="129">
        <f t="shared" si="234"/>
        <v>0.77777777777777779</v>
      </c>
      <c r="X132" s="129">
        <f t="shared" si="235"/>
        <v>1</v>
      </c>
      <c r="Y132" s="127">
        <f t="shared" si="236"/>
        <v>0.87500000000000011</v>
      </c>
      <c r="AA132" s="81">
        <f>AB132-0</f>
        <v>13</v>
      </c>
      <c r="AB132" s="81">
        <f>$I$130-17</f>
        <v>13</v>
      </c>
      <c r="AC132" s="129">
        <f t="shared" si="237"/>
        <v>0.43333333333333335</v>
      </c>
      <c r="AD132" s="129">
        <f t="shared" si="238"/>
        <v>1</v>
      </c>
      <c r="AE132" s="127">
        <f t="shared" si="239"/>
        <v>0.60465116279069764</v>
      </c>
      <c r="AG132">
        <f t="shared" si="240"/>
        <v>7</v>
      </c>
      <c r="AH132">
        <v>7</v>
      </c>
      <c r="AI132" s="127">
        <f t="shared" si="241"/>
        <v>0.875</v>
      </c>
      <c r="AJ132" s="127">
        <f t="shared" ref="AJ132:AJ195" si="242">AG132/AH132</f>
        <v>1</v>
      </c>
      <c r="AM132" s="122">
        <v>4</v>
      </c>
      <c r="AN132" s="101">
        <v>3</v>
      </c>
      <c r="AO132">
        <v>291</v>
      </c>
      <c r="AP132">
        <v>14</v>
      </c>
      <c r="AQ132" s="101">
        <v>9</v>
      </c>
      <c r="AR132" s="101">
        <v>7</v>
      </c>
      <c r="AS132">
        <v>4</v>
      </c>
      <c r="AT132">
        <v>4</v>
      </c>
      <c r="AU132">
        <v>1</v>
      </c>
      <c r="AV132" s="119">
        <v>7</v>
      </c>
      <c r="AW132" s="101">
        <f>($F$130-N132)/$F$130</f>
        <v>1</v>
      </c>
      <c r="AY132" s="101">
        <f>($G$130-AN132)/$G$130</f>
        <v>0.66666666666666663</v>
      </c>
      <c r="AZ132" s="101">
        <f>AR132/AQ132</f>
        <v>0.77777777777777779</v>
      </c>
      <c r="BA132" s="101">
        <f>AT132/AS132</f>
        <v>1</v>
      </c>
      <c r="BB132" s="85">
        <f>(AW132+AY132+AZ132+BA132)/4</f>
        <v>0.86111111111111105</v>
      </c>
      <c r="BC132" s="13">
        <f>AP132/$H$130</f>
        <v>1.75</v>
      </c>
      <c r="BD132" s="118">
        <f>AV132/AP132</f>
        <v>0.5</v>
      </c>
      <c r="BE132" s="13">
        <f>AO132/AP132</f>
        <v>20.785714285714285</v>
      </c>
      <c r="BF132" s="13">
        <f>AT132/$H$130</f>
        <v>0.5</v>
      </c>
      <c r="BG132" s="13">
        <f>AR132/$H$130</f>
        <v>0.875</v>
      </c>
      <c r="BQ132" t="str">
        <f t="shared" ref="BQ132:BQ136" si="243">_xlfn.CONCAT($C$130," &amp; ",J132," &amp; ",Q132," &amp; ",R132," &amp; ",S132," &amp; ",W132," &amp; ",X132," &amp; ",Y132," &amp; ",AC132," &amp; ",AD132," &amp; ",AE132," &amp; ",AG132," &amp; ",AH132," &amp; ",AI132," &amp; ",AJ132, " \\ \hline")</f>
        <v>3-1 &amp; k=1 &amp; 0.514285714285714 &amp; 1 &amp; 0.679245283018868 &amp; 0.777777777777778 &amp; 1 &amp; 0.875 &amp; 0.433333333333333 &amp; 1 &amp; 0.604651162790698 &amp; 7 &amp; 7 &amp; 0.875 &amp; 1 \\ \hline</v>
      </c>
    </row>
    <row r="133" spans="1:69">
      <c r="A133" t="s">
        <v>307</v>
      </c>
      <c r="C133" s="98"/>
      <c r="J133" t="s">
        <v>680</v>
      </c>
      <c r="L133" s="212" t="s">
        <v>698</v>
      </c>
      <c r="M133" s="77"/>
      <c r="O133" s="81">
        <f t="shared" si="229"/>
        <v>29</v>
      </c>
      <c r="P133" s="163">
        <f>$F$130-6</f>
        <v>29</v>
      </c>
      <c r="Q133" s="129">
        <f t="shared" si="230"/>
        <v>0.82857142857142863</v>
      </c>
      <c r="R133" s="129">
        <f t="shared" si="231"/>
        <v>1</v>
      </c>
      <c r="S133" s="127">
        <f t="shared" si="232"/>
        <v>0.90625</v>
      </c>
      <c r="U133" s="81">
        <f t="shared" si="233"/>
        <v>9</v>
      </c>
      <c r="V133" s="81">
        <f>$G$130-0</f>
        <v>9</v>
      </c>
      <c r="W133" s="129">
        <f t="shared" si="234"/>
        <v>1</v>
      </c>
      <c r="X133" s="129">
        <f t="shared" si="235"/>
        <v>1</v>
      </c>
      <c r="Y133" s="127">
        <f t="shared" si="236"/>
        <v>1</v>
      </c>
      <c r="AA133" s="81">
        <f>AB133-2</f>
        <v>22</v>
      </c>
      <c r="AB133" s="81">
        <f>$I$130-6</f>
        <v>24</v>
      </c>
      <c r="AC133" s="129">
        <f t="shared" si="237"/>
        <v>0.73333333333333328</v>
      </c>
      <c r="AD133" s="129">
        <f t="shared" si="238"/>
        <v>0.91666666666666663</v>
      </c>
      <c r="AE133" s="127">
        <f t="shared" si="239"/>
        <v>0.81481481481481477</v>
      </c>
      <c r="AG133">
        <f t="shared" si="240"/>
        <v>7</v>
      </c>
      <c r="AH133">
        <v>7</v>
      </c>
      <c r="AI133" s="127">
        <f t="shared" si="241"/>
        <v>0.875</v>
      </c>
      <c r="AJ133" s="127">
        <f t="shared" si="242"/>
        <v>1</v>
      </c>
      <c r="AM133" s="122">
        <v>4</v>
      </c>
      <c r="AN133" s="101">
        <v>3</v>
      </c>
      <c r="AO133">
        <v>325</v>
      </c>
      <c r="AP133">
        <v>15</v>
      </c>
      <c r="AQ133" s="101">
        <v>10</v>
      </c>
      <c r="AR133" s="101">
        <v>8</v>
      </c>
      <c r="AS133">
        <v>5</v>
      </c>
      <c r="AT133">
        <v>4</v>
      </c>
      <c r="AU133">
        <v>0</v>
      </c>
      <c r="AV133" s="119">
        <v>8</v>
      </c>
      <c r="AW133" s="101">
        <f>($F$130-N133)/$F$130</f>
        <v>1</v>
      </c>
      <c r="AY133" s="101">
        <f>($G$130-AN133)/$G$130</f>
        <v>0.66666666666666663</v>
      </c>
      <c r="AZ133" s="101">
        <f>AR133/AQ133</f>
        <v>0.8</v>
      </c>
      <c r="BA133" s="101">
        <f>AT133/AS133</f>
        <v>0.8</v>
      </c>
      <c r="BB133" s="85">
        <f>(AW133+AY133+AZ133+BA133)/4</f>
        <v>0.81666666666666665</v>
      </c>
      <c r="BC133" s="13">
        <f>AP133/$H$130</f>
        <v>1.875</v>
      </c>
      <c r="BD133" s="118">
        <f>AV133/AP133</f>
        <v>0.53333333333333333</v>
      </c>
      <c r="BE133" s="13">
        <f>AO133/AP133</f>
        <v>21.666666666666668</v>
      </c>
      <c r="BF133" s="13">
        <f>AT133/$H$130</f>
        <v>0.5</v>
      </c>
      <c r="BG133" s="13">
        <f>AR133/$H$130</f>
        <v>1</v>
      </c>
      <c r="BQ133" t="str">
        <f t="shared" si="243"/>
        <v>3-1 &amp; k=2 &amp; 0.828571428571429 &amp; 1 &amp; 0.90625 &amp; 1 &amp; 1 &amp; 1 &amp; 0.733333333333333 &amp; 0.916666666666667 &amp; 0.814814814814815 &amp; 7 &amp; 7 &amp; 0.875 &amp; 1 \\ \hline</v>
      </c>
    </row>
    <row r="134" spans="1:69">
      <c r="A134" t="s">
        <v>308</v>
      </c>
      <c r="C134" s="98"/>
      <c r="J134" t="s">
        <v>680</v>
      </c>
      <c r="L134" s="212" t="s">
        <v>698</v>
      </c>
      <c r="M134" s="77"/>
      <c r="O134" s="81">
        <f t="shared" si="229"/>
        <v>19</v>
      </c>
      <c r="P134" s="81">
        <f>$F$130-16</f>
        <v>19</v>
      </c>
      <c r="Q134" s="129">
        <f t="shared" si="230"/>
        <v>0.54285714285714282</v>
      </c>
      <c r="R134" s="129">
        <f t="shared" si="231"/>
        <v>1</v>
      </c>
      <c r="S134" s="127">
        <f t="shared" si="232"/>
        <v>0.70370370370370372</v>
      </c>
      <c r="U134" s="81">
        <f t="shared" si="233"/>
        <v>9</v>
      </c>
      <c r="V134" s="81">
        <f>$G$130</f>
        <v>9</v>
      </c>
      <c r="W134" s="129">
        <f t="shared" si="234"/>
        <v>1</v>
      </c>
      <c r="X134" s="129">
        <f t="shared" si="235"/>
        <v>1</v>
      </c>
      <c r="Y134" s="127">
        <f t="shared" si="236"/>
        <v>1</v>
      </c>
      <c r="AA134" s="81">
        <f>AB134-2</f>
        <v>12</v>
      </c>
      <c r="AB134" s="81">
        <f>$I$130-16</f>
        <v>14</v>
      </c>
      <c r="AC134" s="129">
        <f t="shared" si="237"/>
        <v>0.4</v>
      </c>
      <c r="AD134" s="129">
        <f t="shared" si="238"/>
        <v>0.8571428571428571</v>
      </c>
      <c r="AE134" s="127">
        <f t="shared" si="239"/>
        <v>0.54545454545454553</v>
      </c>
      <c r="AG134">
        <f t="shared" si="240"/>
        <v>8</v>
      </c>
      <c r="AH134">
        <v>8</v>
      </c>
      <c r="AI134" s="127">
        <f t="shared" si="241"/>
        <v>1</v>
      </c>
      <c r="AJ134" s="127">
        <f t="shared" si="242"/>
        <v>1</v>
      </c>
      <c r="AM134" s="122">
        <v>0</v>
      </c>
      <c r="AN134" s="101">
        <v>0</v>
      </c>
      <c r="AO134">
        <v>280</v>
      </c>
      <c r="AP134">
        <v>12</v>
      </c>
      <c r="AQ134" s="101">
        <v>10</v>
      </c>
      <c r="AR134" s="101">
        <v>10</v>
      </c>
      <c r="AS134">
        <v>2</v>
      </c>
      <c r="AT134">
        <v>2</v>
      </c>
      <c r="AU134">
        <v>0</v>
      </c>
      <c r="AV134" s="119">
        <v>7</v>
      </c>
      <c r="AW134" s="101">
        <f>($F$130-N134)/$F$130</f>
        <v>1</v>
      </c>
      <c r="AY134" s="101">
        <f>($G$130-AN134)/$G$130</f>
        <v>1</v>
      </c>
      <c r="AZ134" s="101">
        <f>AR134/AQ134</f>
        <v>1</v>
      </c>
      <c r="BA134" s="101">
        <f>AT134/AS134</f>
        <v>1</v>
      </c>
      <c r="BB134" s="85">
        <f>(AW134+AY134+AZ134+BA134)/4</f>
        <v>1</v>
      </c>
      <c r="BC134" s="13">
        <f>AP134/$H$130</f>
        <v>1.5</v>
      </c>
      <c r="BD134" s="118">
        <f>AV134/AP134</f>
        <v>0.58333333333333337</v>
      </c>
      <c r="BE134" s="13">
        <f>AO134/AP134</f>
        <v>23.333333333333332</v>
      </c>
      <c r="BF134" s="13">
        <f>AT134/$H$130</f>
        <v>0.25</v>
      </c>
      <c r="BG134" s="13">
        <f>AR134/$H$130</f>
        <v>1.25</v>
      </c>
      <c r="BQ134" t="str">
        <f t="shared" si="243"/>
        <v>3-1 &amp; k=2 &amp; 0.542857142857143 &amp; 1 &amp; 0.703703703703704 &amp; 1 &amp; 1 &amp; 1 &amp; 0.4 &amp; 0.857142857142857 &amp; 0.545454545454546 &amp; 8 &amp; 8 &amp; 1 &amp; 1 \\ \hline</v>
      </c>
    </row>
    <row r="135" spans="1:69">
      <c r="A135" t="s">
        <v>309</v>
      </c>
      <c r="C135" s="98"/>
      <c r="J135" t="s">
        <v>681</v>
      </c>
      <c r="L135" s="212" t="s">
        <v>699</v>
      </c>
      <c r="O135" s="81">
        <f t="shared" si="229"/>
        <v>29</v>
      </c>
      <c r="P135" s="81">
        <f>$F$130-6</f>
        <v>29</v>
      </c>
      <c r="Q135" s="129">
        <f t="shared" si="230"/>
        <v>0.82857142857142863</v>
      </c>
      <c r="R135" s="129">
        <f t="shared" si="231"/>
        <v>1</v>
      </c>
      <c r="S135" s="127">
        <f t="shared" si="232"/>
        <v>0.90625</v>
      </c>
      <c r="U135" s="81">
        <f t="shared" si="233"/>
        <v>9</v>
      </c>
      <c r="V135" s="81">
        <f>$G$130</f>
        <v>9</v>
      </c>
      <c r="W135" s="129">
        <f t="shared" si="234"/>
        <v>1</v>
      </c>
      <c r="X135" s="129">
        <f t="shared" si="235"/>
        <v>1</v>
      </c>
      <c r="Y135" s="127">
        <f t="shared" si="236"/>
        <v>1</v>
      </c>
      <c r="AA135" s="81">
        <f>AB135-3</f>
        <v>21</v>
      </c>
      <c r="AB135" s="81">
        <f>$I$130-6</f>
        <v>24</v>
      </c>
      <c r="AC135" s="129">
        <f t="shared" si="237"/>
        <v>0.7</v>
      </c>
      <c r="AD135" s="129">
        <f t="shared" si="238"/>
        <v>0.875</v>
      </c>
      <c r="AE135" s="177">
        <f t="shared" si="239"/>
        <v>0.77777777777777768</v>
      </c>
      <c r="AG135">
        <f t="shared" si="240"/>
        <v>10</v>
      </c>
      <c r="AH135">
        <v>10</v>
      </c>
      <c r="AI135" s="127">
        <f t="shared" si="241"/>
        <v>1.25</v>
      </c>
      <c r="AJ135" s="127">
        <f t="shared" si="242"/>
        <v>1</v>
      </c>
      <c r="BQ135" t="str">
        <f t="shared" si="243"/>
        <v>3-1 &amp; k=3 &amp; 0.828571428571429 &amp; 1 &amp; 0.90625 &amp; 1 &amp; 1 &amp; 1 &amp; 0.7 &amp; 0.875 &amp; 0.777777777777778 &amp; 10 &amp; 10 &amp; 1.25 &amp; 1 \\ \hline</v>
      </c>
    </row>
    <row r="136" spans="1:69">
      <c r="A136" t="s">
        <v>667</v>
      </c>
      <c r="C136" s="98"/>
      <c r="J136" t="s">
        <v>681</v>
      </c>
      <c r="L136" s="212" t="s">
        <v>699</v>
      </c>
      <c r="O136" s="81">
        <f t="shared" si="229"/>
        <v>22</v>
      </c>
      <c r="P136" s="81">
        <f>$F$130-13</f>
        <v>22</v>
      </c>
      <c r="Q136" s="129">
        <f t="shared" si="230"/>
        <v>0.62857142857142856</v>
      </c>
      <c r="R136" s="129">
        <f t="shared" si="231"/>
        <v>1</v>
      </c>
      <c r="S136" s="127">
        <f t="shared" si="232"/>
        <v>0.77192982456140347</v>
      </c>
      <c r="U136" s="81">
        <f t="shared" si="233"/>
        <v>9</v>
      </c>
      <c r="V136" s="81">
        <f>$G$130</f>
        <v>9</v>
      </c>
      <c r="W136" s="129">
        <f t="shared" si="234"/>
        <v>1</v>
      </c>
      <c r="X136" s="129">
        <f t="shared" si="235"/>
        <v>1</v>
      </c>
      <c r="Y136" s="127">
        <f t="shared" si="236"/>
        <v>1</v>
      </c>
      <c r="AA136" s="81">
        <f>AB136-1</f>
        <v>16</v>
      </c>
      <c r="AB136" s="81">
        <f>$I$130-13</f>
        <v>17</v>
      </c>
      <c r="AC136" s="129">
        <f t="shared" si="237"/>
        <v>0.53333333333333333</v>
      </c>
      <c r="AD136" s="129">
        <f t="shared" si="238"/>
        <v>0.94117647058823528</v>
      </c>
      <c r="AE136" s="177">
        <f t="shared" si="239"/>
        <v>0.68085106382978722</v>
      </c>
      <c r="AG136">
        <f t="shared" si="240"/>
        <v>12</v>
      </c>
      <c r="AH136">
        <v>12</v>
      </c>
      <c r="AI136" s="127">
        <f t="shared" si="241"/>
        <v>1.5</v>
      </c>
      <c r="AJ136" s="127">
        <f t="shared" si="242"/>
        <v>1</v>
      </c>
      <c r="BQ136" t="str">
        <f t="shared" si="243"/>
        <v>3-1 &amp; k=3 &amp; 0.628571428571429 &amp; 1 &amp; 0.771929824561403 &amp; 1 &amp; 1 &amp; 1 &amp; 0.533333333333333 &amp; 0.941176470588235 &amp; 0.680851063829787 &amp; 12 &amp; 12 &amp; 1.5 &amp; 1 \\ \hline</v>
      </c>
    </row>
    <row r="137" spans="1:69">
      <c r="A137" s="14"/>
      <c r="C137" s="98"/>
      <c r="L137" s="174"/>
      <c r="Q137" s="129"/>
      <c r="R137" s="129"/>
      <c r="S137" s="127"/>
      <c r="W137" s="129"/>
      <c r="X137" s="129"/>
      <c r="Y137" s="127"/>
      <c r="AC137" s="129"/>
      <c r="AD137" s="129"/>
      <c r="AE137" s="177"/>
      <c r="AG137"/>
      <c r="AH137"/>
      <c r="AI137" s="127"/>
      <c r="AJ137" s="127"/>
    </row>
    <row r="138" spans="1:69" s="75" customFormat="1">
      <c r="A138" s="75" t="s">
        <v>324</v>
      </c>
      <c r="B138" s="94">
        <v>45179</v>
      </c>
      <c r="C138" s="93" t="s">
        <v>153</v>
      </c>
      <c r="D138" s="78">
        <f>VLOOKUP($C$138,Overview!$Q$2:$AS$64,23,FALSE)</f>
        <v>0.71688008599465802</v>
      </c>
      <c r="E138" s="78" t="str">
        <f>VLOOKUP($C$138,Overview!$Q$2:$AS$64,24,FALSE)</f>
        <v>medium</v>
      </c>
      <c r="F138" s="75">
        <f>VLOOKUP(C138,Overview!$Q$2:$AS$64,13,FALSE)</f>
        <v>33</v>
      </c>
      <c r="G138" s="75">
        <f>VLOOKUP(C138,Overview!$Q$2:$AS$64,16,FALSE)</f>
        <v>12</v>
      </c>
      <c r="H138" s="75">
        <f>VLOOKUP(C138,Overview!$Q$2:$AS$64,18,FALSE)</f>
        <v>15</v>
      </c>
      <c r="I138" s="75">
        <f>VLOOKUP($C$138,Overview!$Q$2:$AS$64,19,FALSE)</f>
        <v>29</v>
      </c>
      <c r="K138" s="294" t="str">
        <f>VLOOKUP($C$138,Overview!$Q$2:$AS$64,5,FALSE)</f>
        <v>5-2, 5-1</v>
      </c>
      <c r="L138" s="295" t="s">
        <v>785</v>
      </c>
      <c r="N138" s="115"/>
      <c r="O138" s="97"/>
      <c r="P138" s="97"/>
      <c r="Q138" s="130"/>
      <c r="R138" s="130"/>
      <c r="S138" s="128"/>
      <c r="T138" s="115"/>
      <c r="U138" s="97"/>
      <c r="V138" s="97"/>
      <c r="W138" s="130"/>
      <c r="X138" s="130"/>
      <c r="Y138" s="128"/>
      <c r="Z138" s="115"/>
      <c r="AA138" s="97"/>
      <c r="AB138" s="97"/>
      <c r="AC138" s="130"/>
      <c r="AD138" s="130"/>
      <c r="AE138" s="128"/>
      <c r="AF138" s="115"/>
      <c r="AI138" s="128"/>
      <c r="AJ138" s="127"/>
      <c r="AK138" s="97"/>
      <c r="AL138" s="115"/>
      <c r="AM138" s="122"/>
      <c r="AN138" s="101"/>
      <c r="AQ138" s="101"/>
      <c r="AR138" s="101"/>
      <c r="AV138" s="119"/>
      <c r="AW138" s="101"/>
      <c r="AX138" s="101"/>
      <c r="AY138" s="101"/>
      <c r="AZ138" s="101"/>
      <c r="BA138" s="101"/>
      <c r="BB138" s="83"/>
      <c r="BD138" s="101"/>
      <c r="BQ138"/>
    </row>
    <row r="139" spans="1:69">
      <c r="A139" t="s">
        <v>305</v>
      </c>
      <c r="C139" s="98"/>
      <c r="J139" t="s">
        <v>679</v>
      </c>
      <c r="L139" s="211" t="s">
        <v>152</v>
      </c>
      <c r="M139" s="77"/>
      <c r="O139" s="81">
        <f>P139-0</f>
        <v>33</v>
      </c>
      <c r="P139" s="81">
        <f>$F$138-0</f>
        <v>33</v>
      </c>
      <c r="Q139" s="129">
        <f t="shared" ref="Q139:Q144" si="244">O139/$F$138</f>
        <v>1</v>
      </c>
      <c r="R139" s="129">
        <f t="shared" ref="R139:R144" si="245">O139/P139</f>
        <v>1</v>
      </c>
      <c r="S139" s="127">
        <f t="shared" ref="S139:S144" si="246">2*(Q139*R139)/(Q139+R139)</f>
        <v>1</v>
      </c>
      <c r="U139" s="81">
        <f>V139-0</f>
        <v>12</v>
      </c>
      <c r="V139" s="81">
        <f>$G$138</f>
        <v>12</v>
      </c>
      <c r="W139" s="129">
        <f t="shared" ref="W139:W144" si="247">U139/$G$138</f>
        <v>1</v>
      </c>
      <c r="X139" s="129">
        <f t="shared" ref="X139:X144" si="248">U139/V139</f>
        <v>1</v>
      </c>
      <c r="Y139" s="127">
        <f t="shared" ref="Y139:Y144" si="249">2*(W139*X139)/(W139+X139)</f>
        <v>1</v>
      </c>
      <c r="AA139" s="81">
        <f>AB139-0</f>
        <v>29</v>
      </c>
      <c r="AB139" s="81">
        <f>$I$138-0</f>
        <v>29</v>
      </c>
      <c r="AC139" s="129">
        <f t="shared" ref="AC139:AC144" si="250">AA139/$I$138</f>
        <v>1</v>
      </c>
      <c r="AD139" s="129">
        <f t="shared" ref="AD139:AD144" si="251">AA139/AB139</f>
        <v>1</v>
      </c>
      <c r="AE139" s="127">
        <f t="shared" ref="AE139:AE144" si="252">2*(AC139*AD139)/(AC139+AD139)</f>
        <v>1</v>
      </c>
      <c r="AG139">
        <f>AH139-0</f>
        <v>7</v>
      </c>
      <c r="AH139">
        <v>7</v>
      </c>
      <c r="AI139" s="127">
        <f t="shared" ref="AI139:AI144" si="253">AG139/$H$138</f>
        <v>0.46666666666666667</v>
      </c>
      <c r="AJ139" s="127">
        <f t="shared" si="242"/>
        <v>1</v>
      </c>
      <c r="AM139" s="122">
        <v>1</v>
      </c>
      <c r="AN139" s="101">
        <v>1</v>
      </c>
      <c r="AO139">
        <v>333</v>
      </c>
      <c r="AP139">
        <v>15</v>
      </c>
      <c r="AQ139" s="101">
        <v>15</v>
      </c>
      <c r="AR139" s="101">
        <v>15</v>
      </c>
      <c r="AS139">
        <v>0</v>
      </c>
      <c r="AT139">
        <v>0</v>
      </c>
      <c r="AU139">
        <v>0</v>
      </c>
      <c r="AV139" s="119">
        <v>13</v>
      </c>
      <c r="AW139" s="101">
        <f>($F$138-N139)/$F$138</f>
        <v>1</v>
      </c>
      <c r="AY139" s="101">
        <f>($G$138-AN139)/$G$138</f>
        <v>0.91666666666666663</v>
      </c>
      <c r="AZ139" s="101">
        <f>AR139/AQ139</f>
        <v>1</v>
      </c>
      <c r="BA139" s="101">
        <v>0</v>
      </c>
      <c r="BB139" s="85">
        <f>(AW139+AY139+AZ139+BA139)/4</f>
        <v>0.72916666666666663</v>
      </c>
      <c r="BC139" s="13">
        <f>AP139/$H$138</f>
        <v>1</v>
      </c>
      <c r="BD139" s="118">
        <f>AV139/AP139</f>
        <v>0.8666666666666667</v>
      </c>
      <c r="BE139" s="13">
        <f>AO139/AP139</f>
        <v>22.2</v>
      </c>
      <c r="BF139" s="13">
        <f>AT139/$H$138</f>
        <v>0</v>
      </c>
      <c r="BG139" s="13">
        <f>AR139/$H$138</f>
        <v>1</v>
      </c>
      <c r="BQ139" t="str">
        <f>_xlfn.CONCAT($C$138," &amp; ",J139," &amp; ",Q139," &amp; ",R139," &amp; ",S139," &amp; ",W139," &amp; ",X139," &amp; ",Y139," &amp; ",AC139," &amp; ",AD139," &amp; ",AE139," &amp; ",AG139," &amp; ",AH139," &amp; ",AI139," &amp; ",AJ139, " \\ \hline")</f>
        <v>5-3 &amp; k=1 &amp; 1 &amp; 1 &amp; 1 &amp; 1 &amp; 1 &amp; 1 &amp; 1 &amp; 1 &amp; 1 &amp; 7 &amp; 7 &amp; 0.466666666666667 &amp; 1 \\ \hline</v>
      </c>
    </row>
    <row r="140" spans="1:69">
      <c r="A140" t="s">
        <v>306</v>
      </c>
      <c r="C140" s="98"/>
      <c r="J140" t="s">
        <v>679</v>
      </c>
      <c r="L140" s="211" t="s">
        <v>152</v>
      </c>
      <c r="M140" s="77"/>
      <c r="O140" s="81">
        <f>P140-2</f>
        <v>31</v>
      </c>
      <c r="P140" s="81">
        <f>$F$138</f>
        <v>33</v>
      </c>
      <c r="Q140" s="129">
        <f t="shared" si="244"/>
        <v>0.93939393939393945</v>
      </c>
      <c r="R140" s="129">
        <f t="shared" si="245"/>
        <v>0.93939393939393945</v>
      </c>
      <c r="S140" s="127">
        <f t="shared" si="246"/>
        <v>0.93939393939393945</v>
      </c>
      <c r="U140" s="81">
        <f>V140-2</f>
        <v>10</v>
      </c>
      <c r="V140" s="81">
        <f>$G$138</f>
        <v>12</v>
      </c>
      <c r="W140" s="129">
        <f t="shared" si="247"/>
        <v>0.83333333333333337</v>
      </c>
      <c r="X140" s="129">
        <f t="shared" si="248"/>
        <v>0.83333333333333337</v>
      </c>
      <c r="Y140" s="127">
        <f t="shared" si="249"/>
        <v>0.83333333333333337</v>
      </c>
      <c r="AA140" s="81">
        <f>AB140-2</f>
        <v>27</v>
      </c>
      <c r="AB140" s="81">
        <f>$I$138</f>
        <v>29</v>
      </c>
      <c r="AC140" s="129">
        <f t="shared" si="250"/>
        <v>0.93103448275862066</v>
      </c>
      <c r="AD140" s="129">
        <f t="shared" si="251"/>
        <v>0.93103448275862066</v>
      </c>
      <c r="AE140" s="127">
        <f t="shared" si="252"/>
        <v>0.93103448275862066</v>
      </c>
      <c r="AG140">
        <f>AH140-0</f>
        <v>7</v>
      </c>
      <c r="AH140">
        <v>7</v>
      </c>
      <c r="AI140" s="127">
        <f t="shared" si="253"/>
        <v>0.46666666666666667</v>
      </c>
      <c r="AJ140" s="127">
        <f t="shared" si="242"/>
        <v>1</v>
      </c>
      <c r="AM140" s="122">
        <v>1</v>
      </c>
      <c r="AN140" s="101">
        <v>1</v>
      </c>
      <c r="AO140">
        <v>345</v>
      </c>
      <c r="AP140" s="107">
        <v>16</v>
      </c>
      <c r="AQ140" s="101">
        <v>14</v>
      </c>
      <c r="AR140" s="101">
        <v>13</v>
      </c>
      <c r="AS140">
        <v>1</v>
      </c>
      <c r="AT140">
        <v>1</v>
      </c>
      <c r="AU140">
        <v>1</v>
      </c>
      <c r="AV140" s="119">
        <v>7</v>
      </c>
      <c r="AW140" s="101">
        <f>($F$138-N140)/$F$138</f>
        <v>1</v>
      </c>
      <c r="AY140" s="101">
        <f>($G$138-AN140)/$G$138</f>
        <v>0.91666666666666663</v>
      </c>
      <c r="AZ140" s="101">
        <f>AR140/AQ140</f>
        <v>0.9285714285714286</v>
      </c>
      <c r="BA140" s="101">
        <f>AT140/AS140</f>
        <v>1</v>
      </c>
      <c r="BB140" s="85">
        <f>(AW140+AY140+AZ140+BA140)/4</f>
        <v>0.96130952380952372</v>
      </c>
      <c r="BC140" s="13">
        <f>AP140/$H$138</f>
        <v>1.0666666666666667</v>
      </c>
      <c r="BD140" s="118">
        <f>AV140/AP140</f>
        <v>0.4375</v>
      </c>
      <c r="BE140" s="13">
        <f>AO140/AP140</f>
        <v>21.5625</v>
      </c>
      <c r="BF140" s="13">
        <f>AT140/$H$138</f>
        <v>6.6666666666666666E-2</v>
      </c>
      <c r="BG140" s="13">
        <f>AR140/$H$138</f>
        <v>0.8666666666666667</v>
      </c>
      <c r="BQ140" t="str">
        <f t="shared" ref="BQ140:BQ144" si="254">_xlfn.CONCAT($C$138," &amp; ",J140," &amp; ",Q140," &amp; ",R140," &amp; ",S140," &amp; ",W140," &amp; ",X140," &amp; ",Y140," &amp; ",AC140," &amp; ",AD140," &amp; ",AE140," &amp; ",AG140," &amp; ",AH140," &amp; ",AI140," &amp; ",AJ140, " \\ \hline")</f>
        <v>5-3 &amp; k=1 &amp; 0.939393939393939 &amp; 0.939393939393939 &amp; 0.939393939393939 &amp; 0.833333333333333 &amp; 0.833333333333333 &amp; 0.833333333333333 &amp; 0.931034482758621 &amp; 0.931034482758621 &amp; 0.931034482758621 &amp; 7 &amp; 7 &amp; 0.466666666666667 &amp; 1 \\ \hline</v>
      </c>
    </row>
    <row r="141" spans="1:69">
      <c r="A141" t="s">
        <v>307</v>
      </c>
      <c r="C141" s="98"/>
      <c r="J141" t="s">
        <v>680</v>
      </c>
      <c r="K141" s="107"/>
      <c r="L141" s="211" t="s">
        <v>600</v>
      </c>
      <c r="M141" s="77"/>
      <c r="O141" s="81">
        <f>P141-2</f>
        <v>31</v>
      </c>
      <c r="P141" s="81">
        <f>$F$138</f>
        <v>33</v>
      </c>
      <c r="Q141" s="129">
        <f t="shared" si="244"/>
        <v>0.93939393939393945</v>
      </c>
      <c r="R141" s="129">
        <f t="shared" si="245"/>
        <v>0.93939393939393945</v>
      </c>
      <c r="S141" s="127">
        <f t="shared" si="246"/>
        <v>0.93939393939393945</v>
      </c>
      <c r="U141" s="81">
        <f>V141-2</f>
        <v>10</v>
      </c>
      <c r="V141" s="81">
        <f>$G$138</f>
        <v>12</v>
      </c>
      <c r="W141" s="129">
        <f t="shared" si="247"/>
        <v>0.83333333333333337</v>
      </c>
      <c r="X141" s="129">
        <f t="shared" si="248"/>
        <v>0.83333333333333337</v>
      </c>
      <c r="Y141" s="127">
        <f t="shared" si="249"/>
        <v>0.83333333333333337</v>
      </c>
      <c r="AA141" s="81">
        <f>AB141-3</f>
        <v>26</v>
      </c>
      <c r="AB141" s="81">
        <f>$I$138</f>
        <v>29</v>
      </c>
      <c r="AC141" s="129">
        <f t="shared" si="250"/>
        <v>0.89655172413793105</v>
      </c>
      <c r="AD141" s="129">
        <f t="shared" si="251"/>
        <v>0.89655172413793105</v>
      </c>
      <c r="AE141" s="127">
        <f t="shared" si="252"/>
        <v>0.89655172413793105</v>
      </c>
      <c r="AG141">
        <f>AH141-0</f>
        <v>6</v>
      </c>
      <c r="AH141">
        <v>6</v>
      </c>
      <c r="AI141" s="127">
        <f t="shared" si="253"/>
        <v>0.4</v>
      </c>
      <c r="AJ141" s="127">
        <f t="shared" si="242"/>
        <v>1</v>
      </c>
      <c r="AM141" s="122">
        <v>1</v>
      </c>
      <c r="AN141" s="101">
        <v>1</v>
      </c>
      <c r="AO141">
        <v>294</v>
      </c>
      <c r="AP141" s="107">
        <v>14</v>
      </c>
      <c r="AQ141" s="101">
        <v>14</v>
      </c>
      <c r="AR141" s="101">
        <v>13</v>
      </c>
      <c r="AS141">
        <v>0</v>
      </c>
      <c r="AT141">
        <v>0</v>
      </c>
      <c r="AU141">
        <v>0</v>
      </c>
      <c r="AV141" s="119">
        <v>9</v>
      </c>
      <c r="AW141" s="101">
        <f>($F$138-N141)/$F$138</f>
        <v>1</v>
      </c>
      <c r="AY141" s="101">
        <f>($G$138-AN141)/$G$138</f>
        <v>0.91666666666666663</v>
      </c>
      <c r="AZ141" s="101">
        <f>AR141/AQ141</f>
        <v>0.9285714285714286</v>
      </c>
      <c r="BA141" s="101">
        <v>0</v>
      </c>
      <c r="BB141" s="85">
        <f>(AW141+AY141+AZ141+BA141)/4</f>
        <v>0.71130952380952372</v>
      </c>
      <c r="BC141" s="13">
        <f>AP141/$H$138</f>
        <v>0.93333333333333335</v>
      </c>
      <c r="BD141" s="118">
        <f>AV141/AP141</f>
        <v>0.6428571428571429</v>
      </c>
      <c r="BE141" s="13">
        <f>AO141/AP141</f>
        <v>21</v>
      </c>
      <c r="BF141" s="13">
        <f>AT141/$H$138</f>
        <v>0</v>
      </c>
      <c r="BG141" s="13">
        <f>AR141/$H$138</f>
        <v>0.8666666666666667</v>
      </c>
      <c r="BQ141" t="str">
        <f t="shared" si="254"/>
        <v>5-3 &amp; k=2 &amp; 0.939393939393939 &amp; 0.939393939393939 &amp; 0.939393939393939 &amp; 0.833333333333333 &amp; 0.833333333333333 &amp; 0.833333333333333 &amp; 0.896551724137931 &amp; 0.896551724137931 &amp; 0.896551724137931 &amp; 6 &amp; 6 &amp; 0.4 &amp; 1 \\ \hline</v>
      </c>
    </row>
    <row r="142" spans="1:69">
      <c r="A142" t="s">
        <v>308</v>
      </c>
      <c r="C142" s="98"/>
      <c r="J142" t="s">
        <v>680</v>
      </c>
      <c r="L142" s="211" t="s">
        <v>600</v>
      </c>
      <c r="M142" s="77"/>
      <c r="O142" s="81">
        <f>P142-0</f>
        <v>33</v>
      </c>
      <c r="P142" s="81">
        <f>$F$138-0</f>
        <v>33</v>
      </c>
      <c r="Q142" s="129">
        <f t="shared" si="244"/>
        <v>1</v>
      </c>
      <c r="R142" s="129">
        <f t="shared" si="245"/>
        <v>1</v>
      </c>
      <c r="S142" s="127">
        <f t="shared" si="246"/>
        <v>1</v>
      </c>
      <c r="U142" s="81">
        <f>V142-0</f>
        <v>12</v>
      </c>
      <c r="V142" s="81">
        <f>$G$138-0</f>
        <v>12</v>
      </c>
      <c r="W142" s="129">
        <f t="shared" si="247"/>
        <v>1</v>
      </c>
      <c r="X142" s="129">
        <f t="shared" si="248"/>
        <v>1</v>
      </c>
      <c r="Y142" s="127">
        <f t="shared" si="249"/>
        <v>1</v>
      </c>
      <c r="AA142" s="81">
        <f>AB142-0</f>
        <v>29</v>
      </c>
      <c r="AB142" s="81">
        <f>$I$138</f>
        <v>29</v>
      </c>
      <c r="AC142" s="129">
        <f t="shared" si="250"/>
        <v>1</v>
      </c>
      <c r="AD142" s="129">
        <f t="shared" si="251"/>
        <v>1</v>
      </c>
      <c r="AE142" s="127">
        <f t="shared" si="252"/>
        <v>1</v>
      </c>
      <c r="AG142">
        <f>AH142-0</f>
        <v>7</v>
      </c>
      <c r="AH142">
        <v>7</v>
      </c>
      <c r="AI142" s="127">
        <f t="shared" si="253"/>
        <v>0.46666666666666667</v>
      </c>
      <c r="AJ142" s="127">
        <f t="shared" si="242"/>
        <v>1</v>
      </c>
      <c r="AM142" s="122">
        <v>1</v>
      </c>
      <c r="AN142" s="101">
        <v>1</v>
      </c>
      <c r="AO142">
        <v>314</v>
      </c>
      <c r="AP142">
        <v>18</v>
      </c>
      <c r="AQ142" s="101">
        <v>18</v>
      </c>
      <c r="AR142" s="101">
        <v>17</v>
      </c>
      <c r="AS142">
        <v>0</v>
      </c>
      <c r="AT142">
        <v>0</v>
      </c>
      <c r="AU142">
        <v>0</v>
      </c>
      <c r="AV142" s="119">
        <v>15</v>
      </c>
      <c r="AW142" s="101">
        <f>($F$138-N142)/$F$138</f>
        <v>1</v>
      </c>
      <c r="AY142" s="101">
        <f>($G$138-AN142)/$G$138</f>
        <v>0.91666666666666663</v>
      </c>
      <c r="AZ142" s="101">
        <f>AR142/AQ142</f>
        <v>0.94444444444444442</v>
      </c>
      <c r="BA142" s="101">
        <v>0</v>
      </c>
      <c r="BB142" s="85">
        <f>(AW142+AY142+AZ142+BA142)/4</f>
        <v>0.71527777777777768</v>
      </c>
      <c r="BC142" s="13">
        <f>AP142/$H$138</f>
        <v>1.2</v>
      </c>
      <c r="BD142" s="118">
        <f>AV142/AP142</f>
        <v>0.83333333333333337</v>
      </c>
      <c r="BE142" s="13">
        <f>AO142/AP142</f>
        <v>17.444444444444443</v>
      </c>
      <c r="BF142" s="13">
        <f>AT142/$H$138</f>
        <v>0</v>
      </c>
      <c r="BG142" s="13">
        <f>AR142/$H$138</f>
        <v>1.1333333333333333</v>
      </c>
      <c r="BQ142" t="str">
        <f t="shared" si="254"/>
        <v>5-3 &amp; k=2 &amp; 1 &amp; 1 &amp; 1 &amp; 1 &amp; 1 &amp; 1 &amp; 1 &amp; 1 &amp; 1 &amp; 7 &amp; 7 &amp; 0.466666666666667 &amp; 1 \\ \hline</v>
      </c>
    </row>
    <row r="143" spans="1:69">
      <c r="A143" t="s">
        <v>309</v>
      </c>
      <c r="C143" s="98"/>
      <c r="J143" t="s">
        <v>681</v>
      </c>
      <c r="L143" s="211" t="s">
        <v>695</v>
      </c>
      <c r="O143" s="81">
        <f>P143-0</f>
        <v>33</v>
      </c>
      <c r="P143" s="81">
        <f>$F$138-0</f>
        <v>33</v>
      </c>
      <c r="Q143" s="129">
        <f t="shared" si="244"/>
        <v>1</v>
      </c>
      <c r="R143" s="129">
        <f t="shared" si="245"/>
        <v>1</v>
      </c>
      <c r="S143" s="127">
        <f t="shared" si="246"/>
        <v>1</v>
      </c>
      <c r="U143" s="81">
        <f>V143-0</f>
        <v>12</v>
      </c>
      <c r="V143" s="81">
        <f>$G$138-0</f>
        <v>12</v>
      </c>
      <c r="W143" s="129">
        <f t="shared" si="247"/>
        <v>1</v>
      </c>
      <c r="X143" s="129">
        <f t="shared" si="248"/>
        <v>1</v>
      </c>
      <c r="Y143" s="127">
        <f t="shared" si="249"/>
        <v>1</v>
      </c>
      <c r="AA143" s="81">
        <f>AB143-0</f>
        <v>29</v>
      </c>
      <c r="AB143" s="81">
        <f>$I$138</f>
        <v>29</v>
      </c>
      <c r="AC143" s="129">
        <f t="shared" si="250"/>
        <v>1</v>
      </c>
      <c r="AD143" s="129">
        <f t="shared" si="251"/>
        <v>1</v>
      </c>
      <c r="AE143" s="127">
        <f t="shared" si="252"/>
        <v>1</v>
      </c>
      <c r="AG143">
        <f>AH143-0</f>
        <v>7</v>
      </c>
      <c r="AH143">
        <v>7</v>
      </c>
      <c r="AI143" s="127">
        <f t="shared" si="253"/>
        <v>0.46666666666666667</v>
      </c>
      <c r="AJ143" s="127">
        <f t="shared" si="242"/>
        <v>1</v>
      </c>
      <c r="BQ143" t="str">
        <f t="shared" si="254"/>
        <v>5-3 &amp; k=3 &amp; 1 &amp; 1 &amp; 1 &amp; 1 &amp; 1 &amp; 1 &amp; 1 &amp; 1 &amp; 1 &amp; 7 &amp; 7 &amp; 0.466666666666667 &amp; 1 \\ \hline</v>
      </c>
    </row>
    <row r="144" spans="1:69">
      <c r="A144" t="s">
        <v>667</v>
      </c>
      <c r="C144" s="98"/>
      <c r="J144" t="s">
        <v>681</v>
      </c>
      <c r="L144" s="211" t="s">
        <v>695</v>
      </c>
      <c r="O144" s="81">
        <f>P144-0</f>
        <v>33</v>
      </c>
      <c r="P144" s="81">
        <f>$F$138-0</f>
        <v>33</v>
      </c>
      <c r="Q144" s="129">
        <f t="shared" si="244"/>
        <v>1</v>
      </c>
      <c r="R144" s="129">
        <f t="shared" si="245"/>
        <v>1</v>
      </c>
      <c r="S144" s="127">
        <f t="shared" si="246"/>
        <v>1</v>
      </c>
      <c r="U144" s="81">
        <f>V144-0</f>
        <v>12</v>
      </c>
      <c r="V144" s="81">
        <f>$G$138-0</f>
        <v>12</v>
      </c>
      <c r="W144" s="129">
        <f t="shared" si="247"/>
        <v>1</v>
      </c>
      <c r="X144" s="129">
        <f t="shared" si="248"/>
        <v>1</v>
      </c>
      <c r="Y144" s="127">
        <f t="shared" si="249"/>
        <v>1</v>
      </c>
      <c r="AA144" s="81">
        <f>AB144-1</f>
        <v>28</v>
      </c>
      <c r="AB144" s="81">
        <f>$I$138</f>
        <v>29</v>
      </c>
      <c r="AC144" s="129">
        <f t="shared" si="250"/>
        <v>0.96551724137931039</v>
      </c>
      <c r="AD144" s="129">
        <f t="shared" si="251"/>
        <v>0.96551724137931039</v>
      </c>
      <c r="AE144" s="127">
        <f t="shared" si="252"/>
        <v>0.96551724137931039</v>
      </c>
      <c r="AG144">
        <f>AH144-2</f>
        <v>6</v>
      </c>
      <c r="AH144">
        <v>8</v>
      </c>
      <c r="AI144" s="127">
        <f t="shared" si="253"/>
        <v>0.4</v>
      </c>
      <c r="AJ144" s="127">
        <f t="shared" si="242"/>
        <v>0.75</v>
      </c>
      <c r="BQ144" t="str">
        <f t="shared" si="254"/>
        <v>5-3 &amp; k=3 &amp; 1 &amp; 1 &amp; 1 &amp; 1 &amp; 1 &amp; 1 &amp; 0.96551724137931 &amp; 0.96551724137931 &amp; 0.96551724137931 &amp; 6 &amp; 8 &amp; 0.4 &amp; 0.75 \\ \hline</v>
      </c>
    </row>
    <row r="145" spans="1:69">
      <c r="A145" s="14"/>
      <c r="C145" s="98"/>
      <c r="L145" s="174"/>
      <c r="Q145" s="129"/>
      <c r="R145" s="129"/>
      <c r="S145" s="127"/>
      <c r="W145" s="129"/>
      <c r="X145" s="129"/>
      <c r="Y145" s="127"/>
      <c r="AC145" s="129"/>
      <c r="AD145" s="129"/>
      <c r="AE145" s="177"/>
      <c r="AG145"/>
      <c r="AH145"/>
      <c r="AI145" s="127"/>
      <c r="AJ145" s="127"/>
    </row>
    <row r="146" spans="1:69" s="75" customFormat="1">
      <c r="A146" s="75" t="s">
        <v>321</v>
      </c>
      <c r="B146" s="94">
        <v>45179</v>
      </c>
      <c r="C146" s="93" t="s">
        <v>165</v>
      </c>
      <c r="D146" s="78">
        <f>VLOOKUP($C$146,Overview!$Q$2:$AS$64,23,FALSE)</f>
        <v>0.76840547274981619</v>
      </c>
      <c r="E146" s="78" t="str">
        <f>VLOOKUP($C$146,Overview!$Q$2:$AS$64,24,FALSE)</f>
        <v>medium</v>
      </c>
      <c r="F146" s="75">
        <f>VLOOKUP(C146,Overview!$Q$2:$AS$64,13,FALSE)</f>
        <v>36</v>
      </c>
      <c r="G146" s="75">
        <f>VLOOKUP(C146,Overview!$Q$2:$AS$64,16,FALSE)</f>
        <v>11</v>
      </c>
      <c r="H146" s="75">
        <f>VLOOKUP(C146,Overview!$Q$2:$AS$64,18,FALSE)</f>
        <v>16</v>
      </c>
      <c r="I146" s="75">
        <f>VLOOKUP($C$146,Overview!$Q$2:$AS$64,19,FALSE)</f>
        <v>32</v>
      </c>
      <c r="K146" s="294" t="str">
        <f>VLOOKUP($C$146,Overview!$Q$2:$AS$64,5,FALSE)</f>
        <v>6-2, 3-8</v>
      </c>
      <c r="L146" s="293" t="s">
        <v>786</v>
      </c>
      <c r="N146" s="115"/>
      <c r="O146" s="97"/>
      <c r="P146" s="97"/>
      <c r="Q146" s="130"/>
      <c r="R146" s="130"/>
      <c r="S146" s="128"/>
      <c r="T146" s="115"/>
      <c r="U146" s="97"/>
      <c r="V146" s="97"/>
      <c r="W146" s="130"/>
      <c r="X146" s="130"/>
      <c r="Y146" s="128"/>
      <c r="Z146" s="115"/>
      <c r="AA146" s="97"/>
      <c r="AB146" s="97"/>
      <c r="AC146" s="130"/>
      <c r="AD146" s="130"/>
      <c r="AE146" s="128"/>
      <c r="AF146" s="115"/>
      <c r="AI146" s="128"/>
      <c r="AJ146" s="127"/>
      <c r="AK146" s="97"/>
      <c r="AL146" s="115"/>
      <c r="AM146" s="122"/>
      <c r="AN146" s="101"/>
      <c r="AQ146" s="101"/>
      <c r="AR146" s="101"/>
      <c r="AV146" s="119"/>
      <c r="AW146" s="101"/>
      <c r="AX146" s="101"/>
      <c r="AY146" s="101"/>
      <c r="AZ146" s="101"/>
      <c r="BA146" s="101"/>
      <c r="BB146" s="83"/>
      <c r="BD146" s="101"/>
      <c r="BQ146"/>
    </row>
    <row r="147" spans="1:69">
      <c r="A147" t="s">
        <v>305</v>
      </c>
      <c r="C147" s="98"/>
      <c r="J147" t="s">
        <v>679</v>
      </c>
      <c r="K147" s="296" t="s">
        <v>787</v>
      </c>
      <c r="L147" s="211" t="s">
        <v>161</v>
      </c>
      <c r="M147" s="77"/>
      <c r="O147" s="163">
        <f>P147-6</f>
        <v>23</v>
      </c>
      <c r="P147" s="81">
        <f>$F$146-7</f>
        <v>29</v>
      </c>
      <c r="Q147" s="129">
        <f t="shared" ref="Q147:Q152" si="255">O147/$F$146</f>
        <v>0.63888888888888884</v>
      </c>
      <c r="R147" s="129">
        <f t="shared" ref="R147:R152" si="256">O147/P147</f>
        <v>0.7931034482758621</v>
      </c>
      <c r="S147" s="127">
        <f t="shared" ref="S147:S152" si="257">2*(Q147*R147)/(Q147+R147)</f>
        <v>0.70769230769230762</v>
      </c>
      <c r="U147" s="81">
        <f>V147-3</f>
        <v>7</v>
      </c>
      <c r="V147" s="81">
        <f>$G$146-1</f>
        <v>10</v>
      </c>
      <c r="W147" s="129">
        <f t="shared" ref="W147:W152" si="258">U147/$G$146</f>
        <v>0.63636363636363635</v>
      </c>
      <c r="X147" s="129">
        <f t="shared" ref="X147:X152" si="259">U147/V147</f>
        <v>0.7</v>
      </c>
      <c r="Y147" s="127">
        <f t="shared" ref="Y147:Y152" si="260">2*(W147*X147)/(W147+X147)</f>
        <v>0.66666666666666663</v>
      </c>
      <c r="AA147" s="81">
        <f>AB147-2</f>
        <v>23</v>
      </c>
      <c r="AB147" s="81">
        <f>$I$146-7</f>
        <v>25</v>
      </c>
      <c r="AC147" s="129">
        <f t="shared" ref="AC147:AC152" si="261">AA147/$I$146</f>
        <v>0.71875</v>
      </c>
      <c r="AD147" s="129">
        <f t="shared" ref="AD147:AD152" si="262">AA147/AB147</f>
        <v>0.92</v>
      </c>
      <c r="AE147" s="127">
        <f t="shared" ref="AE147:AE152" si="263">2*(AC147*AD147)/(AC147+AD147)</f>
        <v>0.80701754385964919</v>
      </c>
      <c r="AG147">
        <f t="shared" ref="AG147:AG152" si="264">AH147-0</f>
        <v>7</v>
      </c>
      <c r="AH147">
        <v>7</v>
      </c>
      <c r="AI147" s="127">
        <f t="shared" ref="AI147:AI152" si="265">AG147/$H$146</f>
        <v>0.4375</v>
      </c>
      <c r="AJ147" s="127">
        <f t="shared" si="242"/>
        <v>1</v>
      </c>
      <c r="AM147" s="122">
        <v>0</v>
      </c>
      <c r="AN147" s="101">
        <v>0</v>
      </c>
      <c r="AO147">
        <v>196</v>
      </c>
      <c r="AP147">
        <v>9</v>
      </c>
      <c r="AQ147" s="101">
        <v>7</v>
      </c>
      <c r="AR147" s="101">
        <v>7</v>
      </c>
      <c r="AS147">
        <v>2</v>
      </c>
      <c r="AT147">
        <v>2</v>
      </c>
      <c r="AU147">
        <v>0</v>
      </c>
      <c r="AV147" s="119">
        <v>3</v>
      </c>
      <c r="AW147" s="101">
        <f>($F$146-N147)/$F$146</f>
        <v>1</v>
      </c>
      <c r="AY147" s="101">
        <f>($G$146-AN147)/$G$146</f>
        <v>1</v>
      </c>
      <c r="AZ147" s="101">
        <f>AR147/AQ147</f>
        <v>1</v>
      </c>
      <c r="BA147" s="101">
        <f>AT147/AS147</f>
        <v>1</v>
      </c>
      <c r="BB147" s="85">
        <f>(AW147+AY147+AZ147+BA147)/4</f>
        <v>1</v>
      </c>
      <c r="BC147" s="13">
        <f>AP147/$H$146</f>
        <v>0.5625</v>
      </c>
      <c r="BD147" s="118">
        <f>AV147/AP147</f>
        <v>0.33333333333333331</v>
      </c>
      <c r="BE147" s="13">
        <f>AO147/AP147</f>
        <v>21.777777777777779</v>
      </c>
      <c r="BF147" s="13">
        <f>AT147/$H$146</f>
        <v>0.125</v>
      </c>
      <c r="BG147" s="13">
        <f>AR147/$H$146</f>
        <v>0.4375</v>
      </c>
      <c r="BQ147" t="str">
        <f>_xlfn.CONCAT($C$146," &amp; ",J147," &amp; ",Q147," &amp; ",R147," &amp; ",S147," &amp; ",W147," &amp; ",X147," &amp; ",Y147," &amp; ",AC147," &amp; ",AD147," &amp; ",AE147," &amp; ",AG147," &amp; ",AH147," &amp; ",AI147," &amp; ",AJ147, " \\ \hline")</f>
        <v>9-3 &amp; k=1 &amp; 0.638888888888889 &amp; 0.793103448275862 &amp; 0.707692307692308 &amp; 0.636363636363636 &amp; 0.7 &amp; 0.666666666666667 &amp; 0.71875 &amp; 0.92 &amp; 0.807017543859649 &amp; 7 &amp; 7 &amp; 0.4375 &amp; 1 \\ \hline</v>
      </c>
    </row>
    <row r="148" spans="1:69">
      <c r="A148" t="s">
        <v>306</v>
      </c>
      <c r="C148" s="98"/>
      <c r="J148" t="s">
        <v>679</v>
      </c>
      <c r="L148" s="211" t="s">
        <v>161</v>
      </c>
      <c r="M148" s="77"/>
      <c r="O148" s="81">
        <f>P148-5</f>
        <v>26</v>
      </c>
      <c r="P148" s="81">
        <f>$F$146-5</f>
        <v>31</v>
      </c>
      <c r="Q148" s="129">
        <f t="shared" si="255"/>
        <v>0.72222222222222221</v>
      </c>
      <c r="R148" s="129">
        <f t="shared" si="256"/>
        <v>0.83870967741935487</v>
      </c>
      <c r="S148" s="127">
        <f t="shared" si="257"/>
        <v>0.77611940298507465</v>
      </c>
      <c r="U148" s="81">
        <f>V148-2</f>
        <v>9</v>
      </c>
      <c r="V148" s="81">
        <f>$G$146-0</f>
        <v>11</v>
      </c>
      <c r="W148" s="129">
        <f t="shared" si="258"/>
        <v>0.81818181818181823</v>
      </c>
      <c r="X148" s="129">
        <f t="shared" si="259"/>
        <v>0.81818181818181823</v>
      </c>
      <c r="Y148" s="127">
        <f t="shared" si="260"/>
        <v>0.81818181818181823</v>
      </c>
      <c r="AA148" s="81">
        <f>AB148-3</f>
        <v>24</v>
      </c>
      <c r="AB148" s="81">
        <f>$I$146-5</f>
        <v>27</v>
      </c>
      <c r="AC148" s="129">
        <f t="shared" si="261"/>
        <v>0.75</v>
      </c>
      <c r="AD148" s="129">
        <f t="shared" si="262"/>
        <v>0.88888888888888884</v>
      </c>
      <c r="AE148" s="127">
        <f t="shared" si="263"/>
        <v>0.81355932203389825</v>
      </c>
      <c r="AG148">
        <f t="shared" si="264"/>
        <v>8</v>
      </c>
      <c r="AH148">
        <v>8</v>
      </c>
      <c r="AI148" s="127">
        <f t="shared" si="265"/>
        <v>0.5</v>
      </c>
      <c r="AJ148" s="127">
        <f t="shared" si="242"/>
        <v>1</v>
      </c>
      <c r="AM148" s="122">
        <v>0</v>
      </c>
      <c r="AN148" s="101">
        <v>0</v>
      </c>
      <c r="AO148">
        <v>266</v>
      </c>
      <c r="AP148">
        <v>13</v>
      </c>
      <c r="AQ148" s="101">
        <v>8</v>
      </c>
      <c r="AR148" s="101">
        <v>8</v>
      </c>
      <c r="AS148">
        <v>5</v>
      </c>
      <c r="AT148">
        <v>4</v>
      </c>
      <c r="AU148">
        <v>0</v>
      </c>
      <c r="AV148" s="119">
        <v>8</v>
      </c>
      <c r="AW148" s="101">
        <f>($F$146-N148)/$F$146</f>
        <v>1</v>
      </c>
      <c r="AY148" s="101">
        <f>($G$146-AN148)/$G$146</f>
        <v>1</v>
      </c>
      <c r="AZ148" s="101">
        <f>AR148/AQ148</f>
        <v>1</v>
      </c>
      <c r="BA148" s="101">
        <f>AT148/AS148</f>
        <v>0.8</v>
      </c>
      <c r="BB148" s="85">
        <f>(AW148+AY148+AZ148+BA148)/4</f>
        <v>0.95</v>
      </c>
      <c r="BC148" s="13">
        <f>AP148/$H$146</f>
        <v>0.8125</v>
      </c>
      <c r="BD148" s="118">
        <f>AV148/AP148</f>
        <v>0.61538461538461542</v>
      </c>
      <c r="BE148" s="13">
        <f>AO148/AP148</f>
        <v>20.46153846153846</v>
      </c>
      <c r="BF148" s="13">
        <f>AT148/$H$146</f>
        <v>0.25</v>
      </c>
      <c r="BG148" s="13">
        <f>AR148/$H$146</f>
        <v>0.5</v>
      </c>
      <c r="BQ148" t="str">
        <f t="shared" ref="BQ148:BQ152" si="266">_xlfn.CONCAT($C$146," &amp; ",J148," &amp; ",Q148," &amp; ",R148," &amp; ",S148," &amp; ",W148," &amp; ",X148," &amp; ",Y148," &amp; ",AC148," &amp; ",AD148," &amp; ",AE148," &amp; ",AG148," &amp; ",AH148," &amp; ",AI148," &amp; ",AJ148, " \\ \hline")</f>
        <v>9-3 &amp; k=1 &amp; 0.722222222222222 &amp; 0.838709677419355 &amp; 0.776119402985075 &amp; 0.818181818181818 &amp; 0.818181818181818 &amp; 0.818181818181818 &amp; 0.75 &amp; 0.888888888888889 &amp; 0.813559322033898 &amp; 8 &amp; 8 &amp; 0.5 &amp; 1 \\ \hline</v>
      </c>
    </row>
    <row r="149" spans="1:69">
      <c r="A149" t="s">
        <v>307</v>
      </c>
      <c r="C149" s="98"/>
      <c r="J149" t="s">
        <v>680</v>
      </c>
      <c r="L149" s="211" t="s">
        <v>693</v>
      </c>
      <c r="M149" s="77"/>
      <c r="O149" s="81">
        <f>P149-6</f>
        <v>26</v>
      </c>
      <c r="P149" s="81">
        <f>$F$146-4</f>
        <v>32</v>
      </c>
      <c r="Q149" s="129">
        <f t="shared" si="255"/>
        <v>0.72222222222222221</v>
      </c>
      <c r="R149" s="129">
        <f t="shared" si="256"/>
        <v>0.8125</v>
      </c>
      <c r="S149" s="127">
        <f t="shared" si="257"/>
        <v>0.76470588235294112</v>
      </c>
      <c r="U149" s="81">
        <f>V149-3</f>
        <v>8</v>
      </c>
      <c r="V149" s="81">
        <f>$G$146</f>
        <v>11</v>
      </c>
      <c r="W149" s="129">
        <f t="shared" si="258"/>
        <v>0.72727272727272729</v>
      </c>
      <c r="X149" s="129">
        <f t="shared" si="259"/>
        <v>0.72727272727272729</v>
      </c>
      <c r="Y149" s="127">
        <f t="shared" si="260"/>
        <v>0.72727272727272729</v>
      </c>
      <c r="AA149" s="81">
        <f>AB149-3</f>
        <v>25</v>
      </c>
      <c r="AB149" s="81">
        <f>$I$146-4</f>
        <v>28</v>
      </c>
      <c r="AC149" s="129">
        <f t="shared" si="261"/>
        <v>0.78125</v>
      </c>
      <c r="AD149" s="129">
        <f t="shared" si="262"/>
        <v>0.8928571428571429</v>
      </c>
      <c r="AE149" s="127">
        <f t="shared" si="263"/>
        <v>0.83333333333333337</v>
      </c>
      <c r="AG149">
        <f t="shared" si="264"/>
        <v>4</v>
      </c>
      <c r="AH149">
        <v>4</v>
      </c>
      <c r="AI149" s="127">
        <f t="shared" si="265"/>
        <v>0.25</v>
      </c>
      <c r="AJ149" s="127">
        <f t="shared" si="242"/>
        <v>1</v>
      </c>
      <c r="AM149" s="122">
        <v>1</v>
      </c>
      <c r="AN149" s="101">
        <v>1</v>
      </c>
      <c r="AO149">
        <v>291</v>
      </c>
      <c r="AP149">
        <v>16</v>
      </c>
      <c r="AQ149" s="101">
        <v>12</v>
      </c>
      <c r="AR149" s="101">
        <v>12</v>
      </c>
      <c r="AS149">
        <v>3</v>
      </c>
      <c r="AT149">
        <v>3</v>
      </c>
      <c r="AU149">
        <v>1</v>
      </c>
      <c r="AV149" s="119">
        <v>6</v>
      </c>
      <c r="AW149" s="101">
        <f>($F$146-N149)/$F$146</f>
        <v>1</v>
      </c>
      <c r="AY149" s="101">
        <f>($G$146-AN149)/$G$146</f>
        <v>0.90909090909090906</v>
      </c>
      <c r="AZ149" s="101">
        <f>AR149/AQ149</f>
        <v>1</v>
      </c>
      <c r="BA149" s="101">
        <f>AT149/AS149</f>
        <v>1</v>
      </c>
      <c r="BB149" s="85">
        <f>(AW149+AY149+AZ149+BA149)/4</f>
        <v>0.97727272727272729</v>
      </c>
      <c r="BC149" s="13">
        <f>AP149/$H$146</f>
        <v>1</v>
      </c>
      <c r="BD149" s="118">
        <f>AV149/AP149</f>
        <v>0.375</v>
      </c>
      <c r="BE149" s="13">
        <f>AO149/AP149</f>
        <v>18.1875</v>
      </c>
      <c r="BF149" s="13">
        <f>AT149/$H$146</f>
        <v>0.1875</v>
      </c>
      <c r="BG149" s="13">
        <f>AR149/$H$146</f>
        <v>0.75</v>
      </c>
      <c r="BQ149" t="str">
        <f t="shared" si="266"/>
        <v>9-3 &amp; k=2 &amp; 0.722222222222222 &amp; 0.8125 &amp; 0.764705882352941 &amp; 0.727272727272727 &amp; 0.727272727272727 &amp; 0.727272727272727 &amp; 0.78125 &amp; 0.892857142857143 &amp; 0.833333333333333 &amp; 4 &amp; 4 &amp; 0.25 &amp; 1 \\ \hline</v>
      </c>
    </row>
    <row r="150" spans="1:69">
      <c r="A150" t="s">
        <v>308</v>
      </c>
      <c r="C150" s="98"/>
      <c r="J150" t="s">
        <v>680</v>
      </c>
      <c r="L150" s="211" t="s">
        <v>693</v>
      </c>
      <c r="M150" s="77"/>
      <c r="O150" s="81">
        <f>P150-5</f>
        <v>26</v>
      </c>
      <c r="P150" s="81">
        <f>$F$146-5</f>
        <v>31</v>
      </c>
      <c r="Q150" s="129">
        <f t="shared" si="255"/>
        <v>0.72222222222222221</v>
      </c>
      <c r="R150" s="129">
        <f t="shared" si="256"/>
        <v>0.83870967741935487</v>
      </c>
      <c r="S150" s="127">
        <f t="shared" si="257"/>
        <v>0.77611940298507465</v>
      </c>
      <c r="U150" s="81">
        <f>V150-3</f>
        <v>8</v>
      </c>
      <c r="V150" s="81">
        <f>$G$146-0</f>
        <v>11</v>
      </c>
      <c r="W150" s="129">
        <f t="shared" si="258"/>
        <v>0.72727272727272729</v>
      </c>
      <c r="X150" s="129">
        <f t="shared" si="259"/>
        <v>0.72727272727272729</v>
      </c>
      <c r="Y150" s="127">
        <f t="shared" si="260"/>
        <v>0.72727272727272729</v>
      </c>
      <c r="AA150" s="81">
        <f>AB150-5</f>
        <v>22</v>
      </c>
      <c r="AB150" s="81">
        <f>$I$146-5</f>
        <v>27</v>
      </c>
      <c r="AC150" s="129">
        <f t="shared" si="261"/>
        <v>0.6875</v>
      </c>
      <c r="AD150" s="129">
        <f t="shared" si="262"/>
        <v>0.81481481481481477</v>
      </c>
      <c r="AE150" s="127">
        <f t="shared" si="263"/>
        <v>0.74576271186440668</v>
      </c>
      <c r="AG150">
        <f t="shared" si="264"/>
        <v>5</v>
      </c>
      <c r="AH150">
        <v>5</v>
      </c>
      <c r="AI150" s="127">
        <f t="shared" si="265"/>
        <v>0.3125</v>
      </c>
      <c r="AJ150" s="127">
        <f t="shared" si="242"/>
        <v>1</v>
      </c>
      <c r="AM150" s="122">
        <v>0</v>
      </c>
      <c r="AN150" s="101">
        <v>0</v>
      </c>
      <c r="AO150">
        <v>340</v>
      </c>
      <c r="AP150">
        <v>14</v>
      </c>
      <c r="AQ150" s="101">
        <v>13</v>
      </c>
      <c r="AR150" s="101">
        <v>13</v>
      </c>
      <c r="AS150">
        <v>1</v>
      </c>
      <c r="AT150">
        <v>1</v>
      </c>
      <c r="AU150">
        <v>0</v>
      </c>
      <c r="AV150" s="119">
        <v>7</v>
      </c>
      <c r="AW150" s="101">
        <f>($F$146-N150)/$F$146</f>
        <v>1</v>
      </c>
      <c r="AY150" s="101">
        <f>($G$146-AN150)/$G$146</f>
        <v>1</v>
      </c>
      <c r="AZ150" s="101">
        <f>AR150/AQ150</f>
        <v>1</v>
      </c>
      <c r="BA150" s="101">
        <f>AT150/AS150</f>
        <v>1</v>
      </c>
      <c r="BB150" s="85">
        <f>(AW150+AY150+AZ150+BA150)/4</f>
        <v>1</v>
      </c>
      <c r="BC150" s="13">
        <f>AP150/$H$146</f>
        <v>0.875</v>
      </c>
      <c r="BD150" s="118">
        <f>AV150/AP150</f>
        <v>0.5</v>
      </c>
      <c r="BE150" s="13">
        <f>AO150/AP150</f>
        <v>24.285714285714285</v>
      </c>
      <c r="BF150" s="13">
        <f>AT150/$H$146</f>
        <v>6.25E-2</v>
      </c>
      <c r="BG150" s="13">
        <f>AR150/$H$146</f>
        <v>0.8125</v>
      </c>
      <c r="BQ150" t="str">
        <f t="shared" si="266"/>
        <v>9-3 &amp; k=2 &amp; 0.722222222222222 &amp; 0.838709677419355 &amp; 0.776119402985075 &amp; 0.727272727272727 &amp; 0.727272727272727 &amp; 0.727272727272727 &amp; 0.6875 &amp; 0.814814814814815 &amp; 0.745762711864407 &amp; 5 &amp; 5 &amp; 0.3125 &amp; 1 \\ \hline</v>
      </c>
    </row>
    <row r="151" spans="1:69">
      <c r="A151" t="s">
        <v>309</v>
      </c>
      <c r="C151" s="98"/>
      <c r="J151" t="s">
        <v>681</v>
      </c>
      <c r="L151" s="211" t="s">
        <v>694</v>
      </c>
      <c r="M151" s="77"/>
      <c r="O151" s="81">
        <f>P151-6</f>
        <v>23</v>
      </c>
      <c r="P151" s="81">
        <f>$F$146-7</f>
        <v>29</v>
      </c>
      <c r="Q151" s="129">
        <f t="shared" si="255"/>
        <v>0.63888888888888884</v>
      </c>
      <c r="R151" s="129">
        <f t="shared" si="256"/>
        <v>0.7931034482758621</v>
      </c>
      <c r="S151" s="127">
        <f t="shared" si="257"/>
        <v>0.70769230769230762</v>
      </c>
      <c r="U151" s="81">
        <f>V151-3</f>
        <v>7</v>
      </c>
      <c r="V151" s="81">
        <f>$G$146-1</f>
        <v>10</v>
      </c>
      <c r="W151" s="129">
        <f t="shared" si="258"/>
        <v>0.63636363636363635</v>
      </c>
      <c r="X151" s="129">
        <f t="shared" si="259"/>
        <v>0.7</v>
      </c>
      <c r="Y151" s="127">
        <f t="shared" si="260"/>
        <v>0.66666666666666663</v>
      </c>
      <c r="AA151" s="81">
        <f>AB151-2</f>
        <v>23</v>
      </c>
      <c r="AB151" s="81">
        <f>$I$146-7</f>
        <v>25</v>
      </c>
      <c r="AC151" s="129">
        <f t="shared" si="261"/>
        <v>0.71875</v>
      </c>
      <c r="AD151" s="129">
        <f t="shared" si="262"/>
        <v>0.92</v>
      </c>
      <c r="AE151" s="127">
        <f t="shared" si="263"/>
        <v>0.80701754385964919</v>
      </c>
      <c r="AG151">
        <f t="shared" si="264"/>
        <v>4</v>
      </c>
      <c r="AH151">
        <v>4</v>
      </c>
      <c r="AI151" s="127">
        <f t="shared" si="265"/>
        <v>0.25</v>
      </c>
      <c r="AJ151" s="127">
        <f t="shared" si="242"/>
        <v>1</v>
      </c>
      <c r="BC151" s="13"/>
      <c r="BD151" s="118"/>
      <c r="BE151" s="13"/>
      <c r="BF151" s="13"/>
      <c r="BG151" s="13"/>
      <c r="BQ151" t="str">
        <f t="shared" si="266"/>
        <v>9-3 &amp; k=3 &amp; 0.638888888888889 &amp; 0.793103448275862 &amp; 0.707692307692308 &amp; 0.636363636363636 &amp; 0.7 &amp; 0.666666666666667 &amp; 0.71875 &amp; 0.92 &amp; 0.807017543859649 &amp; 4 &amp; 4 &amp; 0.25 &amp; 1 \\ \hline</v>
      </c>
    </row>
    <row r="152" spans="1:69">
      <c r="A152" t="s">
        <v>667</v>
      </c>
      <c r="C152" s="98"/>
      <c r="J152" t="s">
        <v>681</v>
      </c>
      <c r="L152" s="211" t="s">
        <v>694</v>
      </c>
      <c r="M152" s="77"/>
      <c r="O152" s="81">
        <f>P152-7</f>
        <v>24</v>
      </c>
      <c r="P152" s="81">
        <f>$F$146-5</f>
        <v>31</v>
      </c>
      <c r="Q152" s="129">
        <f t="shared" si="255"/>
        <v>0.66666666666666663</v>
      </c>
      <c r="R152" s="129">
        <f t="shared" si="256"/>
        <v>0.77419354838709675</v>
      </c>
      <c r="S152" s="127">
        <f t="shared" si="257"/>
        <v>0.71641791044776115</v>
      </c>
      <c r="U152" s="81">
        <f>V152-3</f>
        <v>8</v>
      </c>
      <c r="V152" s="81">
        <f>$G$146-0</f>
        <v>11</v>
      </c>
      <c r="W152" s="129">
        <f t="shared" si="258"/>
        <v>0.72727272727272729</v>
      </c>
      <c r="X152" s="129">
        <f t="shared" si="259"/>
        <v>0.72727272727272729</v>
      </c>
      <c r="Y152" s="127">
        <f t="shared" si="260"/>
        <v>0.72727272727272729</v>
      </c>
      <c r="AA152" s="81">
        <f>AB152-2</f>
        <v>25</v>
      </c>
      <c r="AB152" s="81">
        <f>$I$146-5</f>
        <v>27</v>
      </c>
      <c r="AC152" s="129">
        <f t="shared" si="261"/>
        <v>0.78125</v>
      </c>
      <c r="AD152" s="129">
        <f t="shared" si="262"/>
        <v>0.92592592592592593</v>
      </c>
      <c r="AE152" s="127">
        <f t="shared" si="263"/>
        <v>0.84745762711864403</v>
      </c>
      <c r="AG152">
        <f t="shared" si="264"/>
        <v>4</v>
      </c>
      <c r="AH152">
        <v>4</v>
      </c>
      <c r="AI152" s="127">
        <f t="shared" si="265"/>
        <v>0.25</v>
      </c>
      <c r="AJ152" s="127">
        <f t="shared" si="242"/>
        <v>1</v>
      </c>
      <c r="BC152" s="13"/>
      <c r="BD152" s="118"/>
      <c r="BE152" s="13"/>
      <c r="BF152" s="13"/>
      <c r="BG152" s="13"/>
      <c r="BQ152" t="str">
        <f t="shared" si="266"/>
        <v>9-3 &amp; k=3 &amp; 0.666666666666667 &amp; 0.774193548387097 &amp; 0.716417910447761 &amp; 0.727272727272727 &amp; 0.727272727272727 &amp; 0.727272727272727 &amp; 0.78125 &amp; 0.925925925925926 &amp; 0.847457627118644 &amp; 4 &amp; 4 &amp; 0.25 &amp; 1 \\ \hline</v>
      </c>
    </row>
    <row r="153" spans="1:69">
      <c r="A153" s="14"/>
      <c r="C153" s="98"/>
      <c r="L153" s="173"/>
      <c r="Q153" s="129"/>
      <c r="R153" s="129"/>
      <c r="S153" s="127"/>
      <c r="W153" s="129"/>
      <c r="X153" s="129"/>
      <c r="Y153" s="127"/>
      <c r="AC153" s="129"/>
      <c r="AD153" s="129"/>
      <c r="AE153" s="127"/>
      <c r="AG153"/>
      <c r="AH153"/>
      <c r="AI153" s="127"/>
      <c r="AJ153" s="127"/>
    </row>
    <row r="154" spans="1:69" s="75" customFormat="1">
      <c r="A154" s="75" t="s">
        <v>325</v>
      </c>
      <c r="B154" s="94">
        <v>45179</v>
      </c>
      <c r="C154" s="93" t="s">
        <v>136</v>
      </c>
      <c r="D154" s="78">
        <f>VLOOKUP($C$154,Overview!$Q$2:$AS$64,23,FALSE)</f>
        <v>0.95238369736820083</v>
      </c>
      <c r="E154" s="78" t="str">
        <f>VLOOKUP($C$154,Overview!$Q$2:$AS$64,24,FALSE)</f>
        <v>medium</v>
      </c>
      <c r="F154" s="75">
        <f>VLOOKUP(C154,Overview!$Q$2:$AS$64,13,FALSE)</f>
        <v>42</v>
      </c>
      <c r="G154" s="75">
        <f>VLOOKUP(C154,Overview!$Q$2:$AS$64,16,FALSE)</f>
        <v>8</v>
      </c>
      <c r="H154" s="75">
        <f>VLOOKUP(C154,Overview!$Q$2:$AS$64,18,FALSE)</f>
        <v>18</v>
      </c>
      <c r="I154" s="75">
        <f>VLOOKUP($C$154,Overview!$Q$2:$AS$64,19,FALSE)</f>
        <v>38</v>
      </c>
      <c r="K154" s="75" t="str">
        <f>VLOOKUP($C$154,Overview!$Q$2:$AS$64,5,FALSE)</f>
        <v>5-2, 3-8</v>
      </c>
      <c r="L154" s="96"/>
      <c r="N154" s="115"/>
      <c r="O154" s="97"/>
      <c r="P154" s="97"/>
      <c r="Q154" s="130"/>
      <c r="R154" s="130"/>
      <c r="S154" s="128"/>
      <c r="T154" s="115"/>
      <c r="U154" s="97"/>
      <c r="V154" s="97"/>
      <c r="W154" s="130"/>
      <c r="X154" s="130"/>
      <c r="Y154" s="128"/>
      <c r="Z154" s="115"/>
      <c r="AA154" s="97"/>
      <c r="AB154" s="97"/>
      <c r="AC154" s="130"/>
      <c r="AD154" s="130"/>
      <c r="AE154" s="128"/>
      <c r="AF154" s="115"/>
      <c r="AI154" s="128"/>
      <c r="AJ154" s="127"/>
      <c r="AK154" s="97"/>
      <c r="AL154" s="115"/>
      <c r="AM154" s="122"/>
      <c r="AN154" s="101"/>
      <c r="AQ154" s="101"/>
      <c r="AR154" s="101"/>
      <c r="AV154" s="119"/>
      <c r="AW154" s="101"/>
      <c r="AX154" s="101"/>
      <c r="AY154" s="101"/>
      <c r="AZ154" s="101"/>
      <c r="BA154" s="101"/>
      <c r="BB154" s="83"/>
      <c r="BD154" s="101"/>
      <c r="BQ154"/>
    </row>
    <row r="155" spans="1:69">
      <c r="A155" t="s">
        <v>305</v>
      </c>
      <c r="C155" s="110" t="s">
        <v>701</v>
      </c>
      <c r="J155" t="s">
        <v>679</v>
      </c>
      <c r="K155" s="296" t="s">
        <v>787</v>
      </c>
      <c r="L155" s="212" t="s">
        <v>149</v>
      </c>
      <c r="M155" s="77"/>
      <c r="O155" s="81">
        <f>P155-0</f>
        <v>37</v>
      </c>
      <c r="P155" s="81">
        <f>$F$154-5</f>
        <v>37</v>
      </c>
      <c r="Q155" s="129">
        <f t="shared" ref="Q155:Q160" si="267">O155/$F$154</f>
        <v>0.88095238095238093</v>
      </c>
      <c r="R155" s="129">
        <f t="shared" ref="R155:R160" si="268">O155/P155</f>
        <v>1</v>
      </c>
      <c r="S155" s="127">
        <f t="shared" ref="S155:S160" si="269">2*(Q155*R155)/(Q155+R155)</f>
        <v>0.93670886075949367</v>
      </c>
      <c r="U155" s="81">
        <f t="shared" ref="U155:U160" si="270">V155-0</f>
        <v>8</v>
      </c>
      <c r="V155" s="81">
        <f>$G$154-0</f>
        <v>8</v>
      </c>
      <c r="W155" s="129">
        <f t="shared" ref="W155:W160" si="271">U155/$G$154</f>
        <v>1</v>
      </c>
      <c r="X155" s="129">
        <f t="shared" ref="X155:X160" si="272">U155/V155</f>
        <v>1</v>
      </c>
      <c r="Y155" s="127">
        <f t="shared" ref="Y155:Y160" si="273">2*(W155*X155)/(W155+X155)</f>
        <v>1</v>
      </c>
      <c r="AA155" s="81">
        <f>AB155-4</f>
        <v>29</v>
      </c>
      <c r="AB155" s="81">
        <f>$I$154-5</f>
        <v>33</v>
      </c>
      <c r="AC155" s="129">
        <f t="shared" ref="AC155:AC160" si="274">AA155/$I$154</f>
        <v>0.76315789473684215</v>
      </c>
      <c r="AD155" s="129">
        <f t="shared" ref="AD155:AD160" si="275">AA155/AB155</f>
        <v>0.87878787878787878</v>
      </c>
      <c r="AE155" s="127">
        <f t="shared" ref="AE155:AE160" si="276">2*(AC155*AD155)/(AC155+AD155)</f>
        <v>0.81690140845070425</v>
      </c>
      <c r="AG155">
        <f t="shared" ref="AG155:AG160" si="277">AH155-0</f>
        <v>11</v>
      </c>
      <c r="AH155">
        <v>11</v>
      </c>
      <c r="AI155" s="127">
        <f t="shared" ref="AI155:AI160" si="278">AG155/$H$154</f>
        <v>0.61111111111111116</v>
      </c>
      <c r="AJ155" s="127">
        <f t="shared" si="242"/>
        <v>1</v>
      </c>
      <c r="AM155" s="122">
        <v>6</v>
      </c>
      <c r="AN155" s="101">
        <v>3</v>
      </c>
      <c r="AO155">
        <v>159</v>
      </c>
      <c r="AP155">
        <v>11</v>
      </c>
      <c r="AQ155" s="101">
        <v>11</v>
      </c>
      <c r="AR155" s="101">
        <v>6</v>
      </c>
      <c r="AS155">
        <v>0</v>
      </c>
      <c r="AT155">
        <v>0</v>
      </c>
      <c r="AU155">
        <v>0</v>
      </c>
      <c r="AV155" s="119">
        <v>7</v>
      </c>
      <c r="AW155" s="101">
        <f>($F$154-N155)/$F$154</f>
        <v>1</v>
      </c>
      <c r="AY155" s="101">
        <f>($G$154-AN155)/$G$154</f>
        <v>0.625</v>
      </c>
      <c r="AZ155" s="101">
        <f>AR155/AQ155</f>
        <v>0.54545454545454541</v>
      </c>
      <c r="BA155" s="101">
        <v>0</v>
      </c>
      <c r="BB155" s="85">
        <f>(AW155+AY155+AZ155+BA155)/4</f>
        <v>0.54261363636363635</v>
      </c>
      <c r="BC155" s="13">
        <f>AP155/$H$154</f>
        <v>0.61111111111111116</v>
      </c>
      <c r="BD155" s="118">
        <f>AV155/AP155</f>
        <v>0.63636363636363635</v>
      </c>
      <c r="BE155" s="13">
        <f>AO155/AP155</f>
        <v>14.454545454545455</v>
      </c>
      <c r="BF155" s="13">
        <f>AT155/$H$154</f>
        <v>0</v>
      </c>
      <c r="BG155" s="13">
        <f>AR155/$H$154</f>
        <v>0.33333333333333331</v>
      </c>
      <c r="BQ155" t="str">
        <f>_xlfn.CONCAT($C$154," &amp; ",J155," &amp; ",Q155," &amp; ",R155," &amp; ",S155," &amp; ",W155," &amp; ",X155," &amp; ",Y155," &amp; ",AC155," &amp; ",AD155," &amp; ",AE155," &amp; ",AG155," &amp; ",AH155," &amp; ",AI155," &amp; ",AJ155, " \\ \hline")</f>
        <v>1-1 &amp; k=1 &amp; 0.880952380952381 &amp; 1 &amp; 0.936708860759494 &amp; 1 &amp; 1 &amp; 1 &amp; 0.763157894736842 &amp; 0.878787878787879 &amp; 0.816901408450704 &amp; 11 &amp; 11 &amp; 0.611111111111111 &amp; 1 \\ \hline</v>
      </c>
    </row>
    <row r="156" spans="1:69">
      <c r="A156" t="s">
        <v>306</v>
      </c>
      <c r="C156" s="98"/>
      <c r="J156" t="s">
        <v>679</v>
      </c>
      <c r="L156" s="212" t="s">
        <v>149</v>
      </c>
      <c r="M156" s="77"/>
      <c r="O156" s="81">
        <f>P156</f>
        <v>36</v>
      </c>
      <c r="P156" s="81">
        <f>$F$154-6</f>
        <v>36</v>
      </c>
      <c r="Q156" s="129">
        <f t="shared" si="267"/>
        <v>0.8571428571428571</v>
      </c>
      <c r="R156" s="129">
        <f t="shared" si="268"/>
        <v>1</v>
      </c>
      <c r="S156" s="127">
        <f t="shared" si="269"/>
        <v>0.92307692307692302</v>
      </c>
      <c r="U156" s="81">
        <f t="shared" si="270"/>
        <v>6</v>
      </c>
      <c r="V156" s="81">
        <f>$G$154-2</f>
        <v>6</v>
      </c>
      <c r="W156" s="129">
        <f t="shared" si="271"/>
        <v>0.75</v>
      </c>
      <c r="X156" s="129">
        <f t="shared" si="272"/>
        <v>1</v>
      </c>
      <c r="Y156" s="127">
        <f t="shared" si="273"/>
        <v>0.8571428571428571</v>
      </c>
      <c r="AA156" s="81">
        <f>AB156-5</f>
        <v>28</v>
      </c>
      <c r="AB156" s="81">
        <f>$I$154-5</f>
        <v>33</v>
      </c>
      <c r="AC156" s="129">
        <f t="shared" si="274"/>
        <v>0.73684210526315785</v>
      </c>
      <c r="AD156" s="129">
        <f t="shared" si="275"/>
        <v>0.84848484848484851</v>
      </c>
      <c r="AE156" s="127">
        <f t="shared" si="276"/>
        <v>0.78873239436619724</v>
      </c>
      <c r="AG156">
        <f t="shared" si="277"/>
        <v>0</v>
      </c>
      <c r="AH156">
        <v>0</v>
      </c>
      <c r="AI156" s="127">
        <f t="shared" si="278"/>
        <v>0</v>
      </c>
      <c r="AJ156" s="127">
        <v>0</v>
      </c>
      <c r="AM156" s="122">
        <v>6</v>
      </c>
      <c r="AN156" s="101">
        <v>3</v>
      </c>
      <c r="AO156">
        <v>224</v>
      </c>
      <c r="AP156">
        <v>15</v>
      </c>
      <c r="AQ156" s="101">
        <v>13</v>
      </c>
      <c r="AR156" s="101">
        <v>8</v>
      </c>
      <c r="AS156">
        <v>2</v>
      </c>
      <c r="AT156">
        <v>2</v>
      </c>
      <c r="AU156">
        <v>0</v>
      </c>
      <c r="AV156" s="119">
        <v>9</v>
      </c>
      <c r="AW156" s="101">
        <f>($F$154-N156)/$F$154</f>
        <v>1</v>
      </c>
      <c r="AY156" s="101">
        <f>($G$154-AN156)/$G$154</f>
        <v>0.625</v>
      </c>
      <c r="AZ156" s="101">
        <f>AR156/AQ156</f>
        <v>0.61538461538461542</v>
      </c>
      <c r="BA156" s="101">
        <f>AT156/AS156</f>
        <v>1</v>
      </c>
      <c r="BB156" s="85">
        <f>(AW156+AY156+AZ156+BA156)/4</f>
        <v>0.81009615384615385</v>
      </c>
      <c r="BC156" s="13">
        <f>AP156/$H$154</f>
        <v>0.83333333333333337</v>
      </c>
      <c r="BD156" s="118">
        <f>AV156/AP156</f>
        <v>0.6</v>
      </c>
      <c r="BE156" s="13">
        <f>AO156/AP156</f>
        <v>14.933333333333334</v>
      </c>
      <c r="BF156" s="13">
        <f>AT156/$H$154</f>
        <v>0.1111111111111111</v>
      </c>
      <c r="BG156" s="13">
        <f>AR156/$H$154</f>
        <v>0.44444444444444442</v>
      </c>
      <c r="BQ156" t="str">
        <f t="shared" ref="BQ156:BQ160" si="279">_xlfn.CONCAT($C$154," &amp; ",J156," &amp; ",Q156," &amp; ",R156," &amp; ",S156," &amp; ",W156," &amp; ",X156," &amp; ",Y156," &amp; ",AC156," &amp; ",AD156," &amp; ",AE156," &amp; ",AG156," &amp; ",AH156," &amp; ",AI156," &amp; ",AJ156, " \\ \hline")</f>
        <v>1-1 &amp; k=1 &amp; 0.857142857142857 &amp; 1 &amp; 0.923076923076923 &amp; 0.75 &amp; 1 &amp; 0.857142857142857 &amp; 0.736842105263158 &amp; 0.848484848484849 &amp; 0.788732394366197 &amp; 0 &amp; 0 &amp; 0 &amp; 0 \\ \hline</v>
      </c>
    </row>
    <row r="157" spans="1:69">
      <c r="A157" t="s">
        <v>307</v>
      </c>
      <c r="C157" s="98"/>
      <c r="J157" t="s">
        <v>680</v>
      </c>
      <c r="L157" s="212" t="s">
        <v>682</v>
      </c>
      <c r="M157" s="77"/>
      <c r="O157" s="81">
        <f>P157-0</f>
        <v>37</v>
      </c>
      <c r="P157" s="81">
        <f>$F$154-5</f>
        <v>37</v>
      </c>
      <c r="Q157" s="129">
        <f t="shared" si="267"/>
        <v>0.88095238095238093</v>
      </c>
      <c r="R157" s="129">
        <f t="shared" si="268"/>
        <v>1</v>
      </c>
      <c r="S157" s="127">
        <f t="shared" si="269"/>
        <v>0.93670886075949367</v>
      </c>
      <c r="U157" s="81">
        <f t="shared" si="270"/>
        <v>7</v>
      </c>
      <c r="V157" s="81">
        <f>$G$154-1</f>
        <v>7</v>
      </c>
      <c r="W157" s="129">
        <f t="shared" si="271"/>
        <v>0.875</v>
      </c>
      <c r="X157" s="129">
        <f t="shared" si="272"/>
        <v>1</v>
      </c>
      <c r="Y157" s="127">
        <f t="shared" si="273"/>
        <v>0.93333333333333335</v>
      </c>
      <c r="AA157" s="81">
        <f>AB157-8</f>
        <v>25</v>
      </c>
      <c r="AB157" s="81">
        <f>$I$154-5</f>
        <v>33</v>
      </c>
      <c r="AC157" s="129">
        <f t="shared" si="274"/>
        <v>0.65789473684210531</v>
      </c>
      <c r="AD157" s="129">
        <f t="shared" si="275"/>
        <v>0.75757575757575757</v>
      </c>
      <c r="AE157" s="127">
        <f t="shared" si="276"/>
        <v>0.70422535211267601</v>
      </c>
      <c r="AG157">
        <f t="shared" si="277"/>
        <v>5</v>
      </c>
      <c r="AH157">
        <v>5</v>
      </c>
      <c r="AI157" s="127">
        <f t="shared" si="278"/>
        <v>0.27777777777777779</v>
      </c>
      <c r="AJ157" s="127">
        <f t="shared" si="242"/>
        <v>1</v>
      </c>
      <c r="AM157" s="122">
        <v>0</v>
      </c>
      <c r="AN157" s="101">
        <v>0</v>
      </c>
      <c r="AO157">
        <v>312</v>
      </c>
      <c r="AP157">
        <v>15</v>
      </c>
      <c r="AQ157" s="101">
        <v>15</v>
      </c>
      <c r="AR157" s="101">
        <v>14</v>
      </c>
      <c r="AS157">
        <v>0</v>
      </c>
      <c r="AT157">
        <v>0</v>
      </c>
      <c r="AU157">
        <v>0</v>
      </c>
      <c r="AV157" s="119">
        <v>12</v>
      </c>
      <c r="AW157" s="101">
        <f>($F$154-N157)/$F$154</f>
        <v>1</v>
      </c>
      <c r="AY157" s="101">
        <f>($G$154-AN157)/$G$154</f>
        <v>1</v>
      </c>
      <c r="AZ157" s="101">
        <f>AR157/AQ157</f>
        <v>0.93333333333333335</v>
      </c>
      <c r="BA157" s="101">
        <v>0</v>
      </c>
      <c r="BB157" s="85">
        <f>(AW157+AY157+AZ157+BA157)/4</f>
        <v>0.73333333333333339</v>
      </c>
      <c r="BC157" s="13">
        <f>AP157/$H$154</f>
        <v>0.83333333333333337</v>
      </c>
      <c r="BD157" s="118">
        <f>AV157/AP157</f>
        <v>0.8</v>
      </c>
      <c r="BE157" s="13">
        <f>AO157/AP157</f>
        <v>20.8</v>
      </c>
      <c r="BF157" s="13">
        <f>AT157/$H$154</f>
        <v>0</v>
      </c>
      <c r="BG157" s="13">
        <f>AR157/$H$154</f>
        <v>0.77777777777777779</v>
      </c>
      <c r="BQ157" t="str">
        <f t="shared" si="279"/>
        <v>1-1 &amp; k=2 &amp; 0.880952380952381 &amp; 1 &amp; 0.936708860759494 &amp; 0.875 &amp; 1 &amp; 0.933333333333333 &amp; 0.657894736842105 &amp; 0.757575757575758 &amp; 0.704225352112676 &amp; 5 &amp; 5 &amp; 0.277777777777778 &amp; 1 \\ \hline</v>
      </c>
    </row>
    <row r="158" spans="1:69">
      <c r="A158" t="s">
        <v>308</v>
      </c>
      <c r="C158" s="98"/>
      <c r="J158" t="s">
        <v>680</v>
      </c>
      <c r="L158" s="212" t="s">
        <v>682</v>
      </c>
      <c r="M158" s="77"/>
      <c r="O158" s="81">
        <f>P158-0</f>
        <v>38</v>
      </c>
      <c r="P158" s="81">
        <f>$F$154-4</f>
        <v>38</v>
      </c>
      <c r="Q158" s="129">
        <f t="shared" si="267"/>
        <v>0.90476190476190477</v>
      </c>
      <c r="R158" s="129">
        <f t="shared" si="268"/>
        <v>1</v>
      </c>
      <c r="S158" s="127">
        <f t="shared" si="269"/>
        <v>0.95000000000000007</v>
      </c>
      <c r="U158" s="81">
        <f t="shared" si="270"/>
        <v>7</v>
      </c>
      <c r="V158" s="81">
        <f>$G$154-1</f>
        <v>7</v>
      </c>
      <c r="W158" s="129">
        <f t="shared" si="271"/>
        <v>0.875</v>
      </c>
      <c r="X158" s="129">
        <f t="shared" si="272"/>
        <v>1</v>
      </c>
      <c r="Y158" s="127">
        <f t="shared" si="273"/>
        <v>0.93333333333333335</v>
      </c>
      <c r="AA158" s="81">
        <f>AB158-4</f>
        <v>30</v>
      </c>
      <c r="AB158" s="81">
        <f>$I$154-4</f>
        <v>34</v>
      </c>
      <c r="AC158" s="129">
        <f t="shared" si="274"/>
        <v>0.78947368421052633</v>
      </c>
      <c r="AD158" s="129">
        <f t="shared" si="275"/>
        <v>0.88235294117647056</v>
      </c>
      <c r="AE158" s="127">
        <f t="shared" si="276"/>
        <v>0.83333333333333326</v>
      </c>
      <c r="AG158">
        <f t="shared" si="277"/>
        <v>8</v>
      </c>
      <c r="AH158">
        <v>8</v>
      </c>
      <c r="AI158" s="127">
        <f t="shared" si="278"/>
        <v>0.44444444444444442</v>
      </c>
      <c r="AJ158" s="127">
        <f t="shared" si="242"/>
        <v>1</v>
      </c>
      <c r="AM158" s="122">
        <v>0</v>
      </c>
      <c r="AN158" s="101">
        <v>0</v>
      </c>
      <c r="AO158">
        <v>294</v>
      </c>
      <c r="AP158">
        <v>18</v>
      </c>
      <c r="AQ158" s="101">
        <v>18</v>
      </c>
      <c r="AR158" s="101">
        <v>17</v>
      </c>
      <c r="AS158">
        <v>0</v>
      </c>
      <c r="AT158">
        <v>0</v>
      </c>
      <c r="AU158">
        <v>0</v>
      </c>
      <c r="AV158" s="119">
        <v>14</v>
      </c>
      <c r="AW158" s="101">
        <f>($F$154-N158)/$F$154</f>
        <v>1</v>
      </c>
      <c r="AY158" s="101">
        <f>($G$154-AN158)/$G$154</f>
        <v>1</v>
      </c>
      <c r="AZ158" s="101">
        <f>AR158/AQ158</f>
        <v>0.94444444444444442</v>
      </c>
      <c r="BA158" s="101">
        <v>0</v>
      </c>
      <c r="BB158" s="85">
        <f>(AW158+AY158+AZ158+BA158)/4</f>
        <v>0.73611111111111116</v>
      </c>
      <c r="BC158" s="13">
        <f>AP158/$H$154</f>
        <v>1</v>
      </c>
      <c r="BD158" s="118">
        <f>AV158/AP158</f>
        <v>0.77777777777777779</v>
      </c>
      <c r="BE158" s="13">
        <f>AO158/AP158</f>
        <v>16.333333333333332</v>
      </c>
      <c r="BF158" s="13">
        <f>AT158/$H$154</f>
        <v>0</v>
      </c>
      <c r="BG158" s="13">
        <f>AR158/$H$154</f>
        <v>0.94444444444444442</v>
      </c>
      <c r="BQ158" t="str">
        <f t="shared" si="279"/>
        <v>1-1 &amp; k=2 &amp; 0.904761904761905 &amp; 1 &amp; 0.95 &amp; 0.875 &amp; 1 &amp; 0.933333333333333 &amp; 0.789473684210526 &amp; 0.882352941176471 &amp; 0.833333333333333 &amp; 8 &amp; 8 &amp; 0.444444444444444 &amp; 1 \\ \hline</v>
      </c>
    </row>
    <row r="159" spans="1:69">
      <c r="A159" t="s">
        <v>309</v>
      </c>
      <c r="C159" s="98"/>
      <c r="J159" t="s">
        <v>681</v>
      </c>
      <c r="L159" s="212" t="s">
        <v>700</v>
      </c>
      <c r="M159" s="77"/>
      <c r="O159" s="81">
        <f>P159-0</f>
        <v>38</v>
      </c>
      <c r="P159" s="81">
        <f>$F$154-4</f>
        <v>38</v>
      </c>
      <c r="Q159" s="129">
        <f t="shared" si="267"/>
        <v>0.90476190476190477</v>
      </c>
      <c r="R159" s="129">
        <f t="shared" si="268"/>
        <v>1</v>
      </c>
      <c r="S159" s="127">
        <f t="shared" si="269"/>
        <v>0.95000000000000007</v>
      </c>
      <c r="U159" s="81">
        <f t="shared" si="270"/>
        <v>8</v>
      </c>
      <c r="V159" s="81">
        <f>$G$154-0</f>
        <v>8</v>
      </c>
      <c r="W159" s="129">
        <f t="shared" si="271"/>
        <v>1</v>
      </c>
      <c r="X159" s="129">
        <f t="shared" si="272"/>
        <v>1</v>
      </c>
      <c r="Y159" s="127">
        <f t="shared" si="273"/>
        <v>1</v>
      </c>
      <c r="AA159" s="81">
        <f>AB159-4</f>
        <v>30</v>
      </c>
      <c r="AB159" s="81">
        <f>$I$154-4</f>
        <v>34</v>
      </c>
      <c r="AC159" s="129">
        <f t="shared" si="274"/>
        <v>0.78947368421052633</v>
      </c>
      <c r="AD159" s="129">
        <f t="shared" si="275"/>
        <v>0.88235294117647056</v>
      </c>
      <c r="AE159" s="127">
        <f t="shared" si="276"/>
        <v>0.83333333333333326</v>
      </c>
      <c r="AG159">
        <f t="shared" si="277"/>
        <v>9</v>
      </c>
      <c r="AH159">
        <v>9</v>
      </c>
      <c r="AI159" s="127">
        <f t="shared" si="278"/>
        <v>0.5</v>
      </c>
      <c r="AJ159" s="127">
        <f t="shared" si="242"/>
        <v>1</v>
      </c>
      <c r="BC159" s="13"/>
      <c r="BD159" s="118"/>
      <c r="BE159" s="13"/>
      <c r="BF159" s="13"/>
      <c r="BG159" s="13"/>
      <c r="BQ159" t="str">
        <f t="shared" si="279"/>
        <v>1-1 &amp; k=3 &amp; 0.904761904761905 &amp; 1 &amp; 0.95 &amp; 1 &amp; 1 &amp; 1 &amp; 0.789473684210526 &amp; 0.882352941176471 &amp; 0.833333333333333 &amp; 9 &amp; 9 &amp; 0.5 &amp; 1 \\ \hline</v>
      </c>
    </row>
    <row r="160" spans="1:69">
      <c r="A160" t="s">
        <v>667</v>
      </c>
      <c r="C160" s="98"/>
      <c r="J160" t="s">
        <v>681</v>
      </c>
      <c r="L160" s="212" t="s">
        <v>700</v>
      </c>
      <c r="M160" s="77"/>
      <c r="O160" s="81">
        <f>P160-0</f>
        <v>38</v>
      </c>
      <c r="P160" s="81">
        <f>$F$154-4</f>
        <v>38</v>
      </c>
      <c r="Q160" s="129">
        <f t="shared" si="267"/>
        <v>0.90476190476190477</v>
      </c>
      <c r="R160" s="129">
        <f t="shared" si="268"/>
        <v>1</v>
      </c>
      <c r="S160" s="127">
        <f t="shared" si="269"/>
        <v>0.95000000000000007</v>
      </c>
      <c r="U160" s="81">
        <f t="shared" si="270"/>
        <v>7</v>
      </c>
      <c r="V160" s="81">
        <f>$G$154-1</f>
        <v>7</v>
      </c>
      <c r="W160" s="129">
        <f t="shared" si="271"/>
        <v>0.875</v>
      </c>
      <c r="X160" s="129">
        <f t="shared" si="272"/>
        <v>1</v>
      </c>
      <c r="Y160" s="127">
        <f t="shared" si="273"/>
        <v>0.93333333333333335</v>
      </c>
      <c r="AA160" s="81">
        <f>AB160-4</f>
        <v>30</v>
      </c>
      <c r="AB160" s="81">
        <f>$I$154-4</f>
        <v>34</v>
      </c>
      <c r="AC160" s="129">
        <f t="shared" si="274"/>
        <v>0.78947368421052633</v>
      </c>
      <c r="AD160" s="129">
        <f t="shared" si="275"/>
        <v>0.88235294117647056</v>
      </c>
      <c r="AE160" s="127">
        <f t="shared" si="276"/>
        <v>0.83333333333333326</v>
      </c>
      <c r="AG160">
        <f t="shared" si="277"/>
        <v>5</v>
      </c>
      <c r="AH160">
        <v>5</v>
      </c>
      <c r="AI160" s="127">
        <f t="shared" si="278"/>
        <v>0.27777777777777779</v>
      </c>
      <c r="AJ160" s="127">
        <f t="shared" si="242"/>
        <v>1</v>
      </c>
      <c r="BC160" s="13"/>
      <c r="BD160" s="118"/>
      <c r="BE160" s="13"/>
      <c r="BF160" s="13"/>
      <c r="BG160" s="13"/>
      <c r="BQ160" t="str">
        <f t="shared" si="279"/>
        <v>1-1 &amp; k=3 &amp; 0.904761904761905 &amp; 1 &amp; 0.95 &amp; 0.875 &amp; 1 &amp; 0.933333333333333 &amp; 0.789473684210526 &amp; 0.882352941176471 &amp; 0.833333333333333 &amp; 5 &amp; 5 &amp; 0.277777777777778 &amp; 1 \\ \hline</v>
      </c>
    </row>
    <row r="161" spans="1:69">
      <c r="C161" s="98"/>
      <c r="Q161" s="129"/>
      <c r="R161" s="129"/>
      <c r="S161" s="127"/>
      <c r="W161" s="129"/>
      <c r="X161" s="129"/>
      <c r="Y161" s="127"/>
      <c r="AC161" s="129"/>
      <c r="AD161" s="129"/>
      <c r="AE161" s="127"/>
      <c r="AG161"/>
      <c r="AH161"/>
      <c r="AI161" s="127"/>
      <c r="AJ161" s="127"/>
      <c r="AV161" s="119">
        <v>0</v>
      </c>
    </row>
    <row r="162" spans="1:69" s="75" customFormat="1">
      <c r="A162" s="75" t="s">
        <v>326</v>
      </c>
      <c r="B162" s="94">
        <v>45179</v>
      </c>
      <c r="C162" s="93" t="s">
        <v>166</v>
      </c>
      <c r="D162" s="78">
        <f>VLOOKUP($C$162,Overview!$Q$2:$AS$64,23,FALSE)</f>
        <v>0.97510654491951687</v>
      </c>
      <c r="E162" s="78" t="str">
        <f>VLOOKUP($C$162,Overview!$Q$2:$AS$64,24,FALSE)</f>
        <v>medium</v>
      </c>
      <c r="F162" s="75">
        <f>VLOOKUP(C162,Overview!$Q$2:$AS$64,13,FALSE)</f>
        <v>39</v>
      </c>
      <c r="G162" s="75">
        <f>VLOOKUP(C162,Overview!$Q$2:$AS$64,16,FALSE)</f>
        <v>13</v>
      </c>
      <c r="H162" s="75">
        <f>VLOOKUP(C162,Overview!$Q$2:$AS$64,18,FALSE)</f>
        <v>17</v>
      </c>
      <c r="I162" s="75">
        <f>VLOOKUP($C$162,Overview!$Q$2:$AS$64,19,FALSE)</f>
        <v>35</v>
      </c>
      <c r="K162" s="294" t="str">
        <f>VLOOKUP($C$162,Overview!$Q$2:$AS$64,5,FALSE)</f>
        <v>6-2, 3-7</v>
      </c>
      <c r="L162" s="293" t="s">
        <v>786</v>
      </c>
      <c r="N162" s="115"/>
      <c r="O162" s="97"/>
      <c r="P162" s="97"/>
      <c r="Q162" s="130"/>
      <c r="R162" s="130"/>
      <c r="S162" s="128"/>
      <c r="T162" s="115"/>
      <c r="U162" s="97"/>
      <c r="V162" s="97"/>
      <c r="W162" s="130"/>
      <c r="X162" s="130"/>
      <c r="Y162" s="128"/>
      <c r="Z162" s="115"/>
      <c r="AA162" s="97"/>
      <c r="AB162" s="97"/>
      <c r="AC162" s="130"/>
      <c r="AD162" s="130"/>
      <c r="AE162" s="128"/>
      <c r="AF162" s="115"/>
      <c r="AI162" s="128"/>
      <c r="AJ162" s="127"/>
      <c r="AK162" s="97"/>
      <c r="AL162" s="115"/>
      <c r="AM162" s="122"/>
      <c r="AN162" s="101"/>
      <c r="AQ162" s="101"/>
      <c r="AR162" s="101"/>
      <c r="AV162" s="119"/>
      <c r="AW162" s="101"/>
      <c r="AX162" s="101"/>
      <c r="AY162" s="101"/>
      <c r="AZ162" s="101"/>
      <c r="BA162" s="101"/>
      <c r="BB162" s="83"/>
      <c r="BD162" s="101"/>
      <c r="BQ162"/>
    </row>
    <row r="163" spans="1:69">
      <c r="A163" t="s">
        <v>305</v>
      </c>
      <c r="J163" t="s">
        <v>679</v>
      </c>
      <c r="K163" s="296" t="s">
        <v>787</v>
      </c>
      <c r="L163" s="211" t="s">
        <v>161</v>
      </c>
      <c r="M163" s="77"/>
      <c r="O163" s="81">
        <f>P163-4</f>
        <v>31</v>
      </c>
      <c r="P163" s="81">
        <f>$F$162-4</f>
        <v>35</v>
      </c>
      <c r="Q163" s="129">
        <f t="shared" ref="Q163:Q168" si="280">O163/$F$162</f>
        <v>0.79487179487179482</v>
      </c>
      <c r="R163" s="129">
        <f t="shared" ref="R163:R168" si="281">O163/P163</f>
        <v>0.88571428571428568</v>
      </c>
      <c r="S163" s="127">
        <f t="shared" ref="S163:S168" si="282">2*(Q163*R163)/(Q163+R163)</f>
        <v>0.83783783783783783</v>
      </c>
      <c r="U163" s="81">
        <f>V163-2</f>
        <v>9</v>
      </c>
      <c r="V163" s="81">
        <f>$G$162-2</f>
        <v>11</v>
      </c>
      <c r="W163" s="129">
        <f t="shared" ref="W163:W168" si="283">U163/$G$162</f>
        <v>0.69230769230769229</v>
      </c>
      <c r="X163" s="129">
        <f t="shared" ref="X163:X168" si="284">U163/V163</f>
        <v>0.81818181818181823</v>
      </c>
      <c r="Y163" s="127">
        <f t="shared" ref="Y163:Y168" si="285">2*(W163*X163)/(W163+X163)</f>
        <v>0.75000000000000011</v>
      </c>
      <c r="AA163" s="81">
        <f>AB163-10</f>
        <v>22</v>
      </c>
      <c r="AB163" s="81">
        <f>$I$162-3</f>
        <v>32</v>
      </c>
      <c r="AC163" s="129">
        <f t="shared" ref="AC163:AC168" si="286">AA163/$I$162</f>
        <v>0.62857142857142856</v>
      </c>
      <c r="AD163" s="129">
        <f t="shared" ref="AD163:AD168" si="287">AA163/AB163</f>
        <v>0.6875</v>
      </c>
      <c r="AE163" s="127">
        <f t="shared" ref="AE163:AE168" si="288">2*(AC163*AD163)/(AC163+AD163)</f>
        <v>0.65671641791044777</v>
      </c>
      <c r="AG163">
        <f t="shared" ref="AG163:AG168" si="289">AH163-1</f>
        <v>5</v>
      </c>
      <c r="AH163">
        <v>6</v>
      </c>
      <c r="AI163" s="127">
        <f t="shared" ref="AI163:AI168" si="290">AG163/$H$162</f>
        <v>0.29411764705882354</v>
      </c>
      <c r="AJ163" s="127">
        <f t="shared" si="242"/>
        <v>0.83333333333333337</v>
      </c>
      <c r="AM163" s="122">
        <v>1</v>
      </c>
      <c r="AN163" s="101">
        <v>1</v>
      </c>
      <c r="AO163">
        <v>194</v>
      </c>
      <c r="AP163">
        <v>11</v>
      </c>
      <c r="AQ163" s="101">
        <v>10</v>
      </c>
      <c r="AR163" s="101">
        <v>9</v>
      </c>
      <c r="AS163">
        <v>1</v>
      </c>
      <c r="AT163">
        <v>0</v>
      </c>
      <c r="AU163">
        <v>0</v>
      </c>
      <c r="AV163" s="119">
        <v>7</v>
      </c>
      <c r="AW163" s="101">
        <f>($F$162-N163)/$F$162</f>
        <v>1</v>
      </c>
      <c r="AY163" s="101">
        <f>($G$162-AN163)/$G$162</f>
        <v>0.92307692307692313</v>
      </c>
      <c r="AZ163" s="101">
        <f>AR163/AQ163</f>
        <v>0.9</v>
      </c>
      <c r="BA163" s="101">
        <f>AT163/AS163</f>
        <v>0</v>
      </c>
      <c r="BB163" s="85">
        <f>(AW163+AY163+AZ163+BA163)/4</f>
        <v>0.70576923076923082</v>
      </c>
      <c r="BC163" s="13">
        <f>AP163/$H$162</f>
        <v>0.6470588235294118</v>
      </c>
      <c r="BD163" s="118">
        <f>AV163/AP163</f>
        <v>0.63636363636363635</v>
      </c>
      <c r="BE163" s="13">
        <f>AO163/AP163</f>
        <v>17.636363636363637</v>
      </c>
      <c r="BF163" s="13">
        <f>AT163/$H$162</f>
        <v>0</v>
      </c>
      <c r="BG163" s="13">
        <f>AR163/$H$162</f>
        <v>0.52941176470588236</v>
      </c>
      <c r="BQ163" t="str">
        <f>_xlfn.CONCAT($C$162," &amp; ",J163," &amp; ",Q163," &amp; ",R163," &amp; ",S163," &amp; ",W163," &amp; ",X163," &amp; ",Y163," &amp; ",AC163," &amp; ",AD163," &amp; ",AE163," &amp; ",AG163," &amp; ",AH163," &amp; ",AI163," &amp; ",AJ163, " \\ \hline")</f>
        <v>9-4 &amp; k=1 &amp; 0.794871794871795 &amp; 0.885714285714286 &amp; 0.837837837837838 &amp; 0.692307692307692 &amp; 0.818181818181818 &amp; 0.75 &amp; 0.628571428571429 &amp; 0.6875 &amp; 0.656716417910448 &amp; 5 &amp; 6 &amp; 0.294117647058824 &amp; 0.833333333333333 \\ \hline</v>
      </c>
    </row>
    <row r="164" spans="1:69">
      <c r="A164" t="s">
        <v>306</v>
      </c>
      <c r="C164" s="98"/>
      <c r="J164" t="s">
        <v>679</v>
      </c>
      <c r="L164" s="211" t="s">
        <v>161</v>
      </c>
      <c r="M164" s="77"/>
      <c r="O164" s="81">
        <f>P164-5</f>
        <v>30</v>
      </c>
      <c r="P164" s="81">
        <f>$F$162-4</f>
        <v>35</v>
      </c>
      <c r="Q164" s="129">
        <f t="shared" si="280"/>
        <v>0.76923076923076927</v>
      </c>
      <c r="R164" s="129">
        <f t="shared" si="281"/>
        <v>0.8571428571428571</v>
      </c>
      <c r="S164" s="127">
        <f t="shared" si="282"/>
        <v>0.81081081081081074</v>
      </c>
      <c r="U164" s="81">
        <f>V164-3</f>
        <v>8</v>
      </c>
      <c r="V164" s="81">
        <f>$G$162-2</f>
        <v>11</v>
      </c>
      <c r="W164" s="129">
        <f t="shared" si="283"/>
        <v>0.61538461538461542</v>
      </c>
      <c r="X164" s="129">
        <f t="shared" si="284"/>
        <v>0.72727272727272729</v>
      </c>
      <c r="Y164" s="127">
        <f t="shared" si="285"/>
        <v>0.66666666666666674</v>
      </c>
      <c r="AA164" s="81">
        <f>AB164-10</f>
        <v>22</v>
      </c>
      <c r="AB164" s="81">
        <f>$I$162-3</f>
        <v>32</v>
      </c>
      <c r="AC164" s="129">
        <f t="shared" si="286"/>
        <v>0.62857142857142856</v>
      </c>
      <c r="AD164" s="129">
        <f t="shared" si="287"/>
        <v>0.6875</v>
      </c>
      <c r="AE164" s="127">
        <f t="shared" si="288"/>
        <v>0.65671641791044777</v>
      </c>
      <c r="AG164">
        <f t="shared" si="289"/>
        <v>6</v>
      </c>
      <c r="AH164">
        <v>7</v>
      </c>
      <c r="AI164" s="127">
        <f t="shared" si="290"/>
        <v>0.35294117647058826</v>
      </c>
      <c r="AJ164" s="127">
        <f t="shared" si="242"/>
        <v>0.8571428571428571</v>
      </c>
      <c r="AM164" s="122">
        <v>1</v>
      </c>
      <c r="AN164" s="101">
        <v>1</v>
      </c>
      <c r="AO164">
        <v>367</v>
      </c>
      <c r="AP164">
        <v>14</v>
      </c>
      <c r="AQ164" s="101">
        <v>12</v>
      </c>
      <c r="AR164" s="101">
        <v>11</v>
      </c>
      <c r="AS164">
        <v>2</v>
      </c>
      <c r="AT164">
        <v>1</v>
      </c>
      <c r="AU164">
        <v>0</v>
      </c>
      <c r="AV164" s="119">
        <v>7</v>
      </c>
      <c r="AW164" s="101">
        <f>($F$162-N164)/$F$162</f>
        <v>1</v>
      </c>
      <c r="AY164" s="101">
        <f>($G$162-AN164)/$G$162</f>
        <v>0.92307692307692313</v>
      </c>
      <c r="AZ164" s="101">
        <f>AR164/AQ164</f>
        <v>0.91666666666666663</v>
      </c>
      <c r="BA164" s="101">
        <f>AT164/AS164</f>
        <v>0.5</v>
      </c>
      <c r="BB164" s="85">
        <f>(AW164+AY164+AZ164+BA164)/4</f>
        <v>0.83493589743589747</v>
      </c>
      <c r="BC164" s="13">
        <f>AP164/$H$162</f>
        <v>0.82352941176470584</v>
      </c>
      <c r="BD164" s="118">
        <f>AV164/AP164</f>
        <v>0.5</v>
      </c>
      <c r="BE164" s="13">
        <f>AO164/AP164</f>
        <v>26.214285714285715</v>
      </c>
      <c r="BF164" s="13">
        <f>AT164/$H$162</f>
        <v>5.8823529411764705E-2</v>
      </c>
      <c r="BG164" s="13">
        <f>AR164/$H$162</f>
        <v>0.6470588235294118</v>
      </c>
      <c r="BQ164" t="str">
        <f t="shared" ref="BQ164:BQ168" si="291">_xlfn.CONCAT($C$162," &amp; ",J164," &amp; ",Q164," &amp; ",R164," &amp; ",S164," &amp; ",W164," &amp; ",X164," &amp; ",Y164," &amp; ",AC164," &amp; ",AD164," &amp; ",AE164," &amp; ",AG164," &amp; ",AH164," &amp; ",AI164," &amp; ",AJ164, " \\ \hline")</f>
        <v>9-4 &amp; k=1 &amp; 0.769230769230769 &amp; 0.857142857142857 &amp; 0.810810810810811 &amp; 0.615384615384615 &amp; 0.727272727272727 &amp; 0.666666666666667 &amp; 0.628571428571429 &amp; 0.6875 &amp; 0.656716417910448 &amp; 6 &amp; 7 &amp; 0.352941176470588 &amp; 0.857142857142857 \\ \hline</v>
      </c>
    </row>
    <row r="165" spans="1:69">
      <c r="A165" t="s">
        <v>307</v>
      </c>
      <c r="C165" s="98"/>
      <c r="J165" t="s">
        <v>680</v>
      </c>
      <c r="L165" s="211" t="s">
        <v>693</v>
      </c>
      <c r="M165" s="77"/>
      <c r="O165" s="81">
        <f>P165-5</f>
        <v>33</v>
      </c>
      <c r="P165" s="81">
        <f>$F$162-1</f>
        <v>38</v>
      </c>
      <c r="Q165" s="129">
        <f t="shared" si="280"/>
        <v>0.84615384615384615</v>
      </c>
      <c r="R165" s="129">
        <f t="shared" si="281"/>
        <v>0.86842105263157898</v>
      </c>
      <c r="S165" s="127">
        <f t="shared" si="282"/>
        <v>0.85714285714285721</v>
      </c>
      <c r="U165" s="81">
        <f>V165-1</f>
        <v>9</v>
      </c>
      <c r="V165" s="81">
        <f>$G$162-3</f>
        <v>10</v>
      </c>
      <c r="W165" s="129">
        <f t="shared" si="283"/>
        <v>0.69230769230769229</v>
      </c>
      <c r="X165" s="129">
        <f t="shared" si="284"/>
        <v>0.9</v>
      </c>
      <c r="Y165" s="127">
        <f t="shared" si="285"/>
        <v>0.78260869565217384</v>
      </c>
      <c r="AA165" s="81">
        <f>AB165-5</f>
        <v>29</v>
      </c>
      <c r="AB165" s="81">
        <f>$I$162-1</f>
        <v>34</v>
      </c>
      <c r="AC165" s="129">
        <f t="shared" si="286"/>
        <v>0.82857142857142863</v>
      </c>
      <c r="AD165" s="129">
        <f t="shared" si="287"/>
        <v>0.8529411764705882</v>
      </c>
      <c r="AE165" s="127">
        <f t="shared" si="288"/>
        <v>0.84057971014492761</v>
      </c>
      <c r="AG165">
        <f t="shared" si="289"/>
        <v>8</v>
      </c>
      <c r="AH165">
        <v>9</v>
      </c>
      <c r="AI165" s="127">
        <f t="shared" si="290"/>
        <v>0.47058823529411764</v>
      </c>
      <c r="AJ165" s="127">
        <f t="shared" si="242"/>
        <v>0.88888888888888884</v>
      </c>
      <c r="AM165" s="122">
        <v>1</v>
      </c>
      <c r="AN165" s="101">
        <v>1</v>
      </c>
      <c r="AO165">
        <v>284</v>
      </c>
      <c r="AP165">
        <v>16</v>
      </c>
      <c r="AQ165" s="101">
        <v>14</v>
      </c>
      <c r="AR165" s="101">
        <v>13</v>
      </c>
      <c r="AS165">
        <v>2</v>
      </c>
      <c r="AT165">
        <v>1</v>
      </c>
      <c r="AU165">
        <v>0</v>
      </c>
      <c r="AV165" s="119">
        <v>9</v>
      </c>
      <c r="AW165" s="101">
        <f>($F$162-N165)/$F$162</f>
        <v>1</v>
      </c>
      <c r="AY165" s="101">
        <f>($G$162-AN165)/$G$162</f>
        <v>0.92307692307692313</v>
      </c>
      <c r="AZ165" s="101">
        <f>AR165/AQ165</f>
        <v>0.9285714285714286</v>
      </c>
      <c r="BA165" s="101">
        <f>AT165/AS165</f>
        <v>0.5</v>
      </c>
      <c r="BB165" s="85">
        <f>(AW165+AY165+AZ165+BA165)/4</f>
        <v>0.83791208791208793</v>
      </c>
      <c r="BC165" s="13">
        <f>AP165/$H$162</f>
        <v>0.94117647058823528</v>
      </c>
      <c r="BD165" s="118">
        <f>AV165/AP165</f>
        <v>0.5625</v>
      </c>
      <c r="BE165" s="13">
        <f>AO165/AP165</f>
        <v>17.75</v>
      </c>
      <c r="BF165" s="13">
        <f>AT165/$H$162</f>
        <v>5.8823529411764705E-2</v>
      </c>
      <c r="BG165" s="13">
        <f>AR165/$H$162</f>
        <v>0.76470588235294112</v>
      </c>
      <c r="BQ165" t="str">
        <f t="shared" si="291"/>
        <v>9-4 &amp; k=2 &amp; 0.846153846153846 &amp; 0.868421052631579 &amp; 0.857142857142857 &amp; 0.692307692307692 &amp; 0.9 &amp; 0.782608695652174 &amp; 0.828571428571429 &amp; 0.852941176470588 &amp; 0.840579710144928 &amp; 8 &amp; 9 &amp; 0.470588235294118 &amp; 0.888888888888889 \\ \hline</v>
      </c>
    </row>
    <row r="166" spans="1:69">
      <c r="A166" t="s">
        <v>308</v>
      </c>
      <c r="C166" s="98"/>
      <c r="J166" t="s">
        <v>680</v>
      </c>
      <c r="L166" s="211" t="s">
        <v>693</v>
      </c>
      <c r="M166" s="77"/>
      <c r="O166" s="81">
        <f>P166-4</f>
        <v>31</v>
      </c>
      <c r="P166" s="81">
        <f>$F$162-4</f>
        <v>35</v>
      </c>
      <c r="Q166" s="129">
        <f t="shared" si="280"/>
        <v>0.79487179487179482</v>
      </c>
      <c r="R166" s="129">
        <f t="shared" si="281"/>
        <v>0.88571428571428568</v>
      </c>
      <c r="S166" s="127">
        <f t="shared" si="282"/>
        <v>0.83783783783783783</v>
      </c>
      <c r="U166" s="81">
        <f>V166-2</f>
        <v>9</v>
      </c>
      <c r="V166" s="81">
        <f>$G$162-2</f>
        <v>11</v>
      </c>
      <c r="W166" s="129">
        <f t="shared" si="283"/>
        <v>0.69230769230769229</v>
      </c>
      <c r="X166" s="129">
        <f t="shared" si="284"/>
        <v>0.81818181818181823</v>
      </c>
      <c r="Y166" s="127">
        <f t="shared" si="285"/>
        <v>0.75000000000000011</v>
      </c>
      <c r="AA166" s="81">
        <f>AB166-10</f>
        <v>22</v>
      </c>
      <c r="AB166" s="81">
        <f>$I$162-3</f>
        <v>32</v>
      </c>
      <c r="AC166" s="129">
        <f t="shared" si="286"/>
        <v>0.62857142857142856</v>
      </c>
      <c r="AD166" s="129">
        <f t="shared" si="287"/>
        <v>0.6875</v>
      </c>
      <c r="AE166" s="127">
        <f t="shared" si="288"/>
        <v>0.65671641791044777</v>
      </c>
      <c r="AG166">
        <f t="shared" si="289"/>
        <v>3</v>
      </c>
      <c r="AH166">
        <v>4</v>
      </c>
      <c r="AI166" s="127">
        <f t="shared" si="290"/>
        <v>0.17647058823529413</v>
      </c>
      <c r="AJ166" s="127">
        <f t="shared" si="242"/>
        <v>0.75</v>
      </c>
      <c r="AM166" s="122">
        <v>1</v>
      </c>
      <c r="AN166" s="101">
        <v>1</v>
      </c>
      <c r="AO166">
        <v>387</v>
      </c>
      <c r="AP166">
        <v>18</v>
      </c>
      <c r="AQ166" s="101">
        <v>15</v>
      </c>
      <c r="AR166" s="101">
        <v>14</v>
      </c>
      <c r="AS166">
        <v>2</v>
      </c>
      <c r="AT166">
        <v>1</v>
      </c>
      <c r="AU166">
        <v>0</v>
      </c>
      <c r="AV166" s="119">
        <v>13</v>
      </c>
      <c r="AW166" s="101">
        <f>($F$162-N166)/$F$162</f>
        <v>1</v>
      </c>
      <c r="AY166" s="101">
        <f>($G$162-AN166)/$G$162</f>
        <v>0.92307692307692313</v>
      </c>
      <c r="AZ166" s="101">
        <f>AR166/AQ166</f>
        <v>0.93333333333333335</v>
      </c>
      <c r="BA166" s="101">
        <f>AT166/AS166</f>
        <v>0.5</v>
      </c>
      <c r="BB166" s="85">
        <f>(AW166+AY166+AZ166+BA166)/4</f>
        <v>0.83910256410256412</v>
      </c>
      <c r="BC166" s="13">
        <f>AP166/$H$162</f>
        <v>1.0588235294117647</v>
      </c>
      <c r="BD166" s="118">
        <f>AV166/AP166</f>
        <v>0.72222222222222221</v>
      </c>
      <c r="BE166" s="13">
        <f>AO166/AP166</f>
        <v>21.5</v>
      </c>
      <c r="BF166" s="13">
        <f>AT166/$H$162</f>
        <v>5.8823529411764705E-2</v>
      </c>
      <c r="BG166" s="13">
        <f>AR166/$H$162</f>
        <v>0.82352941176470584</v>
      </c>
      <c r="BQ166" t="str">
        <f t="shared" si="291"/>
        <v>9-4 &amp; k=2 &amp; 0.794871794871795 &amp; 0.885714285714286 &amp; 0.837837837837838 &amp; 0.692307692307692 &amp; 0.818181818181818 &amp; 0.75 &amp; 0.628571428571429 &amp; 0.6875 &amp; 0.656716417910448 &amp; 3 &amp; 4 &amp; 0.176470588235294 &amp; 0.75 \\ \hline</v>
      </c>
    </row>
    <row r="167" spans="1:69">
      <c r="A167" t="s">
        <v>309</v>
      </c>
      <c r="C167" s="98"/>
      <c r="J167" t="s">
        <v>681</v>
      </c>
      <c r="L167" s="211" t="s">
        <v>694</v>
      </c>
      <c r="O167" s="81">
        <f>P167-5</f>
        <v>31</v>
      </c>
      <c r="P167" s="81">
        <f>$F$162-3</f>
        <v>36</v>
      </c>
      <c r="Q167" s="129">
        <f t="shared" si="280"/>
        <v>0.79487179487179482</v>
      </c>
      <c r="R167" s="129">
        <f t="shared" si="281"/>
        <v>0.86111111111111116</v>
      </c>
      <c r="S167" s="127">
        <f t="shared" si="282"/>
        <v>0.82666666666666666</v>
      </c>
      <c r="U167" s="81">
        <f>V167-1</f>
        <v>9</v>
      </c>
      <c r="V167" s="81">
        <f>$G$162-3</f>
        <v>10</v>
      </c>
      <c r="W167" s="129">
        <f t="shared" si="283"/>
        <v>0.69230769230769229</v>
      </c>
      <c r="X167" s="129">
        <f t="shared" si="284"/>
        <v>0.9</v>
      </c>
      <c r="Y167" s="127">
        <f t="shared" si="285"/>
        <v>0.78260869565217384</v>
      </c>
      <c r="AA167" s="81">
        <f>AB167-3</f>
        <v>29</v>
      </c>
      <c r="AB167" s="81">
        <f>$I$162-3</f>
        <v>32</v>
      </c>
      <c r="AC167" s="129">
        <f t="shared" si="286"/>
        <v>0.82857142857142863</v>
      </c>
      <c r="AD167" s="129">
        <f t="shared" si="287"/>
        <v>0.90625</v>
      </c>
      <c r="AE167" s="127">
        <f t="shared" si="288"/>
        <v>0.86567164179104472</v>
      </c>
      <c r="AG167">
        <f t="shared" si="289"/>
        <v>5</v>
      </c>
      <c r="AH167">
        <v>6</v>
      </c>
      <c r="AI167" s="127">
        <f t="shared" si="290"/>
        <v>0.29411764705882354</v>
      </c>
      <c r="AJ167" s="127">
        <f t="shared" si="242"/>
        <v>0.83333333333333337</v>
      </c>
      <c r="BQ167" t="str">
        <f t="shared" si="291"/>
        <v>9-4 &amp; k=3 &amp; 0.794871794871795 &amp; 0.861111111111111 &amp; 0.826666666666667 &amp; 0.692307692307692 &amp; 0.9 &amp; 0.782608695652174 &amp; 0.828571428571429 &amp; 0.90625 &amp; 0.865671641791045 &amp; 5 &amp; 6 &amp; 0.294117647058824 &amp; 0.833333333333333 \\ \hline</v>
      </c>
    </row>
    <row r="168" spans="1:69">
      <c r="A168" t="s">
        <v>667</v>
      </c>
      <c r="C168" s="98"/>
      <c r="J168" t="s">
        <v>681</v>
      </c>
      <c r="L168" s="211" t="s">
        <v>694</v>
      </c>
      <c r="O168" s="81">
        <f>P168-1</f>
        <v>35</v>
      </c>
      <c r="P168" s="81">
        <f>$F$162-3</f>
        <v>36</v>
      </c>
      <c r="Q168" s="129">
        <f t="shared" si="280"/>
        <v>0.89743589743589747</v>
      </c>
      <c r="R168" s="129">
        <f t="shared" si="281"/>
        <v>0.97222222222222221</v>
      </c>
      <c r="S168" s="127">
        <f t="shared" si="282"/>
        <v>0.93333333333333335</v>
      </c>
      <c r="U168" s="81">
        <f>V168-1</f>
        <v>11</v>
      </c>
      <c r="V168" s="81">
        <f>$G$162-1</f>
        <v>12</v>
      </c>
      <c r="W168" s="129">
        <f t="shared" si="283"/>
        <v>0.84615384615384615</v>
      </c>
      <c r="X168" s="129">
        <f t="shared" si="284"/>
        <v>0.91666666666666663</v>
      </c>
      <c r="Y168" s="127">
        <f t="shared" si="285"/>
        <v>0.87999999999999989</v>
      </c>
      <c r="AA168" s="81">
        <f>AB168-3</f>
        <v>29</v>
      </c>
      <c r="AB168" s="81">
        <f>$I$162-3</f>
        <v>32</v>
      </c>
      <c r="AC168" s="129">
        <f t="shared" si="286"/>
        <v>0.82857142857142863</v>
      </c>
      <c r="AD168" s="129">
        <f t="shared" si="287"/>
        <v>0.90625</v>
      </c>
      <c r="AE168" s="127">
        <f t="shared" si="288"/>
        <v>0.86567164179104472</v>
      </c>
      <c r="AG168">
        <f t="shared" si="289"/>
        <v>1</v>
      </c>
      <c r="AH168">
        <v>2</v>
      </c>
      <c r="AI168" s="127">
        <f t="shared" si="290"/>
        <v>5.8823529411764705E-2</v>
      </c>
      <c r="AJ168" s="127">
        <f t="shared" si="242"/>
        <v>0.5</v>
      </c>
      <c r="BQ168" t="str">
        <f t="shared" si="291"/>
        <v>9-4 &amp; k=3 &amp; 0.897435897435897 &amp; 0.972222222222222 &amp; 0.933333333333333 &amp; 0.846153846153846 &amp; 0.916666666666667 &amp; 0.88 &amp; 0.828571428571429 &amp; 0.90625 &amp; 0.865671641791045 &amp; 1 &amp; 2 &amp; 0.0588235294117647 &amp; 0.5 \\ \hline</v>
      </c>
    </row>
    <row r="169" spans="1:69">
      <c r="C169" s="98"/>
      <c r="L169" s="174"/>
      <c r="Q169" s="129"/>
      <c r="R169" s="129"/>
      <c r="S169" s="127"/>
      <c r="W169" s="129"/>
      <c r="X169" s="129"/>
      <c r="Y169" s="127"/>
      <c r="AC169" s="129"/>
      <c r="AD169" s="129"/>
      <c r="AE169" s="127"/>
      <c r="AG169"/>
      <c r="AH169"/>
      <c r="AI169" s="127"/>
      <c r="AJ169" s="127"/>
    </row>
    <row r="170" spans="1:69" s="75" customFormat="1">
      <c r="A170" s="75" t="s">
        <v>327</v>
      </c>
      <c r="B170" s="94">
        <v>45179</v>
      </c>
      <c r="C170" s="93" t="s">
        <v>164</v>
      </c>
      <c r="D170" s="78">
        <f>VLOOKUP($C$170,Overview!$Q$2:$AS$64,23,FALSE)</f>
        <v>1.0040864084632239</v>
      </c>
      <c r="E170" s="78" t="str">
        <f>VLOOKUP($C$170,Overview!$Q$2:$AS$64,24,FALSE)</f>
        <v>medium</v>
      </c>
      <c r="F170" s="75">
        <f>VLOOKUP(C170,Overview!$Q$2:$AS$64,13,FALSE)</f>
        <v>36</v>
      </c>
      <c r="G170" s="75">
        <f>VLOOKUP(C170,Overview!$Q$2:$AS$64,16,FALSE)</f>
        <v>15</v>
      </c>
      <c r="H170" s="75">
        <f>VLOOKUP(C170,Overview!$Q$2:$AS$64,18,FALSE)</f>
        <v>16</v>
      </c>
      <c r="I170" s="75">
        <f>VLOOKUP($C$170,Overview!$Q$2:$AS$64,19,FALSE)</f>
        <v>33</v>
      </c>
      <c r="K170" s="294" t="str">
        <f>VLOOKUP($C$170,Overview!$Q$2:$AS$64,5,FALSE)</f>
        <v>5-2, 3-7</v>
      </c>
      <c r="L170" s="293" t="s">
        <v>783</v>
      </c>
      <c r="N170" s="115"/>
      <c r="O170" s="97"/>
      <c r="P170" s="97"/>
      <c r="Q170" s="130"/>
      <c r="R170" s="130"/>
      <c r="S170" s="128"/>
      <c r="T170" s="115"/>
      <c r="U170" s="97"/>
      <c r="V170" s="97"/>
      <c r="W170" s="130"/>
      <c r="X170" s="130"/>
      <c r="Y170" s="128"/>
      <c r="Z170" s="115"/>
      <c r="AA170" s="97"/>
      <c r="AB170" s="97"/>
      <c r="AC170" s="130"/>
      <c r="AD170" s="130"/>
      <c r="AE170" s="128"/>
      <c r="AF170" s="115"/>
      <c r="AI170" s="128"/>
      <c r="AJ170" s="127"/>
      <c r="AK170" s="97"/>
      <c r="AL170" s="115"/>
      <c r="AM170" s="122"/>
      <c r="AN170" s="101"/>
      <c r="AQ170" s="101"/>
      <c r="AR170" s="101"/>
      <c r="AV170" s="119"/>
      <c r="AW170" s="101"/>
      <c r="AX170" s="101"/>
      <c r="AY170" s="101"/>
      <c r="AZ170" s="101"/>
      <c r="BA170" s="101"/>
      <c r="BB170" s="83"/>
      <c r="BD170" s="101"/>
      <c r="BQ170"/>
    </row>
    <row r="171" spans="1:69">
      <c r="A171" t="s">
        <v>305</v>
      </c>
      <c r="J171" t="s">
        <v>679</v>
      </c>
      <c r="K171" s="296" t="s">
        <v>787</v>
      </c>
      <c r="L171" s="211" t="s">
        <v>149</v>
      </c>
      <c r="M171" s="77"/>
      <c r="O171" s="81">
        <f>P171-8</f>
        <v>27</v>
      </c>
      <c r="P171" s="81">
        <f>$F$170-1</f>
        <v>35</v>
      </c>
      <c r="Q171" s="129">
        <f t="shared" ref="Q171:Q176" si="292">O171/$F$170</f>
        <v>0.75</v>
      </c>
      <c r="R171" s="129">
        <f t="shared" ref="R171:R176" si="293">O171/P171</f>
        <v>0.77142857142857146</v>
      </c>
      <c r="S171" s="127">
        <f t="shared" ref="S171:S176" si="294">2*(Q171*R171)/(Q171+R171)</f>
        <v>0.76056338028169024</v>
      </c>
      <c r="U171" s="81">
        <f>V171-5</f>
        <v>8</v>
      </c>
      <c r="V171" s="81">
        <f>$G$170-2</f>
        <v>13</v>
      </c>
      <c r="W171" s="129">
        <f t="shared" ref="W171:W176" si="295">U171/$G$170</f>
        <v>0.53333333333333333</v>
      </c>
      <c r="X171" s="129">
        <f t="shared" ref="X171:X176" si="296">U171/V171</f>
        <v>0.61538461538461542</v>
      </c>
      <c r="Y171" s="127">
        <f t="shared" ref="Y171:Y176" si="297">2*(W171*X171)/(W171+X171)</f>
        <v>0.57142857142857151</v>
      </c>
      <c r="AA171" s="81">
        <f>AB171-4</f>
        <v>28</v>
      </c>
      <c r="AB171" s="81">
        <f>$I$170-1</f>
        <v>32</v>
      </c>
      <c r="AC171" s="129">
        <f t="shared" ref="AC171:AC176" si="298">AA171/$I$170</f>
        <v>0.84848484848484851</v>
      </c>
      <c r="AD171" s="129">
        <f t="shared" ref="AD171:AD176" si="299">AA171/AB171</f>
        <v>0.875</v>
      </c>
      <c r="AE171" s="127">
        <f t="shared" ref="AE171:AE176" si="300">2*(AC171*AD171)/(AC171+AD171)</f>
        <v>0.86153846153846148</v>
      </c>
      <c r="AG171">
        <f t="shared" ref="AG171:AG176" si="301">AH171-0</f>
        <v>3</v>
      </c>
      <c r="AH171">
        <v>3</v>
      </c>
      <c r="AI171" s="127">
        <f t="shared" ref="AI171:AI176" si="302">AG171/$H$170</f>
        <v>0.1875</v>
      </c>
      <c r="AJ171" s="127">
        <f t="shared" si="242"/>
        <v>1</v>
      </c>
      <c r="AM171" s="122">
        <v>6</v>
      </c>
      <c r="AN171" s="101">
        <v>5</v>
      </c>
      <c r="AO171">
        <v>348</v>
      </c>
      <c r="AP171">
        <v>16</v>
      </c>
      <c r="AQ171" s="101">
        <v>16</v>
      </c>
      <c r="AR171" s="101">
        <v>13</v>
      </c>
      <c r="AS171">
        <v>0</v>
      </c>
      <c r="AT171">
        <v>0</v>
      </c>
      <c r="AU171">
        <v>0</v>
      </c>
      <c r="AV171" s="119">
        <v>14</v>
      </c>
      <c r="AW171" s="101">
        <f>($F$170-N171)/$F$170</f>
        <v>1</v>
      </c>
      <c r="AY171" s="101">
        <f>($G$170-AN171)/$G$170</f>
        <v>0.66666666666666663</v>
      </c>
      <c r="AZ171" s="101">
        <f>AR171/AQ171</f>
        <v>0.8125</v>
      </c>
      <c r="BA171" s="101">
        <v>0</v>
      </c>
      <c r="BB171" s="85">
        <f>(AW171+AY171+AZ171+BA171)/4</f>
        <v>0.61979166666666663</v>
      </c>
      <c r="BC171" s="13">
        <f>AP171/$H$170</f>
        <v>1</v>
      </c>
      <c r="BD171" s="118">
        <f>AV171/AP171</f>
        <v>0.875</v>
      </c>
      <c r="BE171" s="13">
        <f>AO171/AP171</f>
        <v>21.75</v>
      </c>
      <c r="BF171" s="13">
        <f>AT171/$H$170</f>
        <v>0</v>
      </c>
      <c r="BG171" s="13">
        <f>AR171/$H$170</f>
        <v>0.8125</v>
      </c>
      <c r="BQ171" t="str">
        <f>_xlfn.CONCAT($C$170," &amp; ",J171," &amp; ",Q171," &amp; ",R171," &amp; ",S171," &amp; ",W171," &amp; ",X171," &amp; ",Y171," &amp; ",AC171," &amp; ",AD171," &amp; ",AE171," &amp; ",AG171," &amp; ",AH171," &amp; ",AI171," &amp; ",AJ171, " \\ \hline")</f>
        <v>9-2 &amp; k=1 &amp; 0.75 &amp; 0.771428571428571 &amp; 0.76056338028169 &amp; 0.533333333333333 &amp; 0.615384615384615 &amp; 0.571428571428572 &amp; 0.848484848484849 &amp; 0.875 &amp; 0.861538461538461 &amp; 3 &amp; 3 &amp; 0.1875 &amp; 1 \\ \hline</v>
      </c>
    </row>
    <row r="172" spans="1:69">
      <c r="A172" t="s">
        <v>306</v>
      </c>
      <c r="C172" s="98"/>
      <c r="J172" t="s">
        <v>679</v>
      </c>
      <c r="L172" s="211" t="s">
        <v>149</v>
      </c>
      <c r="M172" s="77"/>
      <c r="O172" s="81">
        <f>P172-8</f>
        <v>27</v>
      </c>
      <c r="P172" s="81">
        <f>$F$170-1</f>
        <v>35</v>
      </c>
      <c r="Q172" s="129">
        <f t="shared" si="292"/>
        <v>0.75</v>
      </c>
      <c r="R172" s="129">
        <f t="shared" si="293"/>
        <v>0.77142857142857146</v>
      </c>
      <c r="S172" s="127">
        <f t="shared" si="294"/>
        <v>0.76056338028169024</v>
      </c>
      <c r="U172" s="81">
        <f>V172-3</f>
        <v>9</v>
      </c>
      <c r="V172" s="81">
        <f>$G$170-3</f>
        <v>12</v>
      </c>
      <c r="W172" s="129">
        <f t="shared" si="295"/>
        <v>0.6</v>
      </c>
      <c r="X172" s="129">
        <f t="shared" si="296"/>
        <v>0.75</v>
      </c>
      <c r="Y172" s="127">
        <f t="shared" si="297"/>
        <v>0.66666666666666652</v>
      </c>
      <c r="AA172" s="81">
        <f>AB172-6</f>
        <v>26</v>
      </c>
      <c r="AB172" s="81">
        <f>$I$170-1</f>
        <v>32</v>
      </c>
      <c r="AC172" s="129">
        <f t="shared" si="298"/>
        <v>0.78787878787878785</v>
      </c>
      <c r="AD172" s="129">
        <f t="shared" si="299"/>
        <v>0.8125</v>
      </c>
      <c r="AE172" s="127">
        <f t="shared" si="300"/>
        <v>0.8</v>
      </c>
      <c r="AG172">
        <f t="shared" si="301"/>
        <v>6</v>
      </c>
      <c r="AH172">
        <v>6</v>
      </c>
      <c r="AI172" s="127">
        <f t="shared" si="302"/>
        <v>0.375</v>
      </c>
      <c r="AJ172" s="127">
        <f t="shared" si="242"/>
        <v>1</v>
      </c>
      <c r="AM172" s="122">
        <v>1</v>
      </c>
      <c r="AN172" s="101">
        <v>1</v>
      </c>
      <c r="AO172">
        <v>303</v>
      </c>
      <c r="AP172" s="107">
        <v>12</v>
      </c>
      <c r="AQ172" s="101">
        <v>11</v>
      </c>
      <c r="AR172" s="101">
        <v>10</v>
      </c>
      <c r="AS172">
        <v>1</v>
      </c>
      <c r="AT172">
        <v>1</v>
      </c>
      <c r="AU172">
        <v>0</v>
      </c>
      <c r="AV172" s="119">
        <v>10</v>
      </c>
      <c r="AW172" s="101">
        <f>($F$170-N172)/$F$170</f>
        <v>1</v>
      </c>
      <c r="AY172" s="101">
        <f>($G$170-AN172)/$G$170</f>
        <v>0.93333333333333335</v>
      </c>
      <c r="AZ172" s="101">
        <f>AR172/AQ172</f>
        <v>0.90909090909090906</v>
      </c>
      <c r="BA172" s="101">
        <f>AT172/AS172</f>
        <v>1</v>
      </c>
      <c r="BB172" s="85">
        <f>(AW172+AY172+AZ172+BA172)/4</f>
        <v>0.96060606060606057</v>
      </c>
      <c r="BC172" s="13">
        <f>AP172/$H$170</f>
        <v>0.75</v>
      </c>
      <c r="BD172" s="118">
        <f>AV172/AP172</f>
        <v>0.83333333333333337</v>
      </c>
      <c r="BE172" s="13">
        <f>AO172/AP172</f>
        <v>25.25</v>
      </c>
      <c r="BF172" s="13">
        <f>AT172/$H$170</f>
        <v>6.25E-2</v>
      </c>
      <c r="BG172" s="13">
        <f>AR172/$H$170</f>
        <v>0.625</v>
      </c>
      <c r="BQ172" t="str">
        <f t="shared" ref="BQ172:BQ176" si="303">_xlfn.CONCAT($C$170," &amp; ",J172," &amp; ",Q172," &amp; ",R172," &amp; ",S172," &amp; ",W172," &amp; ",X172," &amp; ",Y172," &amp; ",AC172," &amp; ",AD172," &amp; ",AE172," &amp; ",AG172," &amp; ",AH172," &amp; ",AI172," &amp; ",AJ172, " \\ \hline")</f>
        <v>9-2 &amp; k=1 &amp; 0.75 &amp; 0.771428571428571 &amp; 0.76056338028169 &amp; 0.6 &amp; 0.75 &amp; 0.666666666666667 &amp; 0.787878787878788 &amp; 0.8125 &amp; 0.8 &amp; 6 &amp; 6 &amp; 0.375 &amp; 1 \\ \hline</v>
      </c>
    </row>
    <row r="173" spans="1:69">
      <c r="A173" t="s">
        <v>307</v>
      </c>
      <c r="C173" s="98"/>
      <c r="J173" t="s">
        <v>680</v>
      </c>
      <c r="L173" s="211" t="s">
        <v>682</v>
      </c>
      <c r="M173" s="77"/>
      <c r="O173" s="81">
        <f>P173-6</f>
        <v>24</v>
      </c>
      <c r="P173" s="81">
        <f>$F$170-6</f>
        <v>30</v>
      </c>
      <c r="Q173" s="129">
        <f t="shared" si="292"/>
        <v>0.66666666666666663</v>
      </c>
      <c r="R173" s="129">
        <f t="shared" si="293"/>
        <v>0.8</v>
      </c>
      <c r="S173" s="127">
        <f t="shared" si="294"/>
        <v>0.72727272727272718</v>
      </c>
      <c r="U173" s="81">
        <f>V173-2</f>
        <v>9</v>
      </c>
      <c r="V173" s="81">
        <f>$G$170-4</f>
        <v>11</v>
      </c>
      <c r="W173" s="129">
        <f t="shared" si="295"/>
        <v>0.6</v>
      </c>
      <c r="X173" s="129">
        <f t="shared" si="296"/>
        <v>0.81818181818181823</v>
      </c>
      <c r="Y173" s="127">
        <f t="shared" si="297"/>
        <v>0.69230769230769229</v>
      </c>
      <c r="AA173" s="81">
        <f>AB173-2</f>
        <v>25</v>
      </c>
      <c r="AB173" s="81">
        <f>$I$170-6</f>
        <v>27</v>
      </c>
      <c r="AC173" s="129">
        <f t="shared" si="298"/>
        <v>0.75757575757575757</v>
      </c>
      <c r="AD173" s="129">
        <f t="shared" si="299"/>
        <v>0.92592592592592593</v>
      </c>
      <c r="AE173" s="127">
        <f t="shared" si="300"/>
        <v>0.83333333333333337</v>
      </c>
      <c r="AG173">
        <f t="shared" si="301"/>
        <v>6</v>
      </c>
      <c r="AH173">
        <v>6</v>
      </c>
      <c r="AI173" s="127">
        <f t="shared" si="302"/>
        <v>0.375</v>
      </c>
      <c r="AJ173" s="127">
        <f t="shared" si="242"/>
        <v>1</v>
      </c>
      <c r="AM173" s="122">
        <v>4</v>
      </c>
      <c r="AN173" s="101">
        <v>4</v>
      </c>
      <c r="AO173">
        <v>340</v>
      </c>
      <c r="AP173">
        <v>15</v>
      </c>
      <c r="AQ173" s="101">
        <v>15</v>
      </c>
      <c r="AR173" s="101">
        <v>11</v>
      </c>
      <c r="AS173">
        <v>0</v>
      </c>
      <c r="AT173">
        <v>0</v>
      </c>
      <c r="AU173">
        <v>0</v>
      </c>
      <c r="AV173" s="119">
        <v>11</v>
      </c>
      <c r="AW173" s="101">
        <f>($F$170-N173)/$F$170</f>
        <v>1</v>
      </c>
      <c r="AY173" s="101">
        <f>($G$170-AN173)/$G$170</f>
        <v>0.73333333333333328</v>
      </c>
      <c r="AZ173" s="101">
        <f>AR173/AQ173</f>
        <v>0.73333333333333328</v>
      </c>
      <c r="BA173" s="101">
        <v>0</v>
      </c>
      <c r="BB173" s="85">
        <f>(AW173+AY173+AZ173+BA173)/4</f>
        <v>0.6166666666666667</v>
      </c>
      <c r="BC173" s="13">
        <f>AP173/$H$170</f>
        <v>0.9375</v>
      </c>
      <c r="BD173" s="118">
        <f>AV173/AP173</f>
        <v>0.73333333333333328</v>
      </c>
      <c r="BE173" s="13">
        <f>AO173/AP173</f>
        <v>22.666666666666668</v>
      </c>
      <c r="BF173" s="13">
        <f>AT173/$H$170</f>
        <v>0</v>
      </c>
      <c r="BG173" s="13">
        <f>AR173/$H$170</f>
        <v>0.6875</v>
      </c>
      <c r="BQ173" t="str">
        <f t="shared" si="303"/>
        <v>9-2 &amp; k=2 &amp; 0.666666666666667 &amp; 0.8 &amp; 0.727272727272727 &amp; 0.6 &amp; 0.818181818181818 &amp; 0.692307692307692 &amp; 0.757575757575758 &amp; 0.925925925925926 &amp; 0.833333333333333 &amp; 6 &amp; 6 &amp; 0.375 &amp; 1 \\ \hline</v>
      </c>
    </row>
    <row r="174" spans="1:69">
      <c r="A174" t="s">
        <v>308</v>
      </c>
      <c r="C174" s="98"/>
      <c r="J174" t="s">
        <v>680</v>
      </c>
      <c r="L174" s="211" t="s">
        <v>682</v>
      </c>
      <c r="M174" s="77"/>
      <c r="O174" s="81">
        <f>P174-5</f>
        <v>30</v>
      </c>
      <c r="P174" s="81">
        <f>$F$170-1</f>
        <v>35</v>
      </c>
      <c r="Q174" s="129">
        <f t="shared" si="292"/>
        <v>0.83333333333333337</v>
      </c>
      <c r="R174" s="129">
        <f t="shared" si="293"/>
        <v>0.8571428571428571</v>
      </c>
      <c r="S174" s="127">
        <f t="shared" si="294"/>
        <v>0.84507042253521125</v>
      </c>
      <c r="U174" s="81">
        <f>V174-2</f>
        <v>11</v>
      </c>
      <c r="V174" s="81">
        <f>$G$170-2</f>
        <v>13</v>
      </c>
      <c r="W174" s="129">
        <f t="shared" si="295"/>
        <v>0.73333333333333328</v>
      </c>
      <c r="X174" s="129">
        <f t="shared" si="296"/>
        <v>0.84615384615384615</v>
      </c>
      <c r="Y174" s="127">
        <f t="shared" si="297"/>
        <v>0.78571428571428559</v>
      </c>
      <c r="AA174" s="81">
        <f>AB174-3</f>
        <v>29</v>
      </c>
      <c r="AB174" s="81">
        <f>$I$170-1</f>
        <v>32</v>
      </c>
      <c r="AC174" s="129">
        <f t="shared" si="298"/>
        <v>0.87878787878787878</v>
      </c>
      <c r="AD174" s="129">
        <f t="shared" si="299"/>
        <v>0.90625</v>
      </c>
      <c r="AE174" s="127">
        <f t="shared" si="300"/>
        <v>0.89230769230769225</v>
      </c>
      <c r="AG174">
        <f t="shared" si="301"/>
        <v>4</v>
      </c>
      <c r="AH174">
        <v>4</v>
      </c>
      <c r="AI174" s="127">
        <f t="shared" si="302"/>
        <v>0.25</v>
      </c>
      <c r="AJ174" s="127">
        <f t="shared" si="242"/>
        <v>1</v>
      </c>
      <c r="AM174" s="122">
        <v>4</v>
      </c>
      <c r="AN174" s="101">
        <v>4</v>
      </c>
      <c r="AO174">
        <v>331</v>
      </c>
      <c r="AP174">
        <v>13</v>
      </c>
      <c r="AQ174" s="101">
        <v>13</v>
      </c>
      <c r="AR174" s="101">
        <v>10</v>
      </c>
      <c r="AS174">
        <v>0</v>
      </c>
      <c r="AT174">
        <v>0</v>
      </c>
      <c r="AU174">
        <v>0</v>
      </c>
      <c r="AV174" s="119">
        <v>10</v>
      </c>
      <c r="AW174" s="101">
        <f>($F$170-N174)/$F$170</f>
        <v>1</v>
      </c>
      <c r="AY174" s="101">
        <f>($G$170-AN174)/$G$170</f>
        <v>0.73333333333333328</v>
      </c>
      <c r="AZ174" s="101">
        <f>AR174/AQ174</f>
        <v>0.76923076923076927</v>
      </c>
      <c r="BA174" s="101">
        <v>0</v>
      </c>
      <c r="BB174" s="85">
        <f>(AW174+AY174+AZ174+BA174)/4</f>
        <v>0.62564102564102564</v>
      </c>
      <c r="BC174" s="13">
        <f>AP174/$H$170</f>
        <v>0.8125</v>
      </c>
      <c r="BD174" s="118">
        <f>AV174/AP174</f>
        <v>0.76923076923076927</v>
      </c>
      <c r="BE174" s="13">
        <f>AO174/AP174</f>
        <v>25.46153846153846</v>
      </c>
      <c r="BF174" s="13">
        <f>AT174/$H$170</f>
        <v>0</v>
      </c>
      <c r="BG174" s="13">
        <f>AR174/$H$170</f>
        <v>0.625</v>
      </c>
      <c r="BQ174" t="str">
        <f t="shared" si="303"/>
        <v>9-2 &amp; k=2 &amp; 0.833333333333333 &amp; 0.857142857142857 &amp; 0.845070422535211 &amp; 0.733333333333333 &amp; 0.846153846153846 &amp; 0.785714285714286 &amp; 0.878787878787879 &amp; 0.90625 &amp; 0.892307692307692 &amp; 4 &amp; 4 &amp; 0.25 &amp; 1 \\ \hline</v>
      </c>
    </row>
    <row r="175" spans="1:69">
      <c r="A175" t="s">
        <v>309</v>
      </c>
      <c r="C175" s="98"/>
      <c r="J175" t="s">
        <v>681</v>
      </c>
      <c r="L175" s="211" t="s">
        <v>685</v>
      </c>
      <c r="M175" s="77"/>
      <c r="O175" s="81">
        <f>P175-4</f>
        <v>31</v>
      </c>
      <c r="P175" s="81">
        <f>$F$170-1</f>
        <v>35</v>
      </c>
      <c r="Q175" s="129">
        <f t="shared" si="292"/>
        <v>0.86111111111111116</v>
      </c>
      <c r="R175" s="129">
        <f t="shared" si="293"/>
        <v>0.88571428571428568</v>
      </c>
      <c r="S175" s="127">
        <f t="shared" si="294"/>
        <v>0.87323943661971837</v>
      </c>
      <c r="U175" s="81">
        <f>V175-0</f>
        <v>12</v>
      </c>
      <c r="V175" s="81">
        <f>$G$170-3</f>
        <v>12</v>
      </c>
      <c r="W175" s="129">
        <f t="shared" si="295"/>
        <v>0.8</v>
      </c>
      <c r="X175" s="129">
        <f t="shared" si="296"/>
        <v>1</v>
      </c>
      <c r="Y175" s="127">
        <f t="shared" si="297"/>
        <v>0.88888888888888895</v>
      </c>
      <c r="AA175" s="81">
        <f>AB175-1</f>
        <v>30</v>
      </c>
      <c r="AB175" s="81">
        <f>$I$170-2</f>
        <v>31</v>
      </c>
      <c r="AC175" s="129">
        <f t="shared" si="298"/>
        <v>0.90909090909090906</v>
      </c>
      <c r="AD175" s="129">
        <f t="shared" si="299"/>
        <v>0.967741935483871</v>
      </c>
      <c r="AE175" s="127">
        <f t="shared" si="300"/>
        <v>0.93749999999999989</v>
      </c>
      <c r="AG175">
        <f t="shared" si="301"/>
        <v>6</v>
      </c>
      <c r="AH175">
        <v>6</v>
      </c>
      <c r="AI175" s="127">
        <f t="shared" si="302"/>
        <v>0.375</v>
      </c>
      <c r="AJ175" s="127">
        <f t="shared" si="242"/>
        <v>1</v>
      </c>
      <c r="BC175" s="13"/>
      <c r="BD175" s="118"/>
      <c r="BE175" s="13"/>
      <c r="BF175" s="13"/>
      <c r="BG175" s="13"/>
      <c r="BQ175" t="str">
        <f t="shared" si="303"/>
        <v>9-2 &amp; k=3 &amp; 0.861111111111111 &amp; 0.885714285714286 &amp; 0.873239436619718 &amp; 0.8 &amp; 1 &amp; 0.888888888888889 &amp; 0.909090909090909 &amp; 0.967741935483871 &amp; 0.9375 &amp; 6 &amp; 6 &amp; 0.375 &amp; 1 \\ \hline</v>
      </c>
    </row>
    <row r="176" spans="1:69">
      <c r="A176" t="s">
        <v>667</v>
      </c>
      <c r="C176" s="98"/>
      <c r="J176" t="s">
        <v>681</v>
      </c>
      <c r="L176" s="211" t="s">
        <v>685</v>
      </c>
      <c r="M176" s="77"/>
      <c r="O176" s="81">
        <f>P176-6</f>
        <v>29</v>
      </c>
      <c r="P176" s="81">
        <f>$F$170-1</f>
        <v>35</v>
      </c>
      <c r="Q176" s="129">
        <f t="shared" si="292"/>
        <v>0.80555555555555558</v>
      </c>
      <c r="R176" s="129">
        <f t="shared" si="293"/>
        <v>0.82857142857142863</v>
      </c>
      <c r="S176" s="127">
        <f t="shared" si="294"/>
        <v>0.81690140845070436</v>
      </c>
      <c r="U176" s="81">
        <f>V176-1</f>
        <v>10</v>
      </c>
      <c r="V176" s="81">
        <f>$G$170-4</f>
        <v>11</v>
      </c>
      <c r="W176" s="129">
        <f t="shared" si="295"/>
        <v>0.66666666666666663</v>
      </c>
      <c r="X176" s="129">
        <f t="shared" si="296"/>
        <v>0.90909090909090906</v>
      </c>
      <c r="Y176" s="127">
        <f t="shared" si="297"/>
        <v>0.76923076923076916</v>
      </c>
      <c r="AA176" s="81">
        <f>AB176-3</f>
        <v>29</v>
      </c>
      <c r="AB176" s="81">
        <f>$I$170-1</f>
        <v>32</v>
      </c>
      <c r="AC176" s="129">
        <f t="shared" si="298"/>
        <v>0.87878787878787878</v>
      </c>
      <c r="AD176" s="129">
        <f t="shared" si="299"/>
        <v>0.90625</v>
      </c>
      <c r="AE176" s="127">
        <f t="shared" si="300"/>
        <v>0.89230769230769225</v>
      </c>
      <c r="AG176">
        <f t="shared" si="301"/>
        <v>6</v>
      </c>
      <c r="AH176">
        <v>6</v>
      </c>
      <c r="AI176" s="127">
        <f t="shared" si="302"/>
        <v>0.375</v>
      </c>
      <c r="AJ176" s="127">
        <f t="shared" si="242"/>
        <v>1</v>
      </c>
      <c r="BC176" s="13"/>
      <c r="BD176" s="118"/>
      <c r="BE176" s="13"/>
      <c r="BF176" s="13"/>
      <c r="BG176" s="13"/>
      <c r="BQ176" t="str">
        <f t="shared" si="303"/>
        <v>9-2 &amp; k=3 &amp; 0.805555555555556 &amp; 0.828571428571429 &amp; 0.816901408450704 &amp; 0.666666666666667 &amp; 0.909090909090909 &amp; 0.769230769230769 &amp; 0.878787878787879 &amp; 0.90625 &amp; 0.892307692307692 &amp; 6 &amp; 6 &amp; 0.375 &amp; 1 \\ \hline</v>
      </c>
    </row>
    <row r="177" spans="1:69">
      <c r="C177" s="98"/>
      <c r="L177" s="174"/>
      <c r="Q177" s="129"/>
      <c r="R177" s="129"/>
      <c r="S177" s="127"/>
      <c r="W177" s="129"/>
      <c r="X177" s="129"/>
      <c r="Y177" s="127"/>
      <c r="AC177" s="129"/>
      <c r="AD177" s="129"/>
      <c r="AE177" s="127"/>
      <c r="AG177"/>
      <c r="AH177"/>
      <c r="AI177" s="127"/>
      <c r="AJ177" s="127"/>
    </row>
    <row r="178" spans="1:69" s="75" customFormat="1">
      <c r="A178" s="75" t="s">
        <v>328</v>
      </c>
      <c r="B178" s="94">
        <v>45179</v>
      </c>
      <c r="C178" s="93" t="s">
        <v>137</v>
      </c>
      <c r="D178" s="78">
        <f>VLOOKUP($C$178,Overview!$Q$2:$AS$64,23,FALSE)</f>
        <v>1.1042071083576701</v>
      </c>
      <c r="E178" s="78" t="str">
        <f>VLOOKUP($C$178,Overview!$Q$2:$AS$64,24,FALSE)</f>
        <v>medium</v>
      </c>
      <c r="F178" s="75">
        <f>VLOOKUP(C178,Overview!$Q$2:$AS$64,13,FALSE)</f>
        <v>48</v>
      </c>
      <c r="G178" s="75">
        <f>VLOOKUP(C178,Overview!$Q$2:$AS$64,16,FALSE)</f>
        <v>12</v>
      </c>
      <c r="H178" s="75">
        <f>VLOOKUP(C178,Overview!$Q$2:$AS$64,18,FALSE)</f>
        <v>22</v>
      </c>
      <c r="I178" s="75">
        <f>VLOOKUP($C$178,Overview!$Q$2:$AS$64,19,FALSE)</f>
        <v>46</v>
      </c>
      <c r="K178" s="294" t="str">
        <f>VLOOKUP($C$178,Overview!$Q$2:$AS$64,5,FALSE)</f>
        <v>6-2, 3-8</v>
      </c>
      <c r="L178" s="293" t="s">
        <v>786</v>
      </c>
      <c r="N178" s="115"/>
      <c r="O178" s="97"/>
      <c r="P178" s="97"/>
      <c r="Q178" s="130"/>
      <c r="R178" s="130"/>
      <c r="S178" s="128"/>
      <c r="T178" s="115"/>
      <c r="U178" s="97"/>
      <c r="V178" s="97"/>
      <c r="W178" s="130"/>
      <c r="X178" s="130"/>
      <c r="Y178" s="128"/>
      <c r="Z178" s="115"/>
      <c r="AA178" s="97"/>
      <c r="AB178" s="97"/>
      <c r="AC178" s="130"/>
      <c r="AD178" s="130"/>
      <c r="AE178" s="128"/>
      <c r="AF178" s="115"/>
      <c r="AI178" s="128"/>
      <c r="AJ178" s="127"/>
      <c r="AK178" s="97"/>
      <c r="AL178" s="115"/>
      <c r="AM178" s="122"/>
      <c r="AN178" s="101"/>
      <c r="AQ178" s="101"/>
      <c r="AR178" s="101"/>
      <c r="AV178" s="119"/>
      <c r="AW178" s="101"/>
      <c r="AX178" s="101"/>
      <c r="AY178" s="101"/>
      <c r="AZ178" s="101"/>
      <c r="BA178" s="101"/>
      <c r="BB178" s="83"/>
      <c r="BD178" s="101"/>
      <c r="BQ178"/>
    </row>
    <row r="179" spans="1:69">
      <c r="A179" t="s">
        <v>305</v>
      </c>
      <c r="J179" t="s">
        <v>679</v>
      </c>
      <c r="K179" s="296" t="s">
        <v>787</v>
      </c>
      <c r="L179" s="211" t="s">
        <v>149</v>
      </c>
      <c r="M179" s="77"/>
      <c r="O179" s="81">
        <f>P179-1</f>
        <v>29</v>
      </c>
      <c r="P179" s="81">
        <f>$F$178-18</f>
        <v>30</v>
      </c>
      <c r="Q179" s="129">
        <f t="shared" ref="Q179:Q184" si="304">O179/$F$178</f>
        <v>0.60416666666666663</v>
      </c>
      <c r="R179" s="129">
        <f t="shared" ref="R179:R184" si="305">O179/P179</f>
        <v>0.96666666666666667</v>
      </c>
      <c r="S179" s="127">
        <f t="shared" ref="S179:S184" si="306">2*(Q179*R179)/(Q179+R179)</f>
        <v>0.7435897435897435</v>
      </c>
      <c r="U179" s="81">
        <f>V179-1</f>
        <v>8</v>
      </c>
      <c r="V179" s="81">
        <f>$G$178-3</f>
        <v>9</v>
      </c>
      <c r="W179" s="129">
        <f t="shared" ref="W179:W184" si="307">U179/$G$178</f>
        <v>0.66666666666666663</v>
      </c>
      <c r="X179" s="129">
        <f t="shared" ref="X179:X184" si="308">U179/V179</f>
        <v>0.88888888888888884</v>
      </c>
      <c r="Y179" s="127">
        <f t="shared" ref="Y179:Y184" si="309">2*(W179*X179)/(W179+X179)</f>
        <v>0.76190476190476197</v>
      </c>
      <c r="AA179" s="81">
        <f>AB179-10</f>
        <v>18</v>
      </c>
      <c r="AB179" s="81">
        <f>I178-18</f>
        <v>28</v>
      </c>
      <c r="AC179" s="129">
        <f t="shared" ref="AC179:AC184" si="310">AA179/$I$178</f>
        <v>0.39130434782608697</v>
      </c>
      <c r="AD179" s="129">
        <f t="shared" ref="AD179:AD184" si="311">AA179/AB179</f>
        <v>0.6428571428571429</v>
      </c>
      <c r="AE179" s="127">
        <f t="shared" ref="AE179:AE184" si="312">2*(AC179*AD179)/(AC179+AD179)</f>
        <v>0.48648648648648651</v>
      </c>
      <c r="AG179">
        <f>AH179-0</f>
        <v>9</v>
      </c>
      <c r="AH179">
        <v>9</v>
      </c>
      <c r="AI179" s="127">
        <f t="shared" ref="AI179:AI184" si="313">AG179/$H$178</f>
        <v>0.40909090909090912</v>
      </c>
      <c r="AJ179" s="127">
        <f t="shared" si="242"/>
        <v>1</v>
      </c>
      <c r="AM179" s="122">
        <v>11</v>
      </c>
      <c r="AN179" s="101">
        <v>6</v>
      </c>
      <c r="AO179">
        <v>277</v>
      </c>
      <c r="AP179">
        <v>12</v>
      </c>
      <c r="AQ179" s="101">
        <v>12</v>
      </c>
      <c r="AR179" s="101">
        <v>7</v>
      </c>
      <c r="AS179">
        <v>0</v>
      </c>
      <c r="AT179">
        <v>0</v>
      </c>
      <c r="AU179">
        <v>0</v>
      </c>
      <c r="AV179" s="119">
        <v>10</v>
      </c>
      <c r="AW179" s="101">
        <f>($F$178-N179)/$F$178</f>
        <v>1</v>
      </c>
      <c r="AY179" s="101">
        <f>($G$178-AN179)/$G$178</f>
        <v>0.5</v>
      </c>
      <c r="AZ179" s="101">
        <f>AR179/AQ179</f>
        <v>0.58333333333333337</v>
      </c>
      <c r="BA179" s="101">
        <v>0</v>
      </c>
      <c r="BB179" s="85">
        <f>(AW179+AY179+AZ179+BA179)/4</f>
        <v>0.52083333333333337</v>
      </c>
      <c r="BC179" s="13">
        <f>AP179/$H$178</f>
        <v>0.54545454545454541</v>
      </c>
      <c r="BD179" s="118">
        <f>AV179/AP179</f>
        <v>0.83333333333333337</v>
      </c>
      <c r="BE179" s="13">
        <f>AO179/AP179</f>
        <v>23.083333333333332</v>
      </c>
      <c r="BF179" s="13">
        <f>AT179/$H$178</f>
        <v>0</v>
      </c>
      <c r="BG179" s="13">
        <f>AR179/$H$178</f>
        <v>0.31818181818181818</v>
      </c>
      <c r="BQ179" t="str">
        <f>_xlfn.CONCAT($C$178," &amp; ",J179," &amp; ",Q179," &amp; ",R179," &amp; ",S179," &amp; ",W179," &amp; ",X179," &amp; ",Y179," &amp; ",AC179," &amp; ",AD179," &amp; ",AE179," &amp; ",AG179," &amp; ",AH179," &amp; ",AI179," &amp; ",AJ179, " \\ \hline")</f>
        <v>1-2 &amp; k=1 &amp; 0.604166666666667 &amp; 0.966666666666667 &amp; 0.743589743589744 &amp; 0.666666666666667 &amp; 0.888888888888889 &amp; 0.761904761904762 &amp; 0.391304347826087 &amp; 0.642857142857143 &amp; 0.486486486486487 &amp; 9 &amp; 9 &amp; 0.409090909090909 &amp; 1 \\ \hline</v>
      </c>
    </row>
    <row r="180" spans="1:69">
      <c r="A180" t="s">
        <v>306</v>
      </c>
      <c r="C180" s="98"/>
      <c r="J180" t="s">
        <v>679</v>
      </c>
      <c r="L180" s="211" t="s">
        <v>149</v>
      </c>
      <c r="M180" s="77"/>
      <c r="O180" s="81">
        <f>P180-4</f>
        <v>33</v>
      </c>
      <c r="P180" s="81">
        <f>$F$178-11</f>
        <v>37</v>
      </c>
      <c r="Q180" s="129">
        <f t="shared" si="304"/>
        <v>0.6875</v>
      </c>
      <c r="R180" s="129">
        <f t="shared" si="305"/>
        <v>0.89189189189189189</v>
      </c>
      <c r="S180" s="127">
        <f t="shared" si="306"/>
        <v>0.77647058823529413</v>
      </c>
      <c r="U180" s="81">
        <f>V180-1</f>
        <v>9</v>
      </c>
      <c r="V180" s="163">
        <f>$G$178-2</f>
        <v>10</v>
      </c>
      <c r="W180" s="129">
        <f t="shared" si="307"/>
        <v>0.75</v>
      </c>
      <c r="X180" s="129">
        <f t="shared" si="308"/>
        <v>0.9</v>
      </c>
      <c r="Y180" s="127">
        <f t="shared" si="309"/>
        <v>0.81818181818181823</v>
      </c>
      <c r="AA180" s="81">
        <f>AB180-5</f>
        <v>30</v>
      </c>
      <c r="AB180" s="81">
        <f>$I$178-11</f>
        <v>35</v>
      </c>
      <c r="AC180" s="129">
        <f t="shared" si="310"/>
        <v>0.65217391304347827</v>
      </c>
      <c r="AD180" s="129">
        <f t="shared" si="311"/>
        <v>0.8571428571428571</v>
      </c>
      <c r="AE180" s="127">
        <f t="shared" si="312"/>
        <v>0.7407407407407407</v>
      </c>
      <c r="AG180">
        <f>AH180-0</f>
        <v>7</v>
      </c>
      <c r="AH180">
        <v>7</v>
      </c>
      <c r="AI180" s="127">
        <f t="shared" si="313"/>
        <v>0.31818181818181818</v>
      </c>
      <c r="AJ180" s="127">
        <f t="shared" si="242"/>
        <v>1</v>
      </c>
      <c r="AM180" s="122">
        <v>10</v>
      </c>
      <c r="AN180" s="101">
        <v>5</v>
      </c>
      <c r="AO180">
        <v>298</v>
      </c>
      <c r="AP180" s="107">
        <v>15</v>
      </c>
      <c r="AQ180" s="101">
        <v>12</v>
      </c>
      <c r="AR180" s="101">
        <v>6</v>
      </c>
      <c r="AS180">
        <v>1</v>
      </c>
      <c r="AT180">
        <v>1</v>
      </c>
      <c r="AU180">
        <v>2</v>
      </c>
      <c r="AV180" s="119">
        <v>9</v>
      </c>
      <c r="AW180" s="101">
        <f>($F$178-N180)/$F$178</f>
        <v>1</v>
      </c>
      <c r="AY180" s="101">
        <f>($G$178-AN180)/$G$178</f>
        <v>0.58333333333333337</v>
      </c>
      <c r="AZ180" s="101">
        <f>AR180/AQ180</f>
        <v>0.5</v>
      </c>
      <c r="BA180" s="101">
        <f>AT180/AS180</f>
        <v>1</v>
      </c>
      <c r="BB180" s="85">
        <f>(AW180+AY180+AZ180+BA180)/4</f>
        <v>0.77083333333333337</v>
      </c>
      <c r="BC180" s="13">
        <f>AP180/$H$178</f>
        <v>0.68181818181818177</v>
      </c>
      <c r="BD180" s="118">
        <f>AV180/AP180</f>
        <v>0.6</v>
      </c>
      <c r="BE180" s="13">
        <f>AO180/AP180</f>
        <v>19.866666666666667</v>
      </c>
      <c r="BF180" s="13">
        <f>AT180/$H$178</f>
        <v>4.5454545454545456E-2</v>
      </c>
      <c r="BG180" s="13">
        <f>AR180/$H$178</f>
        <v>0.27272727272727271</v>
      </c>
      <c r="BQ180" t="str">
        <f t="shared" ref="BQ180:BQ184" si="314">_xlfn.CONCAT($C$178," &amp; ",J180," &amp; ",Q180," &amp; ",R180," &amp; ",S180," &amp; ",W180," &amp; ",X180," &amp; ",Y180," &amp; ",AC180," &amp; ",AD180," &amp; ",AE180," &amp; ",AG180," &amp; ",AH180," &amp; ",AI180," &amp; ",AJ180, " \\ \hline")</f>
        <v>1-2 &amp; k=1 &amp; 0.6875 &amp; 0.891891891891892 &amp; 0.776470588235294 &amp; 0.75 &amp; 0.9 &amp; 0.818181818181818 &amp; 0.652173913043478 &amp; 0.857142857142857 &amp; 0.740740740740741 &amp; 7 &amp; 7 &amp; 0.318181818181818 &amp; 1 \\ \hline</v>
      </c>
    </row>
    <row r="181" spans="1:69">
      <c r="A181" t="s">
        <v>307</v>
      </c>
      <c r="C181" s="98"/>
      <c r="J181" t="s">
        <v>680</v>
      </c>
      <c r="L181" s="211" t="s">
        <v>683</v>
      </c>
      <c r="M181" s="77"/>
      <c r="O181" s="81">
        <f>P181-3</f>
        <v>30</v>
      </c>
      <c r="P181" s="81">
        <f>$F$178-15</f>
        <v>33</v>
      </c>
      <c r="Q181" s="129">
        <f t="shared" si="304"/>
        <v>0.625</v>
      </c>
      <c r="R181" s="129">
        <f t="shared" si="305"/>
        <v>0.90909090909090906</v>
      </c>
      <c r="S181" s="127">
        <f t="shared" si="306"/>
        <v>0.74074074074074059</v>
      </c>
      <c r="U181" s="81">
        <f>V181-1</f>
        <v>9</v>
      </c>
      <c r="V181" s="81">
        <f>$G$178-2</f>
        <v>10</v>
      </c>
      <c r="W181" s="129">
        <f t="shared" si="307"/>
        <v>0.75</v>
      </c>
      <c r="X181" s="129">
        <f t="shared" si="308"/>
        <v>0.9</v>
      </c>
      <c r="Y181" s="127">
        <f t="shared" si="309"/>
        <v>0.81818181818181823</v>
      </c>
      <c r="AA181" s="81">
        <f>AB181-10</f>
        <v>21</v>
      </c>
      <c r="AB181" s="81">
        <f>$I$178-15</f>
        <v>31</v>
      </c>
      <c r="AC181" s="129">
        <f t="shared" si="310"/>
        <v>0.45652173913043476</v>
      </c>
      <c r="AD181" s="129">
        <f t="shared" si="311"/>
        <v>0.67741935483870963</v>
      </c>
      <c r="AE181" s="127">
        <f t="shared" si="312"/>
        <v>0.54545454545454541</v>
      </c>
      <c r="AG181">
        <f>AH181-0</f>
        <v>7</v>
      </c>
      <c r="AH181">
        <v>7</v>
      </c>
      <c r="AI181" s="127">
        <f t="shared" si="313"/>
        <v>0.31818181818181818</v>
      </c>
      <c r="AJ181" s="127">
        <f t="shared" si="242"/>
        <v>1</v>
      </c>
      <c r="AM181" s="122">
        <v>11</v>
      </c>
      <c r="AN181" s="101">
        <v>7</v>
      </c>
      <c r="AO181">
        <v>331</v>
      </c>
      <c r="AP181">
        <v>17</v>
      </c>
      <c r="AQ181" s="101">
        <v>14</v>
      </c>
      <c r="AR181" s="101">
        <v>9</v>
      </c>
      <c r="AS181">
        <v>3</v>
      </c>
      <c r="AT181">
        <v>2</v>
      </c>
      <c r="AU181">
        <v>0</v>
      </c>
      <c r="AV181" s="119">
        <v>9</v>
      </c>
      <c r="AW181" s="101">
        <f>($F$178-N181)/$F$178</f>
        <v>1</v>
      </c>
      <c r="AY181" s="101">
        <f>($G$178-AN181)/$G$178</f>
        <v>0.41666666666666669</v>
      </c>
      <c r="AZ181" s="101">
        <f>AR181/AQ181</f>
        <v>0.6428571428571429</v>
      </c>
      <c r="BA181" s="101">
        <f>AT181/AS181</f>
        <v>0.66666666666666663</v>
      </c>
      <c r="BB181" s="85">
        <f>(AW181+AY181+AZ181+BA181)/4</f>
        <v>0.68154761904761907</v>
      </c>
      <c r="BC181" s="13">
        <f>AP181/$H$178</f>
        <v>0.77272727272727271</v>
      </c>
      <c r="BD181" s="118">
        <f>AV181/AP181</f>
        <v>0.52941176470588236</v>
      </c>
      <c r="BE181" s="13">
        <f>AO181/AP181</f>
        <v>19.470588235294116</v>
      </c>
      <c r="BF181" s="13">
        <f>AT181/$H$178</f>
        <v>9.0909090909090912E-2</v>
      </c>
      <c r="BG181" s="13">
        <f>AR181/$H$178</f>
        <v>0.40909090909090912</v>
      </c>
      <c r="BQ181" t="str">
        <f t="shared" si="314"/>
        <v>1-2 &amp; k=2 &amp; 0.625 &amp; 0.909090909090909 &amp; 0.740740740740741 &amp; 0.75 &amp; 0.9 &amp; 0.818181818181818 &amp; 0.456521739130435 &amp; 0.67741935483871 &amp; 0.545454545454545 &amp; 7 &amp; 7 &amp; 0.318181818181818 &amp; 1 \\ \hline</v>
      </c>
    </row>
    <row r="182" spans="1:69">
      <c r="A182" t="s">
        <v>308</v>
      </c>
      <c r="C182" s="98"/>
      <c r="J182" t="s">
        <v>680</v>
      </c>
      <c r="K182" s="107"/>
      <c r="L182" s="211" t="s">
        <v>683</v>
      </c>
      <c r="M182" s="77"/>
      <c r="O182" s="81">
        <f>P182-3</f>
        <v>24</v>
      </c>
      <c r="P182" s="81">
        <f>$F$178-21</f>
        <v>27</v>
      </c>
      <c r="Q182" s="129">
        <f t="shared" si="304"/>
        <v>0.5</v>
      </c>
      <c r="R182" s="129">
        <f t="shared" si="305"/>
        <v>0.88888888888888884</v>
      </c>
      <c r="S182" s="127">
        <f t="shared" si="306"/>
        <v>0.64</v>
      </c>
      <c r="U182" s="81">
        <f>V182-1</f>
        <v>8</v>
      </c>
      <c r="V182" s="81">
        <f>$G$178-3</f>
        <v>9</v>
      </c>
      <c r="W182" s="129">
        <f t="shared" si="307"/>
        <v>0.66666666666666663</v>
      </c>
      <c r="X182" s="129">
        <f t="shared" si="308"/>
        <v>0.88888888888888884</v>
      </c>
      <c r="Y182" s="127">
        <f t="shared" si="309"/>
        <v>0.76190476190476197</v>
      </c>
      <c r="AA182" s="81">
        <f>AB182-5</f>
        <v>20</v>
      </c>
      <c r="AB182" s="81">
        <f>$I$178-21</f>
        <v>25</v>
      </c>
      <c r="AC182" s="129">
        <f t="shared" si="310"/>
        <v>0.43478260869565216</v>
      </c>
      <c r="AD182" s="129">
        <f t="shared" si="311"/>
        <v>0.8</v>
      </c>
      <c r="AE182" s="127">
        <f t="shared" si="312"/>
        <v>0.56338028169014087</v>
      </c>
      <c r="AG182">
        <f>AH182-2</f>
        <v>9</v>
      </c>
      <c r="AH182">
        <v>11</v>
      </c>
      <c r="AI182" s="127">
        <f t="shared" si="313"/>
        <v>0.40909090909090912</v>
      </c>
      <c r="AJ182" s="127">
        <f t="shared" si="242"/>
        <v>0.81818181818181823</v>
      </c>
      <c r="AM182" s="122">
        <v>11</v>
      </c>
      <c r="AN182" s="101">
        <v>5</v>
      </c>
      <c r="AO182">
        <v>321</v>
      </c>
      <c r="AP182">
        <v>13</v>
      </c>
      <c r="AQ182" s="101">
        <v>13</v>
      </c>
      <c r="AR182" s="101">
        <v>10</v>
      </c>
      <c r="AS182">
        <v>0</v>
      </c>
      <c r="AT182">
        <v>0</v>
      </c>
      <c r="AU182">
        <v>0</v>
      </c>
      <c r="AV182" s="119">
        <v>10</v>
      </c>
      <c r="AW182" s="101">
        <f>($F$178-N182)/$F$178</f>
        <v>1</v>
      </c>
      <c r="AY182" s="101">
        <f>($G$178-AN182)/$G$178</f>
        <v>0.58333333333333337</v>
      </c>
      <c r="AZ182" s="101">
        <f>AR182/AQ182</f>
        <v>0.76923076923076927</v>
      </c>
      <c r="BA182" s="101">
        <v>0</v>
      </c>
      <c r="BB182" s="85">
        <f>(AW182+AY182+AZ182+BA182)/4</f>
        <v>0.58814102564102566</v>
      </c>
      <c r="BC182" s="13">
        <f>AP182/$H$178</f>
        <v>0.59090909090909094</v>
      </c>
      <c r="BD182" s="118">
        <f>AV182/AP182</f>
        <v>0.76923076923076927</v>
      </c>
      <c r="BE182" s="13">
        <f>AO182/AP182</f>
        <v>24.692307692307693</v>
      </c>
      <c r="BF182" s="13">
        <f>AT182/$H$178</f>
        <v>0</v>
      </c>
      <c r="BG182" s="13">
        <f>AR182/$H$178</f>
        <v>0.45454545454545453</v>
      </c>
      <c r="BQ182" t="str">
        <f t="shared" si="314"/>
        <v>1-2 &amp; k=2 &amp; 0.5 &amp; 0.888888888888889 &amp; 0.64 &amp; 0.666666666666667 &amp; 0.888888888888889 &amp; 0.761904761904762 &amp; 0.434782608695652 &amp; 0.8 &amp; 0.563380281690141 &amp; 9 &amp; 11 &amp; 0.409090909090909 &amp; 0.818181818181818 \\ \hline</v>
      </c>
    </row>
    <row r="183" spans="1:69">
      <c r="A183" t="s">
        <v>309</v>
      </c>
      <c r="C183" s="98"/>
      <c r="J183" t="s">
        <v>681</v>
      </c>
      <c r="L183" s="211" t="s">
        <v>684</v>
      </c>
      <c r="O183" s="81">
        <f>P183-0</f>
        <v>25</v>
      </c>
      <c r="P183" s="81">
        <f>$F$178-23</f>
        <v>25</v>
      </c>
      <c r="Q183" s="129">
        <f t="shared" si="304"/>
        <v>0.52083333333333337</v>
      </c>
      <c r="R183" s="129">
        <f t="shared" si="305"/>
        <v>1</v>
      </c>
      <c r="S183" s="127">
        <f t="shared" si="306"/>
        <v>0.68493150684931503</v>
      </c>
      <c r="U183" s="81">
        <f>V183-0</f>
        <v>9</v>
      </c>
      <c r="V183" s="81">
        <f>$G$178-3</f>
        <v>9</v>
      </c>
      <c r="W183" s="129">
        <f t="shared" si="307"/>
        <v>0.75</v>
      </c>
      <c r="X183" s="129">
        <f t="shared" si="308"/>
        <v>1</v>
      </c>
      <c r="Y183" s="127">
        <f t="shared" si="309"/>
        <v>0.8571428571428571</v>
      </c>
      <c r="AA183" s="81">
        <f>AB183-5</f>
        <v>18</v>
      </c>
      <c r="AB183" s="81">
        <f>$I$178-23</f>
        <v>23</v>
      </c>
      <c r="AC183" s="129">
        <f t="shared" si="310"/>
        <v>0.39130434782608697</v>
      </c>
      <c r="AD183" s="129">
        <f t="shared" si="311"/>
        <v>0.78260869565217395</v>
      </c>
      <c r="AE183" s="127">
        <f t="shared" si="312"/>
        <v>0.52173913043478259</v>
      </c>
      <c r="AG183">
        <f>AH183-0</f>
        <v>3</v>
      </c>
      <c r="AH183">
        <v>3</v>
      </c>
      <c r="AI183" s="127">
        <f t="shared" si="313"/>
        <v>0.13636363636363635</v>
      </c>
      <c r="AJ183" s="127">
        <f t="shared" si="242"/>
        <v>1</v>
      </c>
      <c r="BQ183" t="str">
        <f t="shared" si="314"/>
        <v>1-2 &amp; k=3 &amp; 0.520833333333333 &amp; 1 &amp; 0.684931506849315 &amp; 0.75 &amp; 1 &amp; 0.857142857142857 &amp; 0.391304347826087 &amp; 0.782608695652174 &amp; 0.521739130434783 &amp; 3 &amp; 3 &amp; 0.136363636363636 &amp; 1 \\ \hline</v>
      </c>
    </row>
    <row r="184" spans="1:69">
      <c r="A184" t="s">
        <v>667</v>
      </c>
      <c r="C184" s="98"/>
      <c r="J184" t="s">
        <v>681</v>
      </c>
      <c r="L184" s="211" t="s">
        <v>684</v>
      </c>
      <c r="O184" s="81">
        <f>P184-2</f>
        <v>34</v>
      </c>
      <c r="P184" s="81">
        <f>$F$178-12</f>
        <v>36</v>
      </c>
      <c r="Q184" s="129">
        <f t="shared" si="304"/>
        <v>0.70833333333333337</v>
      </c>
      <c r="R184" s="129">
        <f t="shared" si="305"/>
        <v>0.94444444444444442</v>
      </c>
      <c r="S184" s="127">
        <f t="shared" si="306"/>
        <v>0.80952380952380965</v>
      </c>
      <c r="U184" s="81">
        <f>V184-2</f>
        <v>10</v>
      </c>
      <c r="V184" s="81">
        <f>$G$178-0</f>
        <v>12</v>
      </c>
      <c r="W184" s="129">
        <f t="shared" si="307"/>
        <v>0.83333333333333337</v>
      </c>
      <c r="X184" s="129">
        <f t="shared" si="308"/>
        <v>0.83333333333333337</v>
      </c>
      <c r="Y184" s="127">
        <f t="shared" si="309"/>
        <v>0.83333333333333337</v>
      </c>
      <c r="AA184" s="81">
        <f>AB184-8</f>
        <v>26</v>
      </c>
      <c r="AB184" s="81">
        <f>$I$178-12</f>
        <v>34</v>
      </c>
      <c r="AC184" s="129">
        <f t="shared" si="310"/>
        <v>0.56521739130434778</v>
      </c>
      <c r="AD184" s="129">
        <f t="shared" si="311"/>
        <v>0.76470588235294112</v>
      </c>
      <c r="AE184" s="127">
        <f t="shared" si="312"/>
        <v>0.65</v>
      </c>
      <c r="AG184">
        <f>AH184-0</f>
        <v>13</v>
      </c>
      <c r="AH184">
        <v>13</v>
      </c>
      <c r="AI184" s="127">
        <f t="shared" si="313"/>
        <v>0.59090909090909094</v>
      </c>
      <c r="AJ184" s="127">
        <f t="shared" si="242"/>
        <v>1</v>
      </c>
      <c r="BQ184" t="str">
        <f t="shared" si="314"/>
        <v>1-2 &amp; k=3 &amp; 0.708333333333333 &amp; 0.944444444444444 &amp; 0.80952380952381 &amp; 0.833333333333333 &amp; 0.833333333333333 &amp; 0.833333333333333 &amp; 0.565217391304348 &amp; 0.764705882352941 &amp; 0.65 &amp; 13 &amp; 13 &amp; 0.590909090909091 &amp; 1 \\ \hline</v>
      </c>
    </row>
    <row r="185" spans="1:69">
      <c r="C185" s="98"/>
      <c r="L185" s="174"/>
      <c r="Q185" s="129"/>
      <c r="R185" s="129"/>
      <c r="S185" s="127"/>
      <c r="W185" s="129"/>
      <c r="X185" s="129"/>
      <c r="Y185" s="127"/>
      <c r="AC185" s="129"/>
      <c r="AD185" s="129"/>
      <c r="AE185" s="127"/>
      <c r="AG185"/>
      <c r="AH185"/>
      <c r="AI185" s="127"/>
      <c r="AJ185" s="127"/>
    </row>
    <row r="186" spans="1:69" s="75" customFormat="1">
      <c r="A186" s="75" t="s">
        <v>329</v>
      </c>
      <c r="B186" s="94">
        <v>45179</v>
      </c>
      <c r="C186" s="93" t="s">
        <v>139</v>
      </c>
      <c r="D186" s="78">
        <f>VLOOKUP($C$186,Overview!$Q$2:$AS$64,23,FALSE)</f>
        <v>1.1679763185797205</v>
      </c>
      <c r="E186" s="78" t="str">
        <f>VLOOKUP($C$186,Overview!$Q$2:$AS$64,24,FALSE)</f>
        <v>medium</v>
      </c>
      <c r="F186" s="75">
        <f>VLOOKUP(C186,Overview!$Q$2:$AS$64,13,FALSE)</f>
        <v>47</v>
      </c>
      <c r="G186" s="75">
        <f>VLOOKUP(C186,Overview!$Q$2:$AS$64,16,FALSE)</f>
        <v>13</v>
      </c>
      <c r="H186" s="75">
        <f>VLOOKUP(C186,Overview!$Q$2:$AS$64,18,FALSE)</f>
        <v>23</v>
      </c>
      <c r="I186" s="75">
        <f>VLOOKUP($C$186,Overview!$Q$2:$AS$64,19,FALSE)</f>
        <v>46</v>
      </c>
      <c r="K186" s="75" t="str">
        <f>VLOOKUP($C$186,Overview!$Q$2:$AS$64,5,FALSE)</f>
        <v>5-2, 3-8</v>
      </c>
      <c r="L186" s="96"/>
      <c r="N186" s="115"/>
      <c r="O186" s="97"/>
      <c r="P186" s="97"/>
      <c r="Q186" s="130"/>
      <c r="R186" s="130"/>
      <c r="S186" s="128"/>
      <c r="T186" s="115"/>
      <c r="U186" s="97"/>
      <c r="V186" s="97"/>
      <c r="W186" s="130"/>
      <c r="X186" s="130"/>
      <c r="Y186" s="128"/>
      <c r="Z186" s="115"/>
      <c r="AA186" s="97"/>
      <c r="AB186" s="97"/>
      <c r="AC186" s="130"/>
      <c r="AD186" s="130"/>
      <c r="AE186" s="128"/>
      <c r="AF186" s="115"/>
      <c r="AI186" s="128"/>
      <c r="AJ186" s="127"/>
      <c r="AK186" s="97"/>
      <c r="AL186" s="115"/>
      <c r="AM186" s="122"/>
      <c r="AN186" s="101"/>
      <c r="AQ186" s="101"/>
      <c r="AR186" s="101"/>
      <c r="AV186" s="119"/>
      <c r="AW186" s="101"/>
      <c r="AX186" s="101"/>
      <c r="AY186" s="101"/>
      <c r="AZ186" s="101"/>
      <c r="BA186" s="101"/>
      <c r="BB186" s="83"/>
      <c r="BD186" s="101"/>
      <c r="BQ186"/>
    </row>
    <row r="187" spans="1:69">
      <c r="A187" t="s">
        <v>305</v>
      </c>
      <c r="J187" t="s">
        <v>679</v>
      </c>
      <c r="K187" s="296" t="s">
        <v>787</v>
      </c>
      <c r="L187" s="211" t="s">
        <v>149</v>
      </c>
      <c r="M187" s="77"/>
      <c r="O187" s="81">
        <f>P187-0</f>
        <v>27</v>
      </c>
      <c r="P187" s="81">
        <f>$F$186-20</f>
        <v>27</v>
      </c>
      <c r="Q187" s="129">
        <f t="shared" ref="Q187:Q192" si="315">O187/$F$186</f>
        <v>0.57446808510638303</v>
      </c>
      <c r="R187" s="129">
        <f t="shared" ref="R187:R192" si="316">O187/P187</f>
        <v>1</v>
      </c>
      <c r="S187" s="127">
        <f t="shared" ref="S187:S192" si="317">2*(Q187*R187)/(Q187+R187)</f>
        <v>0.72972972972972983</v>
      </c>
      <c r="U187" s="81">
        <f>V187-0</f>
        <v>10</v>
      </c>
      <c r="V187" s="81">
        <f>$G$186-3</f>
        <v>10</v>
      </c>
      <c r="W187" s="129">
        <f t="shared" ref="W187:W192" si="318">U187/$G$186</f>
        <v>0.76923076923076927</v>
      </c>
      <c r="X187" s="129">
        <f t="shared" ref="X187:X192" si="319">U187/V187</f>
        <v>1</v>
      </c>
      <c r="Y187" s="127">
        <f t="shared" ref="Y187:Y192" si="320">2*(W187*X187)/(W187+X187)</f>
        <v>0.86956521739130443</v>
      </c>
      <c r="AA187" s="81">
        <f>AB187-8</f>
        <v>18</v>
      </c>
      <c r="AB187" s="81">
        <f>I186-20</f>
        <v>26</v>
      </c>
      <c r="AC187" s="129">
        <f t="shared" ref="AC187:AC192" si="321">AA187/$I$186</f>
        <v>0.39130434782608697</v>
      </c>
      <c r="AD187" s="129">
        <f t="shared" ref="AD187:AD192" si="322">AA187/AB187</f>
        <v>0.69230769230769229</v>
      </c>
      <c r="AE187" s="127">
        <f t="shared" ref="AE187:AE192" si="323">2*(AC187*AD187)/(AC187+AD187)</f>
        <v>0.5</v>
      </c>
      <c r="AG187">
        <f t="shared" ref="AG187:AG192" si="324">AH187-0</f>
        <v>6</v>
      </c>
      <c r="AH187">
        <v>6</v>
      </c>
      <c r="AI187" s="127">
        <f t="shared" ref="AI187:AI192" si="325">AG187/$H$186</f>
        <v>0.2608695652173913</v>
      </c>
      <c r="AJ187" s="127">
        <f t="shared" si="242"/>
        <v>1</v>
      </c>
      <c r="AM187" s="122">
        <v>2</v>
      </c>
      <c r="AN187" s="101">
        <v>2</v>
      </c>
      <c r="AO187">
        <v>393</v>
      </c>
      <c r="AP187">
        <v>22</v>
      </c>
      <c r="AQ187" s="101">
        <v>19</v>
      </c>
      <c r="AR187" s="101">
        <v>18</v>
      </c>
      <c r="AS187">
        <v>3</v>
      </c>
      <c r="AT187">
        <v>3</v>
      </c>
      <c r="AU187">
        <v>0</v>
      </c>
      <c r="AV187" s="119">
        <v>21</v>
      </c>
      <c r="AW187" s="101">
        <f>($F$186-N187)/$F$186</f>
        <v>1</v>
      </c>
      <c r="AY187" s="101">
        <f>($G$186-AN187)/$G$186</f>
        <v>0.84615384615384615</v>
      </c>
      <c r="AZ187" s="101">
        <f>AR187/AQ187</f>
        <v>0.94736842105263153</v>
      </c>
      <c r="BA187" s="101">
        <f>AT187/AS187</f>
        <v>1</v>
      </c>
      <c r="BB187" s="85">
        <f>(AW187+AY187+AZ187+BA187)/4</f>
        <v>0.94838056680161942</v>
      </c>
      <c r="BC187" s="13">
        <f>AP187/$H$186</f>
        <v>0.95652173913043481</v>
      </c>
      <c r="BD187" s="118">
        <f>AV187/AP187</f>
        <v>0.95454545454545459</v>
      </c>
      <c r="BE187" s="13">
        <f>AO187/AP187</f>
        <v>17.863636363636363</v>
      </c>
      <c r="BF187" s="13">
        <f>AT187/$H$186</f>
        <v>0.13043478260869565</v>
      </c>
      <c r="BG187" s="13">
        <f>AR187/$H$186</f>
        <v>0.78260869565217395</v>
      </c>
      <c r="BQ187" t="str">
        <f>_xlfn.CONCAT($C$186," &amp; ",J187," &amp; ",Q187," &amp; ",R187," &amp; ",S187," &amp; ",W187," &amp; ",X187," &amp; ",Y187," &amp; ",AC187," &amp; ",AD187," &amp; ",AE187," &amp; ",AG187," &amp; ",AH187," &amp; ",AI187," &amp; ",AJ187, " \\ \hline")</f>
        <v>1-4 &amp; k=1 &amp; 0.574468085106383 &amp; 1 &amp; 0.72972972972973 &amp; 0.769230769230769 &amp; 1 &amp; 0.869565217391304 &amp; 0.391304347826087 &amp; 0.692307692307692 &amp; 0.5 &amp; 6 &amp; 6 &amp; 0.260869565217391 &amp; 1 \\ \hline</v>
      </c>
    </row>
    <row r="188" spans="1:69">
      <c r="A188" t="s">
        <v>306</v>
      </c>
      <c r="C188" s="98"/>
      <c r="J188" t="s">
        <v>679</v>
      </c>
      <c r="L188" s="211" t="s">
        <v>149</v>
      </c>
      <c r="M188" s="77"/>
      <c r="O188" s="81">
        <f>P188-3</f>
        <v>41</v>
      </c>
      <c r="P188" s="81">
        <f>$F$186-3</f>
        <v>44</v>
      </c>
      <c r="Q188" s="129">
        <f t="shared" si="315"/>
        <v>0.87234042553191493</v>
      </c>
      <c r="R188" s="129">
        <f t="shared" si="316"/>
        <v>0.93181818181818177</v>
      </c>
      <c r="S188" s="127">
        <f t="shared" si="317"/>
        <v>0.90109890109890123</v>
      </c>
      <c r="U188" s="81">
        <f>V188-2</f>
        <v>10</v>
      </c>
      <c r="V188" s="81">
        <f>$G$186-1</f>
        <v>12</v>
      </c>
      <c r="W188" s="129">
        <f t="shared" si="318"/>
        <v>0.76923076923076927</v>
      </c>
      <c r="X188" s="129">
        <f t="shared" si="319"/>
        <v>0.83333333333333337</v>
      </c>
      <c r="Y188" s="127">
        <f t="shared" si="320"/>
        <v>0.8</v>
      </c>
      <c r="AA188" s="81">
        <f>AB188-2</f>
        <v>41</v>
      </c>
      <c r="AB188" s="81">
        <f>$I$186-3</f>
        <v>43</v>
      </c>
      <c r="AC188" s="129">
        <f t="shared" si="321"/>
        <v>0.89130434782608692</v>
      </c>
      <c r="AD188" s="129">
        <f t="shared" si="322"/>
        <v>0.95348837209302328</v>
      </c>
      <c r="AE188" s="127">
        <f t="shared" si="323"/>
        <v>0.92134831460674171</v>
      </c>
      <c r="AG188">
        <f t="shared" si="324"/>
        <v>6</v>
      </c>
      <c r="AH188" s="81">
        <v>6</v>
      </c>
      <c r="AI188" s="127">
        <f t="shared" si="325"/>
        <v>0.2608695652173913</v>
      </c>
      <c r="AJ188" s="127">
        <f t="shared" si="242"/>
        <v>1</v>
      </c>
      <c r="AO188">
        <v>329</v>
      </c>
      <c r="AP188">
        <v>20</v>
      </c>
      <c r="AU188">
        <v>2</v>
      </c>
      <c r="AW188" s="101">
        <f>($F$186-N188)/$F$186</f>
        <v>1</v>
      </c>
      <c r="AY188" s="101">
        <f>($G$186-AN188)/$G$186</f>
        <v>1</v>
      </c>
      <c r="AZ188" s="101" t="e">
        <f>AR188/AQ188</f>
        <v>#DIV/0!</v>
      </c>
      <c r="BA188" s="101" t="e">
        <f>AT188/AS188</f>
        <v>#DIV/0!</v>
      </c>
      <c r="BB188" s="85" t="e">
        <f>(AW188+AY188+AZ188+BA188)/4</f>
        <v>#DIV/0!</v>
      </c>
      <c r="BC188" s="13">
        <f>AP188/$H$186</f>
        <v>0.86956521739130432</v>
      </c>
      <c r="BD188" s="118">
        <f>AV188/AP188</f>
        <v>0</v>
      </c>
      <c r="BE188" s="13">
        <f>AO188/AP188</f>
        <v>16.45</v>
      </c>
      <c r="BF188" s="13">
        <f>AT188/$H$186</f>
        <v>0</v>
      </c>
      <c r="BG188" s="13">
        <f>AR188/$H$186</f>
        <v>0</v>
      </c>
      <c r="BQ188" t="str">
        <f t="shared" ref="BQ188:BQ192" si="326">_xlfn.CONCAT($C$186," &amp; ",J188," &amp; ",Q188," &amp; ",R188," &amp; ",S188," &amp; ",W188," &amp; ",X188," &amp; ",Y188," &amp; ",AC188," &amp; ",AD188," &amp; ",AE188," &amp; ",AG188," &amp; ",AH188," &amp; ",AI188," &amp; ",AJ188, " \\ \hline")</f>
        <v>1-4 &amp; k=1 &amp; 0.872340425531915 &amp; 0.931818181818182 &amp; 0.901098901098901 &amp; 0.769230769230769 &amp; 0.833333333333333 &amp; 0.8 &amp; 0.891304347826087 &amp; 0.953488372093023 &amp; 0.921348314606742 &amp; 6 &amp; 6 &amp; 0.260869565217391 &amp; 1 \\ \hline</v>
      </c>
    </row>
    <row r="189" spans="1:69">
      <c r="A189" t="s">
        <v>307</v>
      </c>
      <c r="C189" s="98"/>
      <c r="J189" t="s">
        <v>680</v>
      </c>
      <c r="L189" s="211" t="s">
        <v>683</v>
      </c>
      <c r="M189" s="77"/>
      <c r="O189" s="81">
        <f>P189-4</f>
        <v>27</v>
      </c>
      <c r="P189" s="81">
        <f>$F$186-16</f>
        <v>31</v>
      </c>
      <c r="Q189" s="129">
        <f t="shared" si="315"/>
        <v>0.57446808510638303</v>
      </c>
      <c r="R189" s="129">
        <f t="shared" si="316"/>
        <v>0.87096774193548387</v>
      </c>
      <c r="S189" s="127">
        <f t="shared" si="317"/>
        <v>0.69230769230769251</v>
      </c>
      <c r="U189" s="81">
        <f>V189-3</f>
        <v>9</v>
      </c>
      <c r="V189" s="81">
        <f>$G$186-1</f>
        <v>12</v>
      </c>
      <c r="W189" s="129">
        <f t="shared" si="318"/>
        <v>0.69230769230769229</v>
      </c>
      <c r="X189" s="129">
        <f t="shared" si="319"/>
        <v>0.75</v>
      </c>
      <c r="Y189" s="127">
        <f t="shared" si="320"/>
        <v>0.71999999999999986</v>
      </c>
      <c r="AA189" s="81">
        <f>AB189-11</f>
        <v>19</v>
      </c>
      <c r="AB189" s="81">
        <f>$I$186-16</f>
        <v>30</v>
      </c>
      <c r="AC189" s="129">
        <f t="shared" si="321"/>
        <v>0.41304347826086957</v>
      </c>
      <c r="AD189" s="129">
        <f t="shared" si="322"/>
        <v>0.6333333333333333</v>
      </c>
      <c r="AE189" s="127">
        <f t="shared" si="323"/>
        <v>0.5</v>
      </c>
      <c r="AG189">
        <f t="shared" si="324"/>
        <v>13</v>
      </c>
      <c r="AH189" s="81">
        <v>13</v>
      </c>
      <c r="AI189" s="127">
        <f t="shared" si="325"/>
        <v>0.56521739130434778</v>
      </c>
      <c r="AJ189" s="127">
        <f t="shared" si="242"/>
        <v>1</v>
      </c>
      <c r="AW189" s="101">
        <f>($F$186-N189)/$F$186</f>
        <v>1</v>
      </c>
      <c r="AY189" s="101">
        <f>($G$186-AN189)/$G$186</f>
        <v>1</v>
      </c>
      <c r="AZ189" s="101" t="e">
        <f>AR189/AQ189</f>
        <v>#DIV/0!</v>
      </c>
      <c r="BA189" s="101" t="e">
        <f>AT189/AS189</f>
        <v>#DIV/0!</v>
      </c>
      <c r="BB189" s="85" t="e">
        <f>(AW189+AY189+AZ189+BA189)/4</f>
        <v>#DIV/0!</v>
      </c>
      <c r="BC189" s="13">
        <f>AP189/$H$186</f>
        <v>0</v>
      </c>
      <c r="BD189" s="118" t="e">
        <f>AV189/AP189</f>
        <v>#DIV/0!</v>
      </c>
      <c r="BE189" s="13" t="e">
        <f>AO189/AP189</f>
        <v>#DIV/0!</v>
      </c>
      <c r="BF189" s="13">
        <f>AT189/$H$186</f>
        <v>0</v>
      </c>
      <c r="BG189" s="13">
        <f>AR189/$H$186</f>
        <v>0</v>
      </c>
      <c r="BQ189" t="str">
        <f t="shared" si="326"/>
        <v>1-4 &amp; k=2 &amp; 0.574468085106383 &amp; 0.870967741935484 &amp; 0.692307692307693 &amp; 0.692307692307692 &amp; 0.75 &amp; 0.72 &amp; 0.41304347826087 &amp; 0.633333333333333 &amp; 0.5 &amp; 13 &amp; 13 &amp; 0.565217391304348 &amp; 1 \\ \hline</v>
      </c>
    </row>
    <row r="190" spans="1:69">
      <c r="A190" t="s">
        <v>308</v>
      </c>
      <c r="C190" s="98"/>
      <c r="J190" t="s">
        <v>680</v>
      </c>
      <c r="K190" s="107"/>
      <c r="L190" s="211" t="s">
        <v>683</v>
      </c>
      <c r="M190" s="77"/>
      <c r="O190" s="81">
        <f>P190-5</f>
        <v>24</v>
      </c>
      <c r="P190" s="81">
        <f>$F$186-18</f>
        <v>29</v>
      </c>
      <c r="Q190" s="129">
        <f t="shared" si="315"/>
        <v>0.51063829787234039</v>
      </c>
      <c r="R190" s="129">
        <f t="shared" si="316"/>
        <v>0.82758620689655171</v>
      </c>
      <c r="S190" s="127">
        <f t="shared" si="317"/>
        <v>0.63157894736842102</v>
      </c>
      <c r="U190" s="81">
        <f>V190-4</f>
        <v>8</v>
      </c>
      <c r="V190" s="81">
        <f>$G$186-1</f>
        <v>12</v>
      </c>
      <c r="W190" s="129">
        <f t="shared" si="318"/>
        <v>0.61538461538461542</v>
      </c>
      <c r="X190" s="129">
        <f t="shared" si="319"/>
        <v>0.66666666666666663</v>
      </c>
      <c r="Y190" s="127">
        <f t="shared" si="320"/>
        <v>0.64</v>
      </c>
      <c r="AA190" s="81">
        <f>AB190-6</f>
        <v>22</v>
      </c>
      <c r="AB190" s="81">
        <f>$I$186-18</f>
        <v>28</v>
      </c>
      <c r="AC190" s="129">
        <f t="shared" si="321"/>
        <v>0.47826086956521741</v>
      </c>
      <c r="AD190" s="129">
        <f t="shared" si="322"/>
        <v>0.7857142857142857</v>
      </c>
      <c r="AE190" s="127">
        <f t="shared" si="323"/>
        <v>0.59459459459459463</v>
      </c>
      <c r="AG190">
        <f t="shared" si="324"/>
        <v>9</v>
      </c>
      <c r="AH190" s="81">
        <v>9</v>
      </c>
      <c r="AI190" s="127">
        <f t="shared" si="325"/>
        <v>0.39130434782608697</v>
      </c>
      <c r="AJ190" s="127">
        <f t="shared" si="242"/>
        <v>1</v>
      </c>
      <c r="AW190" s="101">
        <f>($F$186-N190)/$F$186</f>
        <v>1</v>
      </c>
      <c r="AY190" s="101">
        <f>($G$186-AN190)/$G$186</f>
        <v>1</v>
      </c>
      <c r="AZ190" s="101" t="e">
        <f>AR190/AQ190</f>
        <v>#DIV/0!</v>
      </c>
      <c r="BA190" s="101" t="e">
        <f>AT190/AS190</f>
        <v>#DIV/0!</v>
      </c>
      <c r="BB190" s="85" t="e">
        <f>(AW190+AY190+AZ190+BA190)/4</f>
        <v>#DIV/0!</v>
      </c>
      <c r="BC190" s="13">
        <f>AP190/$H$186</f>
        <v>0</v>
      </c>
      <c r="BD190" s="118" t="e">
        <f>AV190/AP190</f>
        <v>#DIV/0!</v>
      </c>
      <c r="BE190" s="13" t="e">
        <f>AO190/AP190</f>
        <v>#DIV/0!</v>
      </c>
      <c r="BF190" s="13">
        <f>AT190/$H$186</f>
        <v>0</v>
      </c>
      <c r="BG190" s="13">
        <f>AR190/$H$186</f>
        <v>0</v>
      </c>
      <c r="BQ190" t="str">
        <f t="shared" si="326"/>
        <v>1-4 &amp; k=2 &amp; 0.51063829787234 &amp; 0.827586206896552 &amp; 0.631578947368421 &amp; 0.615384615384615 &amp; 0.666666666666667 &amp; 0.64 &amp; 0.478260869565217 &amp; 0.785714285714286 &amp; 0.594594594594595 &amp; 9 &amp; 9 &amp; 0.391304347826087 &amp; 1 \\ \hline</v>
      </c>
    </row>
    <row r="191" spans="1:69">
      <c r="A191" t="s">
        <v>309</v>
      </c>
      <c r="C191" s="98"/>
      <c r="J191" t="s">
        <v>681</v>
      </c>
      <c r="L191" s="211" t="s">
        <v>684</v>
      </c>
      <c r="M191" s="77"/>
      <c r="O191" s="81">
        <f>P191-2</f>
        <v>24</v>
      </c>
      <c r="P191" s="81">
        <f>$F$186-21</f>
        <v>26</v>
      </c>
      <c r="Q191" s="129">
        <f t="shared" si="315"/>
        <v>0.51063829787234039</v>
      </c>
      <c r="R191" s="129">
        <f t="shared" si="316"/>
        <v>0.92307692307692313</v>
      </c>
      <c r="S191" s="127">
        <f t="shared" si="317"/>
        <v>0.65753424657534243</v>
      </c>
      <c r="U191" s="81">
        <f>V191-1</f>
        <v>9</v>
      </c>
      <c r="V191" s="81">
        <f>$G$186-3</f>
        <v>10</v>
      </c>
      <c r="W191" s="129">
        <f t="shared" si="318"/>
        <v>0.69230769230769229</v>
      </c>
      <c r="X191" s="129">
        <f t="shared" si="319"/>
        <v>0.9</v>
      </c>
      <c r="Y191" s="127">
        <f t="shared" si="320"/>
        <v>0.78260869565217384</v>
      </c>
      <c r="AA191" s="81">
        <f>AB191-8</f>
        <v>17</v>
      </c>
      <c r="AB191" s="81">
        <f>$I$186-21</f>
        <v>25</v>
      </c>
      <c r="AC191" s="129">
        <f t="shared" si="321"/>
        <v>0.36956521739130432</v>
      </c>
      <c r="AD191" s="129">
        <f t="shared" si="322"/>
        <v>0.68</v>
      </c>
      <c r="AE191" s="127">
        <f t="shared" si="323"/>
        <v>0.47887323943661969</v>
      </c>
      <c r="AG191">
        <f t="shared" si="324"/>
        <v>11</v>
      </c>
      <c r="AH191" s="81">
        <v>11</v>
      </c>
      <c r="AI191" s="127">
        <f t="shared" si="325"/>
        <v>0.47826086956521741</v>
      </c>
      <c r="AJ191" s="127">
        <f t="shared" si="242"/>
        <v>1</v>
      </c>
      <c r="BC191" s="13"/>
      <c r="BD191" s="118"/>
      <c r="BE191" s="13"/>
      <c r="BF191" s="13"/>
      <c r="BG191" s="13"/>
      <c r="BQ191" t="str">
        <f t="shared" si="326"/>
        <v>1-4 &amp; k=3 &amp; 0.51063829787234 &amp; 0.923076923076923 &amp; 0.657534246575342 &amp; 0.692307692307692 &amp; 0.9 &amp; 0.782608695652174 &amp; 0.369565217391304 &amp; 0.68 &amp; 0.47887323943662 &amp; 11 &amp; 11 &amp; 0.478260869565217 &amp; 1 \\ \hline</v>
      </c>
    </row>
    <row r="192" spans="1:69">
      <c r="A192" t="s">
        <v>667</v>
      </c>
      <c r="C192" s="98"/>
      <c r="J192" t="s">
        <v>681</v>
      </c>
      <c r="L192" s="211" t="s">
        <v>684</v>
      </c>
      <c r="M192" s="77"/>
      <c r="O192" s="81">
        <f>P192-4</f>
        <v>39</v>
      </c>
      <c r="P192" s="81">
        <f>$F$186-4</f>
        <v>43</v>
      </c>
      <c r="Q192" s="129">
        <f t="shared" si="315"/>
        <v>0.82978723404255317</v>
      </c>
      <c r="R192" s="129">
        <f t="shared" si="316"/>
        <v>0.90697674418604646</v>
      </c>
      <c r="S192" s="127">
        <f t="shared" si="317"/>
        <v>0.86666666666666659</v>
      </c>
      <c r="U192" s="81">
        <f>V192-3</f>
        <v>8</v>
      </c>
      <c r="V192" s="81">
        <f>$G$186-2</f>
        <v>11</v>
      </c>
      <c r="W192" s="129">
        <f t="shared" si="318"/>
        <v>0.61538461538461542</v>
      </c>
      <c r="X192" s="129">
        <f t="shared" si="319"/>
        <v>0.72727272727272729</v>
      </c>
      <c r="Y192" s="127">
        <f t="shared" si="320"/>
        <v>0.66666666666666674</v>
      </c>
      <c r="AA192" s="81">
        <f>AB192-6</f>
        <v>36</v>
      </c>
      <c r="AB192" s="81">
        <f>$I$186-4</f>
        <v>42</v>
      </c>
      <c r="AC192" s="129">
        <f t="shared" si="321"/>
        <v>0.78260869565217395</v>
      </c>
      <c r="AD192" s="129">
        <f t="shared" si="322"/>
        <v>0.8571428571428571</v>
      </c>
      <c r="AE192" s="127">
        <f t="shared" si="323"/>
        <v>0.81818181818181823</v>
      </c>
      <c r="AG192">
        <f t="shared" si="324"/>
        <v>10</v>
      </c>
      <c r="AH192" s="81">
        <v>10</v>
      </c>
      <c r="AI192" s="127">
        <f t="shared" si="325"/>
        <v>0.43478260869565216</v>
      </c>
      <c r="AJ192" s="127">
        <f t="shared" si="242"/>
        <v>1</v>
      </c>
      <c r="BC192" s="13"/>
      <c r="BD192" s="118"/>
      <c r="BE192" s="13"/>
      <c r="BF192" s="13"/>
      <c r="BG192" s="13"/>
      <c r="BQ192" t="str">
        <f t="shared" si="326"/>
        <v>1-4 &amp; k=3 &amp; 0.829787234042553 &amp; 0.906976744186046 &amp; 0.866666666666667 &amp; 0.615384615384615 &amp; 0.727272727272727 &amp; 0.666666666666667 &amp; 0.782608695652174 &amp; 0.857142857142857 &amp; 0.818181818181818 &amp; 10 &amp; 10 &amp; 0.434782608695652 &amp; 1 \\ \hline</v>
      </c>
    </row>
    <row r="193" spans="1:69">
      <c r="C193" s="98"/>
      <c r="Q193" s="129"/>
      <c r="R193" s="129"/>
      <c r="S193" s="127"/>
      <c r="W193" s="129"/>
      <c r="X193" s="129"/>
      <c r="Y193" s="127"/>
      <c r="AC193" s="129"/>
      <c r="AD193" s="129"/>
      <c r="AE193" s="127"/>
      <c r="AI193" s="127"/>
      <c r="AJ193" s="127"/>
    </row>
    <row r="194" spans="1:69" s="75" customFormat="1">
      <c r="A194" s="75" t="s">
        <v>330</v>
      </c>
      <c r="B194" s="94">
        <v>45179</v>
      </c>
      <c r="C194" s="93" t="s">
        <v>163</v>
      </c>
      <c r="D194" s="78">
        <f>VLOOKUP($C$194,Overview!$Q$2:$AS$64,23,FALSE)</f>
        <v>1.3319028194330147</v>
      </c>
      <c r="E194" s="78" t="str">
        <f>VLOOKUP($C$194,Overview!$Q$2:$AS$64,24,FALSE)</f>
        <v>medium</v>
      </c>
      <c r="F194" s="75">
        <f>VLOOKUP(C194,Overview!$Q$2:$AS$64,13,FALSE)</f>
        <v>55</v>
      </c>
      <c r="G194" s="75">
        <f>VLOOKUP(C194,Overview!$Q$2:$AS$64,16,FALSE)</f>
        <v>10</v>
      </c>
      <c r="H194" s="75">
        <f>VLOOKUP(C194,Overview!$Q$2:$AS$64,18,FALSE)</f>
        <v>30</v>
      </c>
      <c r="I194" s="75">
        <f>VLOOKUP($C$194,Overview!$Q$2:$AS$64,19,FALSE)</f>
        <v>55</v>
      </c>
      <c r="K194" s="294" t="str">
        <f>VLOOKUP($C$194,Overview!$Q$2:$AS$64,5,FALSE)</f>
        <v>5-1, 3-8</v>
      </c>
      <c r="L194" s="293" t="s">
        <v>785</v>
      </c>
      <c r="N194" s="115"/>
      <c r="O194" s="97"/>
      <c r="P194" s="97"/>
      <c r="Q194" s="130"/>
      <c r="R194" s="130"/>
      <c r="S194" s="128"/>
      <c r="T194" s="115"/>
      <c r="U194" s="97"/>
      <c r="V194" s="97"/>
      <c r="W194" s="130"/>
      <c r="X194" s="130"/>
      <c r="Y194" s="128"/>
      <c r="Z194" s="115"/>
      <c r="AA194" s="97"/>
      <c r="AB194" s="97"/>
      <c r="AC194" s="130"/>
      <c r="AD194" s="130"/>
      <c r="AE194" s="128"/>
      <c r="AF194" s="115"/>
      <c r="AG194" s="97"/>
      <c r="AH194" s="97"/>
      <c r="AI194" s="128"/>
      <c r="AJ194" s="127"/>
      <c r="AK194" s="97"/>
      <c r="AL194" s="115"/>
      <c r="AM194" s="122"/>
      <c r="AN194" s="101"/>
      <c r="AQ194" s="101"/>
      <c r="AR194" s="101"/>
      <c r="AV194" s="119"/>
      <c r="AW194" s="101"/>
      <c r="AX194" s="101"/>
      <c r="AY194" s="101"/>
      <c r="AZ194" s="101"/>
      <c r="BA194" s="101"/>
      <c r="BB194" s="83"/>
      <c r="BD194" s="101"/>
      <c r="BQ194"/>
    </row>
    <row r="195" spans="1:69">
      <c r="A195" t="s">
        <v>305</v>
      </c>
      <c r="C195" s="110" t="s">
        <v>702</v>
      </c>
      <c r="J195" t="s">
        <v>679</v>
      </c>
      <c r="K195" s="296" t="s">
        <v>787</v>
      </c>
      <c r="L195" s="211" t="s">
        <v>161</v>
      </c>
      <c r="M195" s="77"/>
      <c r="O195" s="81">
        <f>P195-2</f>
        <v>44</v>
      </c>
      <c r="P195" s="81">
        <f>$F$194-9</f>
        <v>46</v>
      </c>
      <c r="Q195" s="129">
        <f t="shared" ref="Q195:Q200" si="327">O195/$F$194</f>
        <v>0.8</v>
      </c>
      <c r="R195" s="129">
        <f t="shared" ref="R195:R200" si="328">O195/P195</f>
        <v>0.95652173913043481</v>
      </c>
      <c r="S195" s="127">
        <f t="shared" ref="S195:S200" si="329">2*(Q195*R195)/(Q195+R195)</f>
        <v>0.87128712871287128</v>
      </c>
      <c r="U195" s="81">
        <f>V195-2</f>
        <v>8</v>
      </c>
      <c r="V195" s="81">
        <f>$G$194-0</f>
        <v>10</v>
      </c>
      <c r="W195" s="129">
        <f t="shared" ref="W195:W200" si="330">U195/$G$194</f>
        <v>0.8</v>
      </c>
      <c r="X195" s="129">
        <f t="shared" ref="X195:X200" si="331">U195/V195</f>
        <v>0.8</v>
      </c>
      <c r="Y195" s="127">
        <f t="shared" ref="Y195:Y200" si="332">2*(W195*X195)/(W195+X195)</f>
        <v>0.80000000000000016</v>
      </c>
      <c r="AA195" s="81">
        <f>AB195-1</f>
        <v>45</v>
      </c>
      <c r="AB195" s="81">
        <f>$I$194-9</f>
        <v>46</v>
      </c>
      <c r="AC195" s="129">
        <f t="shared" ref="AC195:AC200" si="333">AA195/$I$194</f>
        <v>0.81818181818181823</v>
      </c>
      <c r="AD195" s="129">
        <f t="shared" ref="AD195:AD200" si="334">AA195/AB195</f>
        <v>0.97826086956521741</v>
      </c>
      <c r="AE195" s="127">
        <f t="shared" ref="AE195:AE200" si="335">2*(AC195*AD195)/(AC195+AD195)</f>
        <v>0.8910891089108911</v>
      </c>
      <c r="AG195" s="81">
        <f t="shared" ref="AG195:AG200" si="336">AH195-0</f>
        <v>7</v>
      </c>
      <c r="AH195" s="81">
        <v>7</v>
      </c>
      <c r="AI195" s="127">
        <f t="shared" ref="AI195:AI200" si="337">AG195/$H$194</f>
        <v>0.23333333333333334</v>
      </c>
      <c r="AJ195" s="127">
        <f t="shared" si="242"/>
        <v>1</v>
      </c>
      <c r="AW195" s="101">
        <f>($F$194-N195)/$F$194</f>
        <v>1</v>
      </c>
      <c r="AY195" s="101">
        <f>($G$194-AN195)/$G$194</f>
        <v>1</v>
      </c>
      <c r="AZ195" s="101" t="e">
        <f>AR195/AQ195</f>
        <v>#DIV/0!</v>
      </c>
      <c r="BA195" s="101" t="e">
        <f>AT195/AS195</f>
        <v>#DIV/0!</v>
      </c>
      <c r="BB195" s="85" t="e">
        <f>(AW195+AY195+AZ195+BA195)/4</f>
        <v>#DIV/0!</v>
      </c>
      <c r="BC195" s="13">
        <f>AP195/$H$194</f>
        <v>0</v>
      </c>
      <c r="BD195" s="118" t="e">
        <f>AV195/AP195</f>
        <v>#DIV/0!</v>
      </c>
      <c r="BE195" s="13" t="e">
        <f>AO195/AP195</f>
        <v>#DIV/0!</v>
      </c>
      <c r="BF195" s="13">
        <f>AT195/$H$194</f>
        <v>0</v>
      </c>
      <c r="BG195" s="13">
        <f>AR195/$H$194</f>
        <v>0</v>
      </c>
      <c r="BQ195" t="str">
        <f>_xlfn.CONCAT($C$194," &amp; ",J195," &amp; ",Q195," &amp; ",R195," &amp; ",S195," &amp; ",W195," &amp; ",X195," &amp; ",Y195," &amp; ",AC195," &amp; ",AD195," &amp; ",AE195," &amp; ",AG195," &amp; ",AH195," &amp; ",AI195," &amp; ",AJ195, " \\ \hline")</f>
        <v>9-1 &amp; k=1 &amp; 0.8 &amp; 0.956521739130435 &amp; 0.871287128712871 &amp; 0.8 &amp; 0.8 &amp; 0.8 &amp; 0.818181818181818 &amp; 0.978260869565217 &amp; 0.891089108910891 &amp; 7 &amp; 7 &amp; 0.233333333333333 &amp; 1 \\ \hline</v>
      </c>
    </row>
    <row r="196" spans="1:69">
      <c r="A196" t="s">
        <v>306</v>
      </c>
      <c r="J196" t="s">
        <v>679</v>
      </c>
      <c r="L196" s="211" t="s">
        <v>161</v>
      </c>
      <c r="M196" s="77"/>
      <c r="O196" s="81">
        <f>P196-1</f>
        <v>32</v>
      </c>
      <c r="P196" s="81">
        <f>$F$194-22</f>
        <v>33</v>
      </c>
      <c r="Q196" s="129">
        <f t="shared" si="327"/>
        <v>0.58181818181818179</v>
      </c>
      <c r="R196" s="129">
        <f t="shared" si="328"/>
        <v>0.96969696969696972</v>
      </c>
      <c r="S196" s="127">
        <f t="shared" si="329"/>
        <v>0.72727272727272718</v>
      </c>
      <c r="U196" s="81">
        <f>V196-1</f>
        <v>8</v>
      </c>
      <c r="V196" s="81">
        <f>$G$194-1</f>
        <v>9</v>
      </c>
      <c r="W196" s="129">
        <f t="shared" si="330"/>
        <v>0.8</v>
      </c>
      <c r="X196" s="129">
        <f t="shared" si="331"/>
        <v>0.88888888888888884</v>
      </c>
      <c r="Y196" s="127">
        <f t="shared" si="332"/>
        <v>0.8421052631578948</v>
      </c>
      <c r="AA196" s="81">
        <f>AB196-1</f>
        <v>32</v>
      </c>
      <c r="AB196" s="81">
        <f>$I$194-22</f>
        <v>33</v>
      </c>
      <c r="AC196" s="129">
        <f t="shared" si="333"/>
        <v>0.58181818181818179</v>
      </c>
      <c r="AD196" s="129">
        <f t="shared" si="334"/>
        <v>0.96969696969696972</v>
      </c>
      <c r="AE196" s="127">
        <f t="shared" si="335"/>
        <v>0.72727272727272718</v>
      </c>
      <c r="AG196" s="81">
        <f t="shared" si="336"/>
        <v>5</v>
      </c>
      <c r="AH196" s="81">
        <v>5</v>
      </c>
      <c r="AI196" s="127">
        <f t="shared" si="337"/>
        <v>0.16666666666666666</v>
      </c>
      <c r="AJ196" s="127">
        <f t="shared" ref="AJ196:AJ224" si="338">AG196/AH196</f>
        <v>1</v>
      </c>
      <c r="AW196" s="101">
        <f>($F$194-N196)/$F$194</f>
        <v>1</v>
      </c>
      <c r="AY196" s="101">
        <f>($G$194-AN196)/$G$194</f>
        <v>1</v>
      </c>
      <c r="AZ196" s="101" t="e">
        <f>AR196/AQ196</f>
        <v>#DIV/0!</v>
      </c>
      <c r="BA196" s="101" t="e">
        <f>AT196/AS196</f>
        <v>#DIV/0!</v>
      </c>
      <c r="BB196" s="85" t="e">
        <f>(AW196+AY196+AZ196+BA196)/4</f>
        <v>#DIV/0!</v>
      </c>
      <c r="BC196" s="13">
        <f>AP196/$H$194</f>
        <v>0</v>
      </c>
      <c r="BD196" s="118" t="e">
        <f>AV196/AP196</f>
        <v>#DIV/0!</v>
      </c>
      <c r="BE196" s="13" t="e">
        <f>AO196/AP196</f>
        <v>#DIV/0!</v>
      </c>
      <c r="BF196" s="13">
        <f>AT196/$H$194</f>
        <v>0</v>
      </c>
      <c r="BG196" s="13">
        <f>AR196/$H$194</f>
        <v>0</v>
      </c>
      <c r="BQ196" t="str">
        <f t="shared" ref="BQ196:BQ200" si="339">_xlfn.CONCAT($C$194," &amp; ",J196," &amp; ",Q196," &amp; ",R196," &amp; ",S196," &amp; ",W196," &amp; ",X196," &amp; ",Y196," &amp; ",AC196," &amp; ",AD196," &amp; ",AE196," &amp; ",AG196," &amp; ",AH196," &amp; ",AI196," &amp; ",AJ196, " \\ \hline")</f>
        <v>9-1 &amp; k=1 &amp; 0.581818181818182 &amp; 0.96969696969697 &amp; 0.727272727272727 &amp; 0.8 &amp; 0.888888888888889 &amp; 0.842105263157895 &amp; 0.581818181818182 &amp; 0.96969696969697 &amp; 0.727272727272727 &amp; 5 &amp; 5 &amp; 0.166666666666667 &amp; 1 \\ \hline</v>
      </c>
    </row>
    <row r="197" spans="1:69">
      <c r="A197" t="s">
        <v>307</v>
      </c>
      <c r="C197" s="98"/>
      <c r="J197" t="s">
        <v>680</v>
      </c>
      <c r="L197" s="211" t="s">
        <v>693</v>
      </c>
      <c r="M197" s="77"/>
      <c r="O197" s="81">
        <f>P197</f>
        <v>33</v>
      </c>
      <c r="P197" s="81">
        <f>$F$194-22</f>
        <v>33</v>
      </c>
      <c r="Q197" s="129">
        <f t="shared" si="327"/>
        <v>0.6</v>
      </c>
      <c r="R197" s="129">
        <f t="shared" si="328"/>
        <v>1</v>
      </c>
      <c r="S197" s="127">
        <f t="shared" si="329"/>
        <v>0.74999999999999989</v>
      </c>
      <c r="U197" s="81">
        <f>V197</f>
        <v>9</v>
      </c>
      <c r="V197" s="81">
        <f>$G$194-1</f>
        <v>9</v>
      </c>
      <c r="W197" s="129">
        <f t="shared" si="330"/>
        <v>0.9</v>
      </c>
      <c r="X197" s="129">
        <f t="shared" si="331"/>
        <v>1</v>
      </c>
      <c r="Y197" s="127">
        <f t="shared" si="332"/>
        <v>0.94736842105263164</v>
      </c>
      <c r="AA197" s="81">
        <f>AB197</f>
        <v>33</v>
      </c>
      <c r="AB197" s="81">
        <f>$F$194-22</f>
        <v>33</v>
      </c>
      <c r="AC197" s="129">
        <f t="shared" si="333"/>
        <v>0.6</v>
      </c>
      <c r="AD197" s="129">
        <f t="shared" si="334"/>
        <v>1</v>
      </c>
      <c r="AE197" s="127">
        <f t="shared" si="335"/>
        <v>0.74999999999999989</v>
      </c>
      <c r="AG197" s="81">
        <f t="shared" si="336"/>
        <v>9</v>
      </c>
      <c r="AH197" s="81">
        <v>9</v>
      </c>
      <c r="AI197" s="127">
        <f t="shared" si="337"/>
        <v>0.3</v>
      </c>
      <c r="AJ197" s="127">
        <f t="shared" si="338"/>
        <v>1</v>
      </c>
      <c r="AW197" s="101">
        <f>($F$194-N197)/$F$194</f>
        <v>1</v>
      </c>
      <c r="AY197" s="101">
        <f>($G$194-AN197)/$G$194</f>
        <v>1</v>
      </c>
      <c r="AZ197" s="101" t="e">
        <f>AR197/AQ197</f>
        <v>#DIV/0!</v>
      </c>
      <c r="BA197" s="101" t="e">
        <f>AT197/AS197</f>
        <v>#DIV/0!</v>
      </c>
      <c r="BB197" s="85" t="e">
        <f>(AW197+AY197+AZ197+BA197)/4</f>
        <v>#DIV/0!</v>
      </c>
      <c r="BC197" s="13">
        <f>AP197/$H$194</f>
        <v>0</v>
      </c>
      <c r="BD197" s="118" t="e">
        <f>AV197/AP197</f>
        <v>#DIV/0!</v>
      </c>
      <c r="BE197" s="13" t="e">
        <f>AO197/AP197</f>
        <v>#DIV/0!</v>
      </c>
      <c r="BF197" s="13">
        <f>AT197/$H$194</f>
        <v>0</v>
      </c>
      <c r="BG197" s="13">
        <f>AR197/$H$194</f>
        <v>0</v>
      </c>
      <c r="BQ197" t="str">
        <f t="shared" si="339"/>
        <v>9-1 &amp; k=2 &amp; 0.6 &amp; 1 &amp; 0.75 &amp; 0.9 &amp; 1 &amp; 0.947368421052632 &amp; 0.6 &amp; 1 &amp; 0.75 &amp; 9 &amp; 9 &amp; 0.3 &amp; 1 \\ \hline</v>
      </c>
    </row>
    <row r="198" spans="1:69">
      <c r="A198" t="s">
        <v>308</v>
      </c>
      <c r="C198" s="98"/>
      <c r="J198" t="s">
        <v>680</v>
      </c>
      <c r="L198" s="211" t="s">
        <v>693</v>
      </c>
      <c r="M198" s="77"/>
      <c r="O198" s="81">
        <f>P198-1</f>
        <v>32</v>
      </c>
      <c r="P198" s="81">
        <f>$F$194-22</f>
        <v>33</v>
      </c>
      <c r="Q198" s="129">
        <f t="shared" si="327"/>
        <v>0.58181818181818179</v>
      </c>
      <c r="R198" s="129">
        <f t="shared" si="328"/>
        <v>0.96969696969696972</v>
      </c>
      <c r="S198" s="127">
        <f t="shared" si="329"/>
        <v>0.72727272727272718</v>
      </c>
      <c r="U198" s="81">
        <f>V198-1</f>
        <v>8</v>
      </c>
      <c r="V198" s="81">
        <f>$G$194-1</f>
        <v>9</v>
      </c>
      <c r="W198" s="129">
        <f t="shared" si="330"/>
        <v>0.8</v>
      </c>
      <c r="X198" s="129">
        <f t="shared" si="331"/>
        <v>0.88888888888888884</v>
      </c>
      <c r="Y198" s="127">
        <f t="shared" si="332"/>
        <v>0.8421052631578948</v>
      </c>
      <c r="AA198" s="81">
        <f>AB198</f>
        <v>33</v>
      </c>
      <c r="AB198" s="81">
        <f>$F$194-22</f>
        <v>33</v>
      </c>
      <c r="AC198" s="129">
        <f t="shared" si="333"/>
        <v>0.6</v>
      </c>
      <c r="AD198" s="129">
        <f t="shared" si="334"/>
        <v>1</v>
      </c>
      <c r="AE198" s="127">
        <f t="shared" si="335"/>
        <v>0.74999999999999989</v>
      </c>
      <c r="AG198" s="81">
        <f t="shared" si="336"/>
        <v>8</v>
      </c>
      <c r="AH198" s="81">
        <v>8</v>
      </c>
      <c r="AI198" s="127">
        <f t="shared" si="337"/>
        <v>0.26666666666666666</v>
      </c>
      <c r="AJ198" s="127">
        <f t="shared" si="338"/>
        <v>1</v>
      </c>
      <c r="AW198" s="101">
        <f>($F$194-N198)/$F$194</f>
        <v>1</v>
      </c>
      <c r="AY198" s="101">
        <f>($G$194-AN198)/$G$194</f>
        <v>1</v>
      </c>
      <c r="AZ198" s="101" t="e">
        <f>AR198/AQ198</f>
        <v>#DIV/0!</v>
      </c>
      <c r="BA198" s="101" t="e">
        <f>AT198/AS198</f>
        <v>#DIV/0!</v>
      </c>
      <c r="BB198" s="85" t="e">
        <f>(AW198+AY198+AZ198+BA198)/4</f>
        <v>#DIV/0!</v>
      </c>
      <c r="BC198" s="13">
        <f>AP198/$H$194</f>
        <v>0</v>
      </c>
      <c r="BD198" s="118" t="e">
        <f>AV198/AP198</f>
        <v>#DIV/0!</v>
      </c>
      <c r="BE198" s="13" t="e">
        <f>AO198/AP198</f>
        <v>#DIV/0!</v>
      </c>
      <c r="BF198" s="13">
        <f>AT198/$H$194</f>
        <v>0</v>
      </c>
      <c r="BG198" s="13">
        <f>AR198/$H$194</f>
        <v>0</v>
      </c>
      <c r="BQ198" t="str">
        <f t="shared" si="339"/>
        <v>9-1 &amp; k=2 &amp; 0.581818181818182 &amp; 0.96969696969697 &amp; 0.727272727272727 &amp; 0.8 &amp; 0.888888888888889 &amp; 0.842105263157895 &amp; 0.6 &amp; 1 &amp; 0.75 &amp; 8 &amp; 8 &amp; 0.266666666666667 &amp; 1 \\ \hline</v>
      </c>
    </row>
    <row r="199" spans="1:69">
      <c r="A199" t="s">
        <v>309</v>
      </c>
      <c r="C199" s="98"/>
      <c r="J199" t="s">
        <v>681</v>
      </c>
      <c r="L199" s="211" t="s">
        <v>694</v>
      </c>
      <c r="M199" s="77"/>
      <c r="O199" s="81">
        <f>P199-2</f>
        <v>40</v>
      </c>
      <c r="P199" s="81">
        <f>$F$194-13</f>
        <v>42</v>
      </c>
      <c r="Q199" s="129">
        <f t="shared" si="327"/>
        <v>0.72727272727272729</v>
      </c>
      <c r="R199" s="129">
        <f t="shared" si="328"/>
        <v>0.95238095238095233</v>
      </c>
      <c r="S199" s="127">
        <f t="shared" si="329"/>
        <v>0.82474226804123707</v>
      </c>
      <c r="U199" s="81">
        <f>V199-2</f>
        <v>8</v>
      </c>
      <c r="V199" s="81">
        <f>$G$194-0</f>
        <v>10</v>
      </c>
      <c r="W199" s="129">
        <f t="shared" si="330"/>
        <v>0.8</v>
      </c>
      <c r="X199" s="129">
        <f t="shared" si="331"/>
        <v>0.8</v>
      </c>
      <c r="Y199" s="127">
        <f t="shared" si="332"/>
        <v>0.80000000000000016</v>
      </c>
      <c r="AA199" s="81">
        <f>AB199-2</f>
        <v>40</v>
      </c>
      <c r="AB199" s="81">
        <f>$I$194-13</f>
        <v>42</v>
      </c>
      <c r="AC199" s="129">
        <f t="shared" si="333"/>
        <v>0.72727272727272729</v>
      </c>
      <c r="AD199" s="129">
        <f t="shared" si="334"/>
        <v>0.95238095238095233</v>
      </c>
      <c r="AE199" s="127">
        <f t="shared" si="335"/>
        <v>0.82474226804123707</v>
      </c>
      <c r="AG199" s="81">
        <f t="shared" si="336"/>
        <v>6</v>
      </c>
      <c r="AH199" s="81">
        <v>6</v>
      </c>
      <c r="AI199" s="127">
        <f t="shared" si="337"/>
        <v>0.2</v>
      </c>
      <c r="AJ199" s="127">
        <f t="shared" si="338"/>
        <v>1</v>
      </c>
      <c r="BC199" s="13"/>
      <c r="BD199" s="118"/>
      <c r="BE199" s="13"/>
      <c r="BF199" s="13"/>
      <c r="BG199" s="13"/>
      <c r="BQ199" t="str">
        <f t="shared" si="339"/>
        <v>9-1 &amp; k=3 &amp; 0.727272727272727 &amp; 0.952380952380952 &amp; 0.824742268041237 &amp; 0.8 &amp; 0.8 &amp; 0.8 &amp; 0.727272727272727 &amp; 0.952380952380952 &amp; 0.824742268041237 &amp; 6 &amp; 6 &amp; 0.2 &amp; 1 \\ \hline</v>
      </c>
    </row>
    <row r="200" spans="1:69">
      <c r="A200" t="s">
        <v>667</v>
      </c>
      <c r="C200" s="98"/>
      <c r="J200" t="s">
        <v>681</v>
      </c>
      <c r="L200" s="211" t="s">
        <v>694</v>
      </c>
      <c r="M200" s="77"/>
      <c r="O200" s="81">
        <f>P200-2</f>
        <v>33</v>
      </c>
      <c r="P200" s="81">
        <f>$F$194-20</f>
        <v>35</v>
      </c>
      <c r="Q200" s="129">
        <f t="shared" si="327"/>
        <v>0.6</v>
      </c>
      <c r="R200" s="129">
        <f t="shared" si="328"/>
        <v>0.94285714285714284</v>
      </c>
      <c r="S200" s="127">
        <f t="shared" si="329"/>
        <v>0.73333333333333339</v>
      </c>
      <c r="U200" s="81">
        <f>V200-1</f>
        <v>8</v>
      </c>
      <c r="V200" s="81">
        <f>$G$194-1</f>
        <v>9</v>
      </c>
      <c r="W200" s="129">
        <f t="shared" si="330"/>
        <v>0.8</v>
      </c>
      <c r="X200" s="129">
        <f t="shared" si="331"/>
        <v>0.88888888888888884</v>
      </c>
      <c r="Y200" s="127">
        <f t="shared" si="332"/>
        <v>0.8421052631578948</v>
      </c>
      <c r="AA200" s="81">
        <f>AB200-0</f>
        <v>35</v>
      </c>
      <c r="AB200" s="81">
        <f>$I$194-20</f>
        <v>35</v>
      </c>
      <c r="AC200" s="129">
        <f t="shared" si="333"/>
        <v>0.63636363636363635</v>
      </c>
      <c r="AD200" s="129">
        <f t="shared" si="334"/>
        <v>1</v>
      </c>
      <c r="AE200" s="127">
        <f t="shared" si="335"/>
        <v>0.77777777777777779</v>
      </c>
      <c r="AG200" s="81">
        <f t="shared" si="336"/>
        <v>9</v>
      </c>
      <c r="AH200" s="81">
        <v>9</v>
      </c>
      <c r="AI200" s="127">
        <f t="shared" si="337"/>
        <v>0.3</v>
      </c>
      <c r="AJ200" s="127">
        <f t="shared" si="338"/>
        <v>1</v>
      </c>
      <c r="BC200" s="13"/>
      <c r="BD200" s="118"/>
      <c r="BE200" s="13"/>
      <c r="BF200" s="13"/>
      <c r="BG200" s="13"/>
      <c r="BQ200" t="str">
        <f t="shared" si="339"/>
        <v>9-1 &amp; k=3 &amp; 0.6 &amp; 0.942857142857143 &amp; 0.733333333333333 &amp; 0.8 &amp; 0.888888888888889 &amp; 0.842105263157895 &amp; 0.636363636363636 &amp; 1 &amp; 0.777777777777778 &amp; 9 &amp; 9 &amp; 0.3 &amp; 1 \\ \hline</v>
      </c>
    </row>
    <row r="201" spans="1:69">
      <c r="C201" s="98"/>
      <c r="Q201" s="129"/>
      <c r="R201" s="129"/>
      <c r="S201" s="127"/>
      <c r="W201" s="129"/>
      <c r="X201" s="129"/>
      <c r="Y201" s="127"/>
      <c r="AC201" s="129"/>
      <c r="AD201" s="129"/>
      <c r="AE201" s="127"/>
      <c r="AI201" s="127"/>
      <c r="AJ201" s="127"/>
    </row>
    <row r="202" spans="1:69" s="75" customFormat="1">
      <c r="A202" s="75" t="s">
        <v>331</v>
      </c>
      <c r="B202" s="94">
        <v>45179</v>
      </c>
      <c r="C202" s="93" t="s">
        <v>138</v>
      </c>
      <c r="D202" s="78">
        <f>VLOOKUP($C$202,Overview!$Q$2:$AS$64,23,FALSE)</f>
        <v>1.762299953678875</v>
      </c>
      <c r="E202" s="78" t="str">
        <f>VLOOKUP($C$202,Overview!$Q$2:$AS$64,24,FALSE)</f>
        <v>medium</v>
      </c>
      <c r="F202" s="75">
        <f>VLOOKUP(C202,Overview!$Q$2:$AS$64,13,FALSE)</f>
        <v>57</v>
      </c>
      <c r="G202" s="75">
        <f>VLOOKUP(C202,Overview!$Q$2:$AS$64,16,FALSE)</f>
        <v>10</v>
      </c>
      <c r="H202" s="75">
        <f>VLOOKUP(C202,Overview!$Q$2:$AS$64,18,FALSE)</f>
        <v>23</v>
      </c>
      <c r="I202" s="75">
        <f>VLOOKUP($C$202,Overview!$Q$2:$AS$64,19,FALSE)</f>
        <v>52</v>
      </c>
      <c r="K202" s="75" t="str">
        <f>VLOOKUP($C$202,Overview!$Q$2:$AS$64,5,FALSE)</f>
        <v>5-2, 3-8</v>
      </c>
      <c r="L202" s="96"/>
      <c r="N202" s="115"/>
      <c r="O202" s="97"/>
      <c r="P202" s="97"/>
      <c r="Q202" s="130"/>
      <c r="R202" s="130"/>
      <c r="S202" s="128"/>
      <c r="T202" s="115"/>
      <c r="U202" s="97"/>
      <c r="V202" s="97"/>
      <c r="W202" s="130"/>
      <c r="X202" s="130"/>
      <c r="Y202" s="128"/>
      <c r="Z202" s="115"/>
      <c r="AA202" s="97"/>
      <c r="AB202" s="97"/>
      <c r="AC202" s="130"/>
      <c r="AD202" s="130"/>
      <c r="AE202" s="128"/>
      <c r="AF202" s="115"/>
      <c r="AG202" s="97"/>
      <c r="AH202" s="97"/>
      <c r="AI202" s="128"/>
      <c r="AJ202" s="127"/>
      <c r="AK202" s="97"/>
      <c r="AL202" s="115"/>
      <c r="AM202" s="122"/>
      <c r="AN202" s="101"/>
      <c r="AQ202" s="101"/>
      <c r="AR202" s="101"/>
      <c r="AV202" s="119"/>
      <c r="AW202" s="101"/>
      <c r="AX202" s="101"/>
      <c r="AY202" s="101"/>
      <c r="AZ202" s="101"/>
      <c r="BA202" s="101"/>
      <c r="BB202" s="83"/>
      <c r="BD202" s="101"/>
      <c r="BQ202"/>
    </row>
    <row r="203" spans="1:69">
      <c r="A203" t="s">
        <v>305</v>
      </c>
      <c r="J203" t="s">
        <v>679</v>
      </c>
      <c r="K203" s="296" t="s">
        <v>787</v>
      </c>
      <c r="L203" s="211" t="s">
        <v>149</v>
      </c>
      <c r="M203" s="77"/>
      <c r="O203" s="81">
        <f>P203-1</f>
        <v>41</v>
      </c>
      <c r="P203" s="81">
        <f>$F$202-15</f>
        <v>42</v>
      </c>
      <c r="Q203" s="129">
        <f t="shared" ref="Q203:Q208" si="340">O203/$F$202</f>
        <v>0.7192982456140351</v>
      </c>
      <c r="R203" s="129">
        <f t="shared" ref="R203:R208" si="341">O203/P203</f>
        <v>0.97619047619047616</v>
      </c>
      <c r="S203" s="127">
        <f t="shared" ref="S203:S208" si="342">2*(Q203*R203)/(Q203+R203)</f>
        <v>0.82828282828282818</v>
      </c>
      <c r="U203" s="81">
        <f>V203-1</f>
        <v>6</v>
      </c>
      <c r="V203" s="81">
        <f>$G$202-3</f>
        <v>7</v>
      </c>
      <c r="W203" s="129">
        <f t="shared" ref="W203:W208" si="343">U203/$G$202</f>
        <v>0.6</v>
      </c>
      <c r="X203" s="129">
        <f t="shared" ref="X203:X208" si="344">U203/V203</f>
        <v>0.8571428571428571</v>
      </c>
      <c r="Y203" s="127">
        <f t="shared" ref="Y203:Y208" si="345">2*(W203*X203)/(W203+X203)</f>
        <v>0.70588235294117641</v>
      </c>
      <c r="AA203" s="81">
        <f>AB203-12</f>
        <v>26</v>
      </c>
      <c r="AB203" s="81">
        <f>$I$202-14</f>
        <v>38</v>
      </c>
      <c r="AC203" s="129">
        <f t="shared" ref="AC203:AC208" si="346">AA203/$I$202</f>
        <v>0.5</v>
      </c>
      <c r="AD203" s="129">
        <f t="shared" ref="AD203:AD208" si="347">AA203/AB203</f>
        <v>0.68421052631578949</v>
      </c>
      <c r="AE203" s="127">
        <f t="shared" ref="AE203:AE208" si="348">2*(AC203*AD203)/(AC203+AD203)</f>
        <v>0.57777777777777783</v>
      </c>
      <c r="AG203" s="81">
        <f t="shared" ref="AG203:AG208" si="349">AH203-0</f>
        <v>1</v>
      </c>
      <c r="AH203" s="81">
        <v>1</v>
      </c>
      <c r="AI203" s="127">
        <f t="shared" ref="AI203:AI208" si="350">AG203/$H$202</f>
        <v>4.3478260869565216E-2</v>
      </c>
      <c r="AJ203" s="127">
        <f t="shared" si="338"/>
        <v>1</v>
      </c>
      <c r="AW203" s="101">
        <f>($F$202-N203)/$F$202</f>
        <v>1</v>
      </c>
      <c r="AY203" s="101">
        <f>($G$202-AN203)/$G$202</f>
        <v>1</v>
      </c>
      <c r="AZ203" s="101" t="e">
        <f>AR203/AQ203</f>
        <v>#DIV/0!</v>
      </c>
      <c r="BA203" s="101" t="e">
        <f>AT203/AS203</f>
        <v>#DIV/0!</v>
      </c>
      <c r="BB203" s="85" t="e">
        <f>(AW203+AY203+AZ203+BA203)/4</f>
        <v>#DIV/0!</v>
      </c>
      <c r="BC203" s="13">
        <f>AP203/$H$202</f>
        <v>0</v>
      </c>
      <c r="BD203" s="118" t="e">
        <f>AV203/AP203</f>
        <v>#DIV/0!</v>
      </c>
      <c r="BE203" s="13" t="e">
        <f>AO203/AP203</f>
        <v>#DIV/0!</v>
      </c>
      <c r="BF203" s="13">
        <f>AT203/$H$202</f>
        <v>0</v>
      </c>
      <c r="BG203" s="13">
        <f>AR203/$H$202</f>
        <v>0</v>
      </c>
      <c r="BQ203" t="str">
        <f>_xlfn.CONCAT($C$202," &amp; ",J203," &amp; ",Q203," &amp; ",R203," &amp; ",S203," &amp; ",W203," &amp; ",X203," &amp; ",Y203," &amp; ",AC203," &amp; ",AD203," &amp; ",AE203," &amp; ",AG203," &amp; ",AH203," &amp; ",AI203," &amp; ",AJ203, " \\ \hline")</f>
        <v>1-3 &amp; k=1 &amp; 0.719298245614035 &amp; 0.976190476190476 &amp; 0.828282828282828 &amp; 0.6 &amp; 0.857142857142857 &amp; 0.705882352941176 &amp; 0.5 &amp; 0.684210526315789 &amp; 0.577777777777778 &amp; 1 &amp; 1 &amp; 0.0434782608695652 &amp; 1 \\ \hline</v>
      </c>
    </row>
    <row r="204" spans="1:69">
      <c r="A204" t="s">
        <v>306</v>
      </c>
      <c r="C204" s="98"/>
      <c r="J204" t="s">
        <v>679</v>
      </c>
      <c r="L204" s="211" t="s">
        <v>149</v>
      </c>
      <c r="M204" s="77"/>
      <c r="O204" s="81">
        <f>P204-1</f>
        <v>42</v>
      </c>
      <c r="P204" s="81">
        <f>$F$202-14</f>
        <v>43</v>
      </c>
      <c r="Q204" s="129">
        <f t="shared" si="340"/>
        <v>0.73684210526315785</v>
      </c>
      <c r="R204" s="129">
        <f t="shared" si="341"/>
        <v>0.97674418604651159</v>
      </c>
      <c r="S204" s="127">
        <f t="shared" si="342"/>
        <v>0.83999999999999986</v>
      </c>
      <c r="U204" s="81">
        <f>V204-1</f>
        <v>7</v>
      </c>
      <c r="V204" s="81">
        <f>$G$202-2</f>
        <v>8</v>
      </c>
      <c r="W204" s="129">
        <f t="shared" si="343"/>
        <v>0.7</v>
      </c>
      <c r="X204" s="129">
        <f t="shared" si="344"/>
        <v>0.875</v>
      </c>
      <c r="Y204" s="127">
        <f t="shared" si="345"/>
        <v>0.77777777777777768</v>
      </c>
      <c r="AA204" s="81">
        <f>AB204-8</f>
        <v>31</v>
      </c>
      <c r="AB204" s="81">
        <f>$I$202-13</f>
        <v>39</v>
      </c>
      <c r="AC204" s="129">
        <f t="shared" si="346"/>
        <v>0.59615384615384615</v>
      </c>
      <c r="AD204" s="129">
        <f t="shared" si="347"/>
        <v>0.79487179487179482</v>
      </c>
      <c r="AE204" s="127">
        <f t="shared" si="348"/>
        <v>0.68131868131868134</v>
      </c>
      <c r="AG204" s="81">
        <f t="shared" si="349"/>
        <v>1</v>
      </c>
      <c r="AH204" s="81">
        <v>1</v>
      </c>
      <c r="AI204" s="127">
        <f t="shared" si="350"/>
        <v>4.3478260869565216E-2</v>
      </c>
      <c r="AJ204" s="127">
        <f t="shared" si="338"/>
        <v>1</v>
      </c>
      <c r="AW204" s="101">
        <f>($F$202-N204)/$F$202</f>
        <v>1</v>
      </c>
      <c r="AY204" s="101">
        <f>($G$202-AN204)/$G$202</f>
        <v>1</v>
      </c>
      <c r="AZ204" s="101" t="e">
        <f>AR204/AQ204</f>
        <v>#DIV/0!</v>
      </c>
      <c r="BA204" s="101" t="e">
        <f>AT204/AS204</f>
        <v>#DIV/0!</v>
      </c>
      <c r="BB204" s="85" t="e">
        <f>(AW204+AY204+AZ204+BA204)/4</f>
        <v>#DIV/0!</v>
      </c>
      <c r="BC204" s="13">
        <f>AP204/$H$202</f>
        <v>0</v>
      </c>
      <c r="BD204" s="118" t="e">
        <f>AV204/AP204</f>
        <v>#DIV/0!</v>
      </c>
      <c r="BE204" s="13" t="e">
        <f>AO204/AP204</f>
        <v>#DIV/0!</v>
      </c>
      <c r="BF204" s="13">
        <f>AT204/$H$202</f>
        <v>0</v>
      </c>
      <c r="BG204" s="13">
        <f>AR204/$H$202</f>
        <v>0</v>
      </c>
      <c r="BQ204" t="str">
        <f t="shared" ref="BQ204:BQ208" si="351">_xlfn.CONCAT($C$202," &amp; ",J204," &amp; ",Q204," &amp; ",R204," &amp; ",S204," &amp; ",W204," &amp; ",X204," &amp; ",Y204," &amp; ",AC204," &amp; ",AD204," &amp; ",AE204," &amp; ",AG204," &amp; ",AH204," &amp; ",AI204," &amp; ",AJ204, " \\ \hline")</f>
        <v>1-3 &amp; k=1 &amp; 0.736842105263158 &amp; 0.976744186046512 &amp; 0.84 &amp; 0.7 &amp; 0.875 &amp; 0.777777777777778 &amp; 0.596153846153846 &amp; 0.794871794871795 &amp; 0.681318681318681 &amp; 1 &amp; 1 &amp; 0.0434782608695652 &amp; 1 \\ \hline</v>
      </c>
    </row>
    <row r="205" spans="1:69">
      <c r="A205" t="s">
        <v>307</v>
      </c>
      <c r="C205" s="98"/>
      <c r="J205" s="77" t="s">
        <v>703</v>
      </c>
      <c r="L205" s="211" t="s">
        <v>682</v>
      </c>
      <c r="M205" s="77"/>
      <c r="O205" s="81">
        <f>P205-3</f>
        <v>46</v>
      </c>
      <c r="P205" s="81">
        <f>$F$202-8</f>
        <v>49</v>
      </c>
      <c r="Q205" s="129">
        <f t="shared" si="340"/>
        <v>0.80701754385964908</v>
      </c>
      <c r="R205" s="129">
        <f t="shared" si="341"/>
        <v>0.93877551020408168</v>
      </c>
      <c r="S205" s="127">
        <f t="shared" si="342"/>
        <v>0.86792452830188682</v>
      </c>
      <c r="U205" s="81">
        <f>V205-2</f>
        <v>7</v>
      </c>
      <c r="V205" s="81">
        <f>$G$202-1</f>
        <v>9</v>
      </c>
      <c r="W205" s="129">
        <f t="shared" si="343"/>
        <v>0.7</v>
      </c>
      <c r="X205" s="129">
        <f t="shared" si="344"/>
        <v>0.77777777777777779</v>
      </c>
      <c r="Y205" s="127">
        <f t="shared" si="345"/>
        <v>0.73684210526315774</v>
      </c>
      <c r="AA205" s="81">
        <f>AB205-6</f>
        <v>40</v>
      </c>
      <c r="AB205" s="81">
        <f>$I$202-6</f>
        <v>46</v>
      </c>
      <c r="AC205" s="129">
        <f t="shared" si="346"/>
        <v>0.76923076923076927</v>
      </c>
      <c r="AD205" s="129">
        <f t="shared" si="347"/>
        <v>0.86956521739130432</v>
      </c>
      <c r="AE205" s="127">
        <f t="shared" si="348"/>
        <v>0.81632653061224492</v>
      </c>
      <c r="AG205" s="81">
        <f t="shared" si="349"/>
        <v>2</v>
      </c>
      <c r="AH205" s="81">
        <v>2</v>
      </c>
      <c r="AI205" s="127">
        <f t="shared" si="350"/>
        <v>8.6956521739130432E-2</v>
      </c>
      <c r="AJ205" s="127">
        <f t="shared" si="338"/>
        <v>1</v>
      </c>
      <c r="AW205" s="101">
        <f>($F$202-N205)/$F$202</f>
        <v>1</v>
      </c>
      <c r="AY205" s="101">
        <f>($G$202-AN205)/$G$202</f>
        <v>1</v>
      </c>
      <c r="AZ205" s="101" t="e">
        <f>AR205/AQ205</f>
        <v>#DIV/0!</v>
      </c>
      <c r="BA205" s="101" t="e">
        <f>AT205/AS205</f>
        <v>#DIV/0!</v>
      </c>
      <c r="BB205" s="85" t="e">
        <f>(AW205+AY205+AZ205+BA205)/4</f>
        <v>#DIV/0!</v>
      </c>
      <c r="BC205" s="13">
        <f>AP205/$H$202</f>
        <v>0</v>
      </c>
      <c r="BD205" s="118" t="e">
        <f>AV205/AP205</f>
        <v>#DIV/0!</v>
      </c>
      <c r="BE205" s="13" t="e">
        <f>AO205/AP205</f>
        <v>#DIV/0!</v>
      </c>
      <c r="BF205" s="13">
        <f>AT205/$H$202</f>
        <v>0</v>
      </c>
      <c r="BG205" s="13">
        <f>AR205/$H$202</f>
        <v>0</v>
      </c>
      <c r="BQ205" t="str">
        <f t="shared" si="351"/>
        <v>1-3 &amp; k=2,
num_output=1200 &amp; 0.807017543859649 &amp; 0.938775510204082 &amp; 0.867924528301887 &amp; 0.7 &amp; 0.777777777777778 &amp; 0.736842105263158 &amp; 0.769230769230769 &amp; 0.869565217391304 &amp; 0.816326530612245 &amp; 2 &amp; 2 &amp; 0.0869565217391304 &amp; 1 \\ \hline</v>
      </c>
    </row>
    <row r="206" spans="1:69">
      <c r="A206" t="s">
        <v>308</v>
      </c>
      <c r="C206" s="98"/>
      <c r="J206" s="77" t="s">
        <v>703</v>
      </c>
      <c r="L206" s="211" t="s">
        <v>682</v>
      </c>
      <c r="M206" s="77"/>
      <c r="O206" s="81">
        <f>P206-2</f>
        <v>43</v>
      </c>
      <c r="P206" s="81">
        <f>$F$202-12</f>
        <v>45</v>
      </c>
      <c r="Q206" s="129">
        <f t="shared" si="340"/>
        <v>0.75438596491228072</v>
      </c>
      <c r="R206" s="129">
        <f t="shared" si="341"/>
        <v>0.9555555555555556</v>
      </c>
      <c r="S206" s="127">
        <f t="shared" si="342"/>
        <v>0.8431372549019609</v>
      </c>
      <c r="U206" s="81">
        <f>V206-2</f>
        <v>7</v>
      </c>
      <c r="V206" s="81">
        <f>$G$202-1</f>
        <v>9</v>
      </c>
      <c r="W206" s="129">
        <f t="shared" si="343"/>
        <v>0.7</v>
      </c>
      <c r="X206" s="129">
        <f t="shared" si="344"/>
        <v>0.77777777777777779</v>
      </c>
      <c r="Y206" s="127">
        <f t="shared" si="345"/>
        <v>0.73684210526315774</v>
      </c>
      <c r="AA206" s="81">
        <f>AB206-9</f>
        <v>31</v>
      </c>
      <c r="AB206" s="81">
        <f>$I$202-12</f>
        <v>40</v>
      </c>
      <c r="AC206" s="129">
        <f t="shared" si="346"/>
        <v>0.59615384615384615</v>
      </c>
      <c r="AD206" s="129">
        <f t="shared" si="347"/>
        <v>0.77500000000000002</v>
      </c>
      <c r="AE206" s="127">
        <f t="shared" si="348"/>
        <v>0.67391304347826086</v>
      </c>
      <c r="AG206" s="81">
        <f t="shared" si="349"/>
        <v>3</v>
      </c>
      <c r="AH206" s="81">
        <v>3</v>
      </c>
      <c r="AI206" s="127">
        <f t="shared" si="350"/>
        <v>0.13043478260869565</v>
      </c>
      <c r="AJ206" s="127">
        <f t="shared" si="338"/>
        <v>1</v>
      </c>
      <c r="AW206" s="101">
        <f>($F$202-N206)/$F$202</f>
        <v>1</v>
      </c>
      <c r="AY206" s="101">
        <f>($G$202-AN206)/$G$202</f>
        <v>1</v>
      </c>
      <c r="AZ206" s="101" t="e">
        <f>AR206/AQ206</f>
        <v>#DIV/0!</v>
      </c>
      <c r="BA206" s="101" t="e">
        <f>AT206/AS206</f>
        <v>#DIV/0!</v>
      </c>
      <c r="BB206" s="85" t="e">
        <f>(AW206+AY206+AZ206+BA206)/4</f>
        <v>#DIV/0!</v>
      </c>
      <c r="BC206" s="13">
        <f>AP206/$H$202</f>
        <v>0</v>
      </c>
      <c r="BD206" s="118" t="e">
        <f>AV206/AP206</f>
        <v>#DIV/0!</v>
      </c>
      <c r="BE206" s="13" t="e">
        <f>AO206/AP206</f>
        <v>#DIV/0!</v>
      </c>
      <c r="BF206" s="13">
        <f>AT206/$H$202</f>
        <v>0</v>
      </c>
      <c r="BG206" s="13">
        <f>AR206/$H$202</f>
        <v>0</v>
      </c>
      <c r="BQ206" t="str">
        <f t="shared" si="351"/>
        <v>1-3 &amp; k=2,
num_output=1200 &amp; 0.754385964912281 &amp; 0.955555555555556 &amp; 0.843137254901961 &amp; 0.7 &amp; 0.777777777777778 &amp; 0.736842105263158 &amp; 0.596153846153846 &amp; 0.775 &amp; 0.673913043478261 &amp; 3 &amp; 3 &amp; 0.130434782608696 &amp; 1 \\ \hline</v>
      </c>
    </row>
    <row r="207" spans="1:69">
      <c r="A207" t="s">
        <v>309</v>
      </c>
      <c r="C207" s="98"/>
      <c r="J207" s="77" t="s">
        <v>704</v>
      </c>
      <c r="L207" s="211" t="s">
        <v>700</v>
      </c>
      <c r="M207" s="77"/>
      <c r="O207" s="81">
        <f>P207-2</f>
        <v>44</v>
      </c>
      <c r="P207" s="81">
        <f>$F$202-11</f>
        <v>46</v>
      </c>
      <c r="Q207" s="129">
        <f t="shared" si="340"/>
        <v>0.77192982456140347</v>
      </c>
      <c r="R207" s="129">
        <f t="shared" si="341"/>
        <v>0.95652173913043481</v>
      </c>
      <c r="S207" s="127">
        <f t="shared" si="342"/>
        <v>0.85436893203883491</v>
      </c>
      <c r="U207" s="81">
        <f>V207-2</f>
        <v>8</v>
      </c>
      <c r="V207" s="81">
        <f>$G$202-0</f>
        <v>10</v>
      </c>
      <c r="W207" s="129">
        <f t="shared" si="343"/>
        <v>0.8</v>
      </c>
      <c r="X207" s="129">
        <f t="shared" si="344"/>
        <v>0.8</v>
      </c>
      <c r="Y207" s="127">
        <f t="shared" si="345"/>
        <v>0.80000000000000016</v>
      </c>
      <c r="AA207" s="81">
        <f>AB207-6</f>
        <v>35</v>
      </c>
      <c r="AB207" s="81">
        <f>$I$202-11</f>
        <v>41</v>
      </c>
      <c r="AC207" s="129">
        <f t="shared" si="346"/>
        <v>0.67307692307692313</v>
      </c>
      <c r="AD207" s="129">
        <f t="shared" si="347"/>
        <v>0.85365853658536583</v>
      </c>
      <c r="AE207" s="127">
        <f t="shared" si="348"/>
        <v>0.75268817204301075</v>
      </c>
      <c r="AG207" s="81">
        <f t="shared" si="349"/>
        <v>5</v>
      </c>
      <c r="AH207" s="81">
        <v>5</v>
      </c>
      <c r="AI207" s="127">
        <f t="shared" si="350"/>
        <v>0.21739130434782608</v>
      </c>
      <c r="AJ207" s="127">
        <f t="shared" si="338"/>
        <v>1</v>
      </c>
      <c r="BC207" s="13"/>
      <c r="BD207" s="118"/>
      <c r="BE207" s="13"/>
      <c r="BF207" s="13"/>
      <c r="BG207" s="13"/>
      <c r="BQ207" t="str">
        <f t="shared" si="351"/>
        <v>1-3 &amp; k=3,
num_output=1200
 &amp; 0.771929824561403 &amp; 0.956521739130435 &amp; 0.854368932038835 &amp; 0.8 &amp; 0.8 &amp; 0.8 &amp; 0.673076923076923 &amp; 0.853658536585366 &amp; 0.752688172043011 &amp; 5 &amp; 5 &amp; 0.217391304347826 &amp; 1 \\ \hline</v>
      </c>
    </row>
    <row r="208" spans="1:69">
      <c r="A208" t="s">
        <v>667</v>
      </c>
      <c r="C208" s="98"/>
      <c r="J208" s="77" t="s">
        <v>704</v>
      </c>
      <c r="L208" s="211" t="s">
        <v>700</v>
      </c>
      <c r="M208" s="77"/>
      <c r="O208" s="81">
        <f>P208-2</f>
        <v>46</v>
      </c>
      <c r="P208" s="81">
        <f>$F$202-9</f>
        <v>48</v>
      </c>
      <c r="Q208" s="129">
        <f t="shared" si="340"/>
        <v>0.80701754385964908</v>
      </c>
      <c r="R208" s="129">
        <f t="shared" si="341"/>
        <v>0.95833333333333337</v>
      </c>
      <c r="S208" s="127">
        <f t="shared" si="342"/>
        <v>0.87619047619047619</v>
      </c>
      <c r="U208" s="81">
        <f>V208-2</f>
        <v>8</v>
      </c>
      <c r="V208" s="81">
        <f>$G$202-0</f>
        <v>10</v>
      </c>
      <c r="W208" s="129">
        <f t="shared" si="343"/>
        <v>0.8</v>
      </c>
      <c r="X208" s="129">
        <f t="shared" si="344"/>
        <v>0.8</v>
      </c>
      <c r="Y208" s="127">
        <f t="shared" si="345"/>
        <v>0.80000000000000016</v>
      </c>
      <c r="AA208" s="81">
        <f>AB208-6</f>
        <v>37</v>
      </c>
      <c r="AB208" s="81">
        <f>$I$202-9</f>
        <v>43</v>
      </c>
      <c r="AC208" s="129">
        <f t="shared" si="346"/>
        <v>0.71153846153846156</v>
      </c>
      <c r="AD208" s="129">
        <f t="shared" si="347"/>
        <v>0.86046511627906974</v>
      </c>
      <c r="AE208" s="127">
        <f t="shared" si="348"/>
        <v>0.77894736842105272</v>
      </c>
      <c r="AG208" s="81">
        <f t="shared" si="349"/>
        <v>4</v>
      </c>
      <c r="AH208" s="81">
        <v>4</v>
      </c>
      <c r="AI208" s="127">
        <f t="shared" si="350"/>
        <v>0.17391304347826086</v>
      </c>
      <c r="AJ208" s="127">
        <f t="shared" si="338"/>
        <v>1</v>
      </c>
      <c r="BC208" s="13"/>
      <c r="BD208" s="118"/>
      <c r="BE208" s="13"/>
      <c r="BF208" s="13"/>
      <c r="BG208" s="13"/>
      <c r="BQ208" t="str">
        <f t="shared" si="351"/>
        <v>1-3 &amp; k=3,
num_output=1200
 &amp; 0.807017543859649 &amp; 0.958333333333333 &amp; 0.876190476190476 &amp; 0.8 &amp; 0.8 &amp; 0.8 &amp; 0.711538461538462 &amp; 0.86046511627907 &amp; 0.778947368421053 &amp; 4 &amp; 4 &amp; 0.173913043478261 &amp; 1 \\ \hline</v>
      </c>
    </row>
    <row r="209" spans="1:71">
      <c r="C209" s="98"/>
      <c r="L209" s="174"/>
      <c r="Q209" s="129"/>
      <c r="R209" s="129"/>
      <c r="S209" s="127"/>
      <c r="W209" s="129"/>
      <c r="X209" s="129"/>
      <c r="Y209" s="127"/>
      <c r="AC209" s="129"/>
      <c r="AD209" s="129"/>
      <c r="AE209" s="127"/>
      <c r="AI209" s="127"/>
      <c r="AJ209" s="127"/>
    </row>
    <row r="210" spans="1:71" s="75" customFormat="1">
      <c r="A210" s="75" t="s">
        <v>332</v>
      </c>
      <c r="B210" s="94">
        <v>45179</v>
      </c>
      <c r="C210" s="93" t="s">
        <v>171</v>
      </c>
      <c r="D210" s="78">
        <f>VLOOKUP($C$210,Overview!$Q$2:$AS$64,23,FALSE)</f>
        <v>1.790108913645059</v>
      </c>
      <c r="E210" s="78" t="str">
        <f>VLOOKUP($C$210,Overview!$Q$2:$AS$64,24,FALSE)</f>
        <v>medium</v>
      </c>
      <c r="F210" s="75">
        <f>VLOOKUP(C210,Overview!$Q$2:$AS$64,13,FALSE)</f>
        <v>64</v>
      </c>
      <c r="G210" s="75">
        <f>VLOOKUP(C210,Overview!$Q$2:$AS$64,16,FALSE)</f>
        <v>12</v>
      </c>
      <c r="H210" s="75">
        <f>VLOOKUP(C210,Overview!$Q$2:$AS$64,18,FALSE)</f>
        <v>27</v>
      </c>
      <c r="I210" s="75">
        <f>VLOOKUP($C$210,Overview!$Q$2:$AS$64,19,FALSE)</f>
        <v>60</v>
      </c>
      <c r="K210" s="294" t="str">
        <f>VLOOKUP($C$210,Overview!$Q$2:$AS$64,5,FALSE)</f>
        <v>6-2, 3-8</v>
      </c>
      <c r="L210" s="293" t="s">
        <v>786</v>
      </c>
      <c r="N210" s="115"/>
      <c r="O210" s="97"/>
      <c r="P210" s="97"/>
      <c r="Q210" s="130"/>
      <c r="R210" s="130"/>
      <c r="S210" s="128"/>
      <c r="T210" s="115"/>
      <c r="U210" s="97"/>
      <c r="V210" s="97"/>
      <c r="W210" s="130"/>
      <c r="X210" s="130"/>
      <c r="Y210" s="128"/>
      <c r="Z210" s="115"/>
      <c r="AA210" s="97"/>
      <c r="AB210" s="97"/>
      <c r="AC210" s="130"/>
      <c r="AD210" s="130"/>
      <c r="AE210" s="128"/>
      <c r="AF210" s="115"/>
      <c r="AG210" s="97"/>
      <c r="AH210" s="97"/>
      <c r="AI210" s="128"/>
      <c r="AJ210" s="127"/>
      <c r="AK210" s="97"/>
      <c r="AL210" s="115"/>
      <c r="AM210" s="122"/>
      <c r="AN210" s="101"/>
      <c r="AQ210" s="101"/>
      <c r="AR210" s="101"/>
      <c r="AV210" s="119"/>
      <c r="AW210" s="101"/>
      <c r="AX210" s="101"/>
      <c r="AY210" s="101"/>
      <c r="AZ210" s="101"/>
      <c r="BA210" s="101"/>
      <c r="BB210" s="83"/>
      <c r="BD210" s="101"/>
      <c r="BQ210"/>
    </row>
    <row r="211" spans="1:71">
      <c r="A211" t="s">
        <v>305</v>
      </c>
      <c r="J211" s="77" t="s">
        <v>705</v>
      </c>
      <c r="K211" s="296" t="s">
        <v>787</v>
      </c>
      <c r="L211" s="211" t="s">
        <v>149</v>
      </c>
      <c r="M211" s="77"/>
      <c r="O211" s="81">
        <f>P211-1</f>
        <v>32</v>
      </c>
      <c r="P211" s="81">
        <f>$F$210-31</f>
        <v>33</v>
      </c>
      <c r="Q211" s="129">
        <f t="shared" ref="Q211:Q216" si="352">O211/$F$210</f>
        <v>0.5</v>
      </c>
      <c r="R211" s="129">
        <f t="shared" ref="R211:R216" si="353">O211/P211</f>
        <v>0.96969696969696972</v>
      </c>
      <c r="S211" s="127">
        <f t="shared" ref="S211:S216" si="354">2*(Q211*R211)/(Q211+R211)</f>
        <v>0.65979381443298968</v>
      </c>
      <c r="U211" s="81">
        <f>V211-0</f>
        <v>6</v>
      </c>
      <c r="V211" s="81">
        <f>$G$210-6</f>
        <v>6</v>
      </c>
      <c r="W211" s="129">
        <f t="shared" ref="W211:W216" si="355">U211/$G$210</f>
        <v>0.5</v>
      </c>
      <c r="X211" s="129">
        <f t="shared" ref="X211:X216" si="356">U211/V211</f>
        <v>1</v>
      </c>
      <c r="Y211" s="127">
        <f t="shared" ref="Y211:Y216" si="357">2*(W211*X211)/(W211+X211)</f>
        <v>0.66666666666666663</v>
      </c>
      <c r="AA211" s="81">
        <f>AB211-10</f>
        <v>19</v>
      </c>
      <c r="AB211" s="81">
        <f>$I$210-31</f>
        <v>29</v>
      </c>
      <c r="AC211" s="129">
        <f t="shared" ref="AC211:AC216" si="358">AA211/$I$210</f>
        <v>0.31666666666666665</v>
      </c>
      <c r="AD211" s="129">
        <f t="shared" ref="AD211:AD216" si="359">AA211/AB211</f>
        <v>0.65517241379310343</v>
      </c>
      <c r="AE211" s="127">
        <f t="shared" ref="AE211:AE216" si="360">2*(AC211*AD211)/(AC211+AD211)</f>
        <v>0.42696629213483145</v>
      </c>
      <c r="AG211" s="81">
        <f>AH211-1</f>
        <v>3</v>
      </c>
      <c r="AH211" s="81">
        <v>4</v>
      </c>
      <c r="AI211" s="127">
        <f t="shared" ref="AI211:AI216" si="361">AG211/$H$210</f>
        <v>0.1111111111111111</v>
      </c>
      <c r="AJ211" s="127">
        <f t="shared" si="338"/>
        <v>0.75</v>
      </c>
      <c r="AW211" s="101">
        <f>($F$210-N211)/$F$210</f>
        <v>1</v>
      </c>
      <c r="AY211" s="101">
        <f>($G$210-AN211)/$G$210</f>
        <v>1</v>
      </c>
      <c r="AZ211" s="101" t="e">
        <f>AR211/AQ211</f>
        <v>#DIV/0!</v>
      </c>
      <c r="BA211" s="101" t="e">
        <f>AT211/AS211</f>
        <v>#DIV/0!</v>
      </c>
      <c r="BB211" s="85" t="e">
        <f>(AW211+AY211+AZ211+BA211)/4</f>
        <v>#DIV/0!</v>
      </c>
      <c r="BC211" s="13">
        <f>AP211/$H$210</f>
        <v>0</v>
      </c>
      <c r="BD211" s="118" t="e">
        <f>AV211/AP211</f>
        <v>#DIV/0!</v>
      </c>
      <c r="BE211" s="13" t="e">
        <f>AO211/AP211</f>
        <v>#DIV/0!</v>
      </c>
      <c r="BF211" s="13">
        <f>AT211/$H$210</f>
        <v>0</v>
      </c>
      <c r="BG211" s="13">
        <f>AR211/$H$210</f>
        <v>0</v>
      </c>
      <c r="BQ211" t="str">
        <f>_xlfn.CONCAT($C$210," &amp; ",J211," &amp; ",Q211," &amp; ",R211," &amp; ",S211," &amp; ",W211," &amp; ",X211," &amp; ",Y211," &amp; ",AC211," &amp; ",AD211," &amp; ",AE211," &amp; ",AG211," &amp; ",AH211," &amp; ",AI211," &amp; ",AJ211, " \\ \hline")</f>
        <v>10-3 &amp; k=1,
num_output=1200
 &amp; 0.5 &amp; 0.96969696969697 &amp; 0.65979381443299 &amp; 0.5 &amp; 1 &amp; 0.666666666666667 &amp; 0.316666666666667 &amp; 0.655172413793103 &amp; 0.426966292134831 &amp; 3 &amp; 4 &amp; 0.111111111111111 &amp; 0.75 \\ \hline</v>
      </c>
    </row>
    <row r="212" spans="1:71">
      <c r="A212" t="s">
        <v>306</v>
      </c>
      <c r="C212" s="98"/>
      <c r="J212" t="s">
        <v>679</v>
      </c>
      <c r="L212" s="211" t="s">
        <v>149</v>
      </c>
      <c r="M212" s="77"/>
      <c r="O212" s="81">
        <f>P212-5</f>
        <v>43</v>
      </c>
      <c r="P212" s="81">
        <f>$F$210-16</f>
        <v>48</v>
      </c>
      <c r="Q212" s="129">
        <f t="shared" si="352"/>
        <v>0.671875</v>
      </c>
      <c r="R212" s="129">
        <f t="shared" si="353"/>
        <v>0.89583333333333337</v>
      </c>
      <c r="S212" s="127">
        <f t="shared" si="354"/>
        <v>0.76785714285714279</v>
      </c>
      <c r="U212" s="81">
        <f>V212-3</f>
        <v>7</v>
      </c>
      <c r="V212" s="81">
        <f>$G$210-2</f>
        <v>10</v>
      </c>
      <c r="W212" s="129">
        <f t="shared" si="355"/>
        <v>0.58333333333333337</v>
      </c>
      <c r="X212" s="129">
        <f t="shared" si="356"/>
        <v>0.7</v>
      </c>
      <c r="Y212" s="127">
        <f t="shared" si="357"/>
        <v>0.63636363636363646</v>
      </c>
      <c r="AA212" s="81">
        <f>AB212-5</f>
        <v>39</v>
      </c>
      <c r="AB212" s="81">
        <f>$I$210-16</f>
        <v>44</v>
      </c>
      <c r="AC212" s="129">
        <f t="shared" si="358"/>
        <v>0.65</v>
      </c>
      <c r="AD212" s="129">
        <f t="shared" si="359"/>
        <v>0.88636363636363635</v>
      </c>
      <c r="AE212" s="127">
        <f t="shared" si="360"/>
        <v>0.75</v>
      </c>
      <c r="AG212" s="81">
        <f>AH212-0</f>
        <v>7</v>
      </c>
      <c r="AH212" s="81">
        <v>7</v>
      </c>
      <c r="AI212" s="127">
        <f t="shared" si="361"/>
        <v>0.25925925925925924</v>
      </c>
      <c r="AJ212" s="127">
        <f t="shared" si="338"/>
        <v>1</v>
      </c>
      <c r="AW212" s="101">
        <f>($F$210-N212)/$F$210</f>
        <v>1</v>
      </c>
      <c r="AY212" s="101">
        <f>($G$210-AN212)/$G$210</f>
        <v>1</v>
      </c>
      <c r="AZ212" s="101" t="e">
        <f>AR212/AQ212</f>
        <v>#DIV/0!</v>
      </c>
      <c r="BA212" s="101" t="e">
        <f>AT212/AS212</f>
        <v>#DIV/0!</v>
      </c>
      <c r="BB212" s="85" t="e">
        <f>(AW212+AY212+AZ212+BA212)/4</f>
        <v>#DIV/0!</v>
      </c>
      <c r="BC212" s="13">
        <f>AP212/$H$210</f>
        <v>0</v>
      </c>
      <c r="BD212" s="118" t="e">
        <f>AV212/AP212</f>
        <v>#DIV/0!</v>
      </c>
      <c r="BE212" s="13" t="e">
        <f>AO212/AP212</f>
        <v>#DIV/0!</v>
      </c>
      <c r="BF212" s="13">
        <f>AT212/$H$210</f>
        <v>0</v>
      </c>
      <c r="BG212" s="13">
        <f>AR212/$H$210</f>
        <v>0</v>
      </c>
      <c r="BQ212" t="str">
        <f t="shared" ref="BQ212:BQ216" si="362">_xlfn.CONCAT($C$210," &amp; ",J212," &amp; ",Q212," &amp; ",R212," &amp; ",S212," &amp; ",W212," &amp; ",X212," &amp; ",Y212," &amp; ",AC212," &amp; ",AD212," &amp; ",AE212," &amp; ",AG212," &amp; ",AH212," &amp; ",AI212," &amp; ",AJ212, " \\ \hline")</f>
        <v>10-3 &amp; k=1 &amp; 0.671875 &amp; 0.895833333333333 &amp; 0.767857142857143 &amp; 0.583333333333333 &amp; 0.7 &amp; 0.636363636363636 &amp; 0.65 &amp; 0.886363636363636 &amp; 0.75 &amp; 7 &amp; 7 &amp; 0.259259259259259 &amp; 1 \\ \hline</v>
      </c>
    </row>
    <row r="213" spans="1:71">
      <c r="A213" t="s">
        <v>307</v>
      </c>
      <c r="C213" s="98"/>
      <c r="J213" t="s">
        <v>680</v>
      </c>
      <c r="K213" s="107"/>
      <c r="L213" s="211" t="s">
        <v>683</v>
      </c>
      <c r="M213" s="77"/>
      <c r="O213" s="81">
        <f>P213-4</f>
        <v>40</v>
      </c>
      <c r="P213" s="81">
        <f>$F$210-20</f>
        <v>44</v>
      </c>
      <c r="Q213" s="129">
        <f t="shared" si="352"/>
        <v>0.625</v>
      </c>
      <c r="R213" s="129">
        <f t="shared" si="353"/>
        <v>0.90909090909090906</v>
      </c>
      <c r="S213" s="127">
        <f t="shared" si="354"/>
        <v>0.74074074074074059</v>
      </c>
      <c r="U213" s="81">
        <f>V213-2</f>
        <v>8</v>
      </c>
      <c r="V213" s="81">
        <f>$G$210-2</f>
        <v>10</v>
      </c>
      <c r="W213" s="129">
        <f t="shared" si="355"/>
        <v>0.66666666666666663</v>
      </c>
      <c r="X213" s="129">
        <f t="shared" si="356"/>
        <v>0.8</v>
      </c>
      <c r="Y213" s="127">
        <f t="shared" si="357"/>
        <v>0.72727272727272718</v>
      </c>
      <c r="AA213" s="81">
        <f>AB213-6</f>
        <v>34</v>
      </c>
      <c r="AB213" s="81">
        <f>$I$210-20</f>
        <v>40</v>
      </c>
      <c r="AC213" s="129">
        <f t="shared" si="358"/>
        <v>0.56666666666666665</v>
      </c>
      <c r="AD213" s="129">
        <f t="shared" si="359"/>
        <v>0.85</v>
      </c>
      <c r="AE213" s="127">
        <f t="shared" si="360"/>
        <v>0.68</v>
      </c>
      <c r="AG213" s="81">
        <f>AH213-1</f>
        <v>4</v>
      </c>
      <c r="AH213" s="81">
        <v>5</v>
      </c>
      <c r="AI213" s="127">
        <f t="shared" si="361"/>
        <v>0.14814814814814814</v>
      </c>
      <c r="AJ213" s="127">
        <f t="shared" si="338"/>
        <v>0.8</v>
      </c>
      <c r="AW213" s="101">
        <f>($F$210-N213)/$F$210</f>
        <v>1</v>
      </c>
      <c r="AY213" s="101">
        <f>($G$210-AN213)/$G$210</f>
        <v>1</v>
      </c>
      <c r="AZ213" s="101" t="e">
        <f>AR213/AQ213</f>
        <v>#DIV/0!</v>
      </c>
      <c r="BA213" s="101" t="e">
        <f>AT213/AS213</f>
        <v>#DIV/0!</v>
      </c>
      <c r="BB213" s="85" t="e">
        <f>(AW213+AY213+AZ213+BA213)/4</f>
        <v>#DIV/0!</v>
      </c>
      <c r="BC213" s="13">
        <f>AP213/$H$210</f>
        <v>0</v>
      </c>
      <c r="BD213" s="118" t="e">
        <f>AV213/AP213</f>
        <v>#DIV/0!</v>
      </c>
      <c r="BE213" s="13" t="e">
        <f>AO213/AP213</f>
        <v>#DIV/0!</v>
      </c>
      <c r="BF213" s="13">
        <f>AT213/$H$210</f>
        <v>0</v>
      </c>
      <c r="BG213" s="13">
        <f>AR213/$H$210</f>
        <v>0</v>
      </c>
      <c r="BQ213" t="str">
        <f t="shared" si="362"/>
        <v>10-3 &amp; k=2 &amp; 0.625 &amp; 0.909090909090909 &amp; 0.740740740740741 &amp; 0.666666666666667 &amp; 0.8 &amp; 0.727272727272727 &amp; 0.566666666666667 &amp; 0.85 &amp; 0.68 &amp; 4 &amp; 5 &amp; 0.148148148148148 &amp; 0.8 \\ \hline</v>
      </c>
    </row>
    <row r="214" spans="1:71">
      <c r="A214" t="s">
        <v>308</v>
      </c>
      <c r="C214" s="98"/>
      <c r="J214" t="s">
        <v>680</v>
      </c>
      <c r="L214" s="211" t="s">
        <v>683</v>
      </c>
      <c r="M214" s="77"/>
      <c r="O214" s="81">
        <f>P214-2</f>
        <v>37</v>
      </c>
      <c r="P214" s="81">
        <f>$F$210-25</f>
        <v>39</v>
      </c>
      <c r="Q214" s="129">
        <f t="shared" si="352"/>
        <v>0.578125</v>
      </c>
      <c r="R214" s="129">
        <f t="shared" si="353"/>
        <v>0.94871794871794868</v>
      </c>
      <c r="S214" s="127">
        <f t="shared" si="354"/>
        <v>0.71844660194174759</v>
      </c>
      <c r="U214" s="81">
        <f>V214-0</f>
        <v>7</v>
      </c>
      <c r="V214" s="81">
        <f>$G$210-5</f>
        <v>7</v>
      </c>
      <c r="W214" s="129">
        <f t="shared" si="355"/>
        <v>0.58333333333333337</v>
      </c>
      <c r="X214" s="129">
        <f t="shared" si="356"/>
        <v>1</v>
      </c>
      <c r="Y214" s="127">
        <f t="shared" si="357"/>
        <v>0.73684210526315785</v>
      </c>
      <c r="AA214" s="81">
        <f>AB214-12</f>
        <v>23</v>
      </c>
      <c r="AB214" s="81">
        <f>$I$210-25</f>
        <v>35</v>
      </c>
      <c r="AC214" s="129">
        <f t="shared" si="358"/>
        <v>0.38333333333333336</v>
      </c>
      <c r="AD214" s="129">
        <f t="shared" si="359"/>
        <v>0.65714285714285714</v>
      </c>
      <c r="AE214" s="127">
        <f t="shared" si="360"/>
        <v>0.48421052631578942</v>
      </c>
      <c r="AG214" s="81">
        <f>AH214-0</f>
        <v>2</v>
      </c>
      <c r="AH214" s="81">
        <v>2</v>
      </c>
      <c r="AI214" s="127">
        <f t="shared" si="361"/>
        <v>7.407407407407407E-2</v>
      </c>
      <c r="AJ214" s="127">
        <f t="shared" si="338"/>
        <v>1</v>
      </c>
      <c r="AW214" s="101">
        <f>($F$210-N214)/$F$210</f>
        <v>1</v>
      </c>
      <c r="AY214" s="101">
        <f>($G$210-AN214)/$G$210</f>
        <v>1</v>
      </c>
      <c r="AZ214" s="101" t="e">
        <f>AR214/AQ214</f>
        <v>#DIV/0!</v>
      </c>
      <c r="BA214" s="101" t="e">
        <f>AT214/AS214</f>
        <v>#DIV/0!</v>
      </c>
      <c r="BB214" s="85" t="e">
        <f>(AW214+AY214+AZ214+BA214)/4</f>
        <v>#DIV/0!</v>
      </c>
      <c r="BC214" s="13">
        <f>AP214/$H$210</f>
        <v>0</v>
      </c>
      <c r="BD214" s="118" t="e">
        <f>AV214/AP214</f>
        <v>#DIV/0!</v>
      </c>
      <c r="BE214" s="13" t="e">
        <f>AO214/AP214</f>
        <v>#DIV/0!</v>
      </c>
      <c r="BF214" s="13">
        <f>AT214/$H$210</f>
        <v>0</v>
      </c>
      <c r="BG214" s="13">
        <f>AR214/$H$210</f>
        <v>0</v>
      </c>
      <c r="BQ214" t="str">
        <f t="shared" si="362"/>
        <v>10-3 &amp; k=2 &amp; 0.578125 &amp; 0.948717948717949 &amp; 0.718446601941748 &amp; 0.583333333333333 &amp; 1 &amp; 0.736842105263158 &amp; 0.383333333333333 &amp; 0.657142857142857 &amp; 0.484210526315789 &amp; 2 &amp; 2 &amp; 0.0740740740740741 &amp; 1 \\ \hline</v>
      </c>
    </row>
    <row r="215" spans="1:71">
      <c r="A215" t="s">
        <v>309</v>
      </c>
      <c r="C215" s="98"/>
      <c r="J215" t="s">
        <v>681</v>
      </c>
      <c r="L215" s="211" t="s">
        <v>707</v>
      </c>
      <c r="M215" s="77"/>
      <c r="O215" s="81">
        <f>P215-2</f>
        <v>35</v>
      </c>
      <c r="P215" s="81">
        <f>$F$210-27</f>
        <v>37</v>
      </c>
      <c r="Q215" s="129">
        <f t="shared" si="352"/>
        <v>0.546875</v>
      </c>
      <c r="R215" s="129">
        <f t="shared" si="353"/>
        <v>0.94594594594594594</v>
      </c>
      <c r="S215" s="127">
        <f t="shared" si="354"/>
        <v>0.69306930693069291</v>
      </c>
      <c r="U215" s="81">
        <f>V215-0</f>
        <v>7</v>
      </c>
      <c r="V215" s="81">
        <f>$G$210-5</f>
        <v>7</v>
      </c>
      <c r="W215" s="129">
        <f t="shared" si="355"/>
        <v>0.58333333333333337</v>
      </c>
      <c r="X215" s="129">
        <f t="shared" si="356"/>
        <v>1</v>
      </c>
      <c r="Y215" s="127">
        <f t="shared" si="357"/>
        <v>0.73684210526315785</v>
      </c>
      <c r="AA215" s="81">
        <f>AB215-7</f>
        <v>26</v>
      </c>
      <c r="AB215" s="81">
        <f>$I$210-27</f>
        <v>33</v>
      </c>
      <c r="AC215" s="129">
        <f t="shared" si="358"/>
        <v>0.43333333333333335</v>
      </c>
      <c r="AD215" s="129">
        <f t="shared" si="359"/>
        <v>0.78787878787878785</v>
      </c>
      <c r="AE215" s="127">
        <f t="shared" si="360"/>
        <v>0.55913978494623651</v>
      </c>
      <c r="AG215" s="81">
        <f>AH215-0</f>
        <v>10</v>
      </c>
      <c r="AH215" s="81">
        <v>10</v>
      </c>
      <c r="AI215" s="127">
        <f t="shared" si="361"/>
        <v>0.37037037037037035</v>
      </c>
      <c r="AJ215" s="127">
        <f t="shared" si="338"/>
        <v>1</v>
      </c>
      <c r="BC215" s="13"/>
      <c r="BD215" s="118"/>
      <c r="BE215" s="13"/>
      <c r="BF215" s="13"/>
      <c r="BG215" s="13"/>
      <c r="BQ215" t="str">
        <f t="shared" si="362"/>
        <v>10-3 &amp; k=3 &amp; 0.546875 &amp; 0.945945945945946 &amp; 0.693069306930693 &amp; 0.583333333333333 &amp; 1 &amp; 0.736842105263158 &amp; 0.433333333333333 &amp; 0.787878787878788 &amp; 0.559139784946237 &amp; 10 &amp; 10 &amp; 0.37037037037037 &amp; 1 \\ \hline</v>
      </c>
    </row>
    <row r="216" spans="1:71">
      <c r="A216" t="s">
        <v>667</v>
      </c>
      <c r="C216" s="98"/>
      <c r="J216" t="s">
        <v>681</v>
      </c>
      <c r="L216" s="211" t="s">
        <v>707</v>
      </c>
      <c r="M216" s="77"/>
      <c r="O216" s="81">
        <f>P216-1</f>
        <v>38</v>
      </c>
      <c r="P216" s="81">
        <f>$F$210-25</f>
        <v>39</v>
      </c>
      <c r="Q216" s="129">
        <f t="shared" si="352"/>
        <v>0.59375</v>
      </c>
      <c r="R216" s="129">
        <f t="shared" si="353"/>
        <v>0.97435897435897434</v>
      </c>
      <c r="S216" s="127">
        <f t="shared" si="354"/>
        <v>0.73786407766990281</v>
      </c>
      <c r="U216" s="81">
        <f>V216-0</f>
        <v>7</v>
      </c>
      <c r="V216" s="81">
        <f>$G$210-5</f>
        <v>7</v>
      </c>
      <c r="W216" s="129">
        <f t="shared" si="355"/>
        <v>0.58333333333333337</v>
      </c>
      <c r="X216" s="129">
        <f t="shared" si="356"/>
        <v>1</v>
      </c>
      <c r="Y216" s="127">
        <f t="shared" si="357"/>
        <v>0.73684210526315785</v>
      </c>
      <c r="AA216" s="81">
        <f>AB216-8</f>
        <v>27</v>
      </c>
      <c r="AB216" s="81">
        <f>$I$210-25</f>
        <v>35</v>
      </c>
      <c r="AC216" s="129">
        <f t="shared" si="358"/>
        <v>0.45</v>
      </c>
      <c r="AD216" s="129">
        <f t="shared" si="359"/>
        <v>0.77142857142857146</v>
      </c>
      <c r="AE216" s="127">
        <f t="shared" si="360"/>
        <v>0.56842105263157894</v>
      </c>
      <c r="AG216" s="81">
        <f>AH216-0</f>
        <v>4</v>
      </c>
      <c r="AH216" s="81">
        <v>4</v>
      </c>
      <c r="AI216" s="127">
        <f t="shared" si="361"/>
        <v>0.14814814814814814</v>
      </c>
      <c r="AJ216" s="127">
        <f t="shared" si="338"/>
        <v>1</v>
      </c>
      <c r="BC216" s="13"/>
      <c r="BD216" s="118"/>
      <c r="BE216" s="13"/>
      <c r="BF216" s="13"/>
      <c r="BG216" s="13"/>
      <c r="BQ216" t="str">
        <f t="shared" si="362"/>
        <v>10-3 &amp; k=3 &amp; 0.59375 &amp; 0.974358974358974 &amp; 0.737864077669903 &amp; 0.583333333333333 &amp; 1 &amp; 0.736842105263158 &amp; 0.45 &amp; 0.771428571428571 &amp; 0.568421052631579 &amp; 4 &amp; 4 &amp; 0.148148148148148 &amp; 1 \\ \hline</v>
      </c>
    </row>
    <row r="217" spans="1:71">
      <c r="AJ217" s="127"/>
    </row>
    <row r="218" spans="1:71" s="75" customFormat="1">
      <c r="A218" s="75" t="s">
        <v>334</v>
      </c>
      <c r="B218" s="94">
        <v>45179</v>
      </c>
      <c r="C218" s="93" t="s">
        <v>158</v>
      </c>
      <c r="D218" s="78">
        <f>VLOOKUP($C$218,Overview!$Q$2:$AS$64,23,FALSE)</f>
        <v>2.4606876442304331</v>
      </c>
      <c r="E218" s="78" t="str">
        <f>VLOOKUP($C$218,Overview!$Q$2:$AS$64,24,FALSE)</f>
        <v>high</v>
      </c>
      <c r="F218" s="75">
        <f>VLOOKUP(C218,Overview!$Q$2:$AS$64,13,FALSE)</f>
        <v>67</v>
      </c>
      <c r="G218" s="75">
        <f>VLOOKUP(C218,Overview!$Q$2:$AS$64,16,FALSE)</f>
        <v>15</v>
      </c>
      <c r="H218" s="75">
        <f>VLOOKUP(C218,Overview!$Q$2:$AS$64,18,FALSE)</f>
        <v>30</v>
      </c>
      <c r="I218" s="75">
        <f>VLOOKUP($C$218,Overview!$Q$2:$AS$64,19,FALSE)</f>
        <v>61</v>
      </c>
      <c r="K218" s="75" t="str">
        <f>VLOOKUP($C$218,Overview!$Q$2:$AS$64,5,FALSE)</f>
        <v>5-2, 5-1</v>
      </c>
      <c r="L218" s="96"/>
      <c r="N218" s="115"/>
      <c r="O218" s="97"/>
      <c r="P218" s="97"/>
      <c r="Q218" s="130"/>
      <c r="R218" s="130"/>
      <c r="S218" s="128"/>
      <c r="T218" s="115"/>
      <c r="U218" s="97"/>
      <c r="V218" s="97"/>
      <c r="W218" s="130"/>
      <c r="X218" s="130"/>
      <c r="Y218" s="128"/>
      <c r="Z218" s="115"/>
      <c r="AA218" s="97"/>
      <c r="AB218" s="97"/>
      <c r="AC218" s="130"/>
      <c r="AD218" s="130"/>
      <c r="AE218" s="128"/>
      <c r="AF218" s="115"/>
      <c r="AG218" s="97"/>
      <c r="AH218" s="97"/>
      <c r="AI218" s="128"/>
      <c r="AJ218" s="127"/>
      <c r="BQ218"/>
    </row>
    <row r="219" spans="1:71">
      <c r="A219" t="s">
        <v>305</v>
      </c>
      <c r="C219" s="111"/>
      <c r="J219" s="77" t="s">
        <v>706</v>
      </c>
      <c r="K219" s="212"/>
      <c r="L219" s="211" t="s">
        <v>152</v>
      </c>
      <c r="M219" s="77"/>
      <c r="O219" s="81">
        <f>P219-8</f>
        <v>52</v>
      </c>
      <c r="P219" s="81">
        <f>F218-7</f>
        <v>60</v>
      </c>
      <c r="Q219" s="129">
        <f t="shared" ref="Q219:Q224" si="363">O219/$F$218</f>
        <v>0.77611940298507465</v>
      </c>
      <c r="R219" s="129">
        <f t="shared" ref="R219:R224" si="364">O219/P219</f>
        <v>0.8666666666666667</v>
      </c>
      <c r="S219" s="127">
        <f t="shared" ref="S219:S224" si="365">2*(Q219*R219)/(Q219+R219)</f>
        <v>0.81889763779527558</v>
      </c>
      <c r="U219" s="81">
        <f>V219-1</f>
        <v>10</v>
      </c>
      <c r="V219" s="81">
        <f>G218-4</f>
        <v>11</v>
      </c>
      <c r="W219" s="129">
        <f t="shared" ref="W219:W224" si="366">U219/$G$218</f>
        <v>0.66666666666666663</v>
      </c>
      <c r="X219" s="129">
        <f t="shared" ref="X219:X224" si="367">U219/V219</f>
        <v>0.90909090909090906</v>
      </c>
      <c r="Y219" s="127">
        <f t="shared" ref="Y219:Y224" si="368">2*(W219*X219)/(W219+X219)</f>
        <v>0.76923076923076916</v>
      </c>
      <c r="AA219" s="81">
        <f>AB219-9</f>
        <v>46</v>
      </c>
      <c r="AB219" s="81">
        <f>I218-6</f>
        <v>55</v>
      </c>
      <c r="AC219" s="129">
        <f t="shared" ref="AC219:AC224" si="369">AA219/$I$218</f>
        <v>0.75409836065573765</v>
      </c>
      <c r="AD219" s="129">
        <f t="shared" ref="AD219:AD224" si="370">AA219/AB219</f>
        <v>0.83636363636363631</v>
      </c>
      <c r="AE219" s="127">
        <f t="shared" ref="AE219:AE224" si="371">2*(AC219*AD219)/(AC219+AD219)</f>
        <v>0.79310344827586199</v>
      </c>
      <c r="AG219" s="81">
        <f t="shared" ref="AG219:AG224" si="372">AH219-0</f>
        <v>1</v>
      </c>
      <c r="AH219" s="81">
        <v>1</v>
      </c>
      <c r="AI219" s="127">
        <f t="shared" ref="AI219:AI224" si="373">AG219/$H$218</f>
        <v>3.3333333333333333E-2</v>
      </c>
      <c r="AJ219" s="127">
        <f t="shared" si="338"/>
        <v>1</v>
      </c>
      <c r="AW219" s="101">
        <f>($F$218-N219)/$F$218</f>
        <v>1</v>
      </c>
      <c r="AY219" s="101">
        <f>($G$218-AN219)/$G$218</f>
        <v>1</v>
      </c>
      <c r="AZ219" s="101" t="e">
        <f>AR219/AQ219</f>
        <v>#DIV/0!</v>
      </c>
      <c r="BA219" s="101" t="e">
        <f>AT219/AS219</f>
        <v>#DIV/0!</v>
      </c>
      <c r="BB219" s="85" t="e">
        <f>(AW219+AY219+AZ219+BA219)/4</f>
        <v>#DIV/0!</v>
      </c>
      <c r="BC219" s="13">
        <f>AP219/$H$218</f>
        <v>0</v>
      </c>
      <c r="BD219" s="118" t="e">
        <f>AV219/AP219</f>
        <v>#DIV/0!</v>
      </c>
      <c r="BE219" s="13" t="e">
        <f>AO219/AP219</f>
        <v>#DIV/0!</v>
      </c>
      <c r="BF219" s="13">
        <f>AT219/$H$218</f>
        <v>0</v>
      </c>
      <c r="BG219" s="13">
        <f>AR219/$H$218</f>
        <v>0</v>
      </c>
      <c r="BQ219" t="str">
        <f>_xlfn.CONCAT($C$218," &amp; ",J219," &amp; ",Q219," &amp; ",R219," &amp; ",S219," &amp; ",W219," &amp; ",X219," &amp; ",Y219," &amp; ",AC219," &amp; ",AD219," &amp; ",AE219," &amp; ",AG219," &amp; ",AH219," &amp; ",AI219," &amp; ",AJ219, " \\ \hline")</f>
        <v>6-4 &amp; k=1,
num_output=1000
chunk_size=2048
chunk_overlap=400
 &amp; 0.776119402985075 &amp; 0.866666666666667 &amp; 0.818897637795276 &amp; 0.666666666666667 &amp; 0.909090909090909 &amp; 0.769230769230769 &amp; 0.754098360655738 &amp; 0.836363636363636 &amp; 0.793103448275862 &amp; 1 &amp; 1 &amp; 0.0333333333333333 &amp; 1 \\ \hline</v>
      </c>
    </row>
    <row r="220" spans="1:71">
      <c r="A220" t="s">
        <v>306</v>
      </c>
      <c r="C220" s="98"/>
      <c r="J220" s="77" t="s">
        <v>706</v>
      </c>
      <c r="K220" s="212"/>
      <c r="L220" s="211" t="s">
        <v>152</v>
      </c>
      <c r="M220" s="77"/>
      <c r="O220" s="81">
        <f>P220-5</f>
        <v>43</v>
      </c>
      <c r="P220" s="81">
        <f>F218-19</f>
        <v>48</v>
      </c>
      <c r="Q220" s="129">
        <f t="shared" si="363"/>
        <v>0.64179104477611937</v>
      </c>
      <c r="R220" s="129">
        <f t="shared" si="364"/>
        <v>0.89583333333333337</v>
      </c>
      <c r="S220" s="127">
        <f t="shared" si="365"/>
        <v>0.74782608695652175</v>
      </c>
      <c r="U220" s="81">
        <f>V220-0</f>
        <v>10</v>
      </c>
      <c r="V220" s="81">
        <f>G218-5</f>
        <v>10</v>
      </c>
      <c r="W220" s="129">
        <f t="shared" si="366"/>
        <v>0.66666666666666663</v>
      </c>
      <c r="X220" s="129">
        <f t="shared" si="367"/>
        <v>1</v>
      </c>
      <c r="Y220" s="127">
        <f t="shared" si="368"/>
        <v>0.8</v>
      </c>
      <c r="AA220" s="81">
        <f>AB220-10</f>
        <v>33</v>
      </c>
      <c r="AB220" s="81">
        <f>I218-18</f>
        <v>43</v>
      </c>
      <c r="AC220" s="129">
        <f t="shared" si="369"/>
        <v>0.54098360655737709</v>
      </c>
      <c r="AD220" s="129">
        <f t="shared" si="370"/>
        <v>0.76744186046511631</v>
      </c>
      <c r="AE220" s="127">
        <f t="shared" si="371"/>
        <v>0.63461538461538469</v>
      </c>
      <c r="AG220" s="81">
        <f t="shared" si="372"/>
        <v>5</v>
      </c>
      <c r="AH220" s="81">
        <v>5</v>
      </c>
      <c r="AI220" s="127">
        <f t="shared" si="373"/>
        <v>0.16666666666666666</v>
      </c>
      <c r="AJ220" s="127">
        <f t="shared" si="338"/>
        <v>1</v>
      </c>
      <c r="AW220" s="101">
        <f>($F$218-N220)/$F$218</f>
        <v>1</v>
      </c>
      <c r="AY220" s="101">
        <f>($G$218-AN220)/$G$218</f>
        <v>1</v>
      </c>
      <c r="AZ220" s="101" t="e">
        <f>AR220/AQ220</f>
        <v>#DIV/0!</v>
      </c>
      <c r="BA220" s="101" t="e">
        <f>AT220/AS220</f>
        <v>#DIV/0!</v>
      </c>
      <c r="BB220" s="85" t="e">
        <f>(AW220+AY220+AZ220+BA220)/4</f>
        <v>#DIV/0!</v>
      </c>
      <c r="BC220" s="13">
        <f>AP220/$H$218</f>
        <v>0</v>
      </c>
      <c r="BD220" s="118" t="e">
        <f>AV220/AP220</f>
        <v>#DIV/0!</v>
      </c>
      <c r="BE220" s="13" t="e">
        <f>AO220/AP220</f>
        <v>#DIV/0!</v>
      </c>
      <c r="BF220" s="13">
        <f>AT220/$H$218</f>
        <v>0</v>
      </c>
      <c r="BG220" s="13">
        <f>AR220/$H$218</f>
        <v>0</v>
      </c>
      <c r="BQ220" t="str">
        <f t="shared" ref="BQ220:BQ224" si="374">_xlfn.CONCAT($C$218," &amp; ",J220," &amp; ",Q220," &amp; ",R220," &amp; ",S220," &amp; ",W220," &amp; ",X220," &amp; ",Y220," &amp; ",AC220," &amp; ",AD220," &amp; ",AE220," &amp; ",AG220," &amp; ",AH220," &amp; ",AI220," &amp; ",AJ220, " \\ \hline")</f>
        <v>6-4 &amp; k=1,
num_output=1000
chunk_size=2048
chunk_overlap=400
 &amp; 0.641791044776119 &amp; 0.895833333333333 &amp; 0.747826086956522 &amp; 0.666666666666667 &amp; 1 &amp; 0.8 &amp; 0.540983606557377 &amp; 0.767441860465116 &amp; 0.634615384615385 &amp; 5 &amp; 5 &amp; 0.166666666666667 &amp; 1 \\ \hline</v>
      </c>
    </row>
    <row r="221" spans="1:71">
      <c r="A221" t="s">
        <v>307</v>
      </c>
      <c r="C221" s="98"/>
      <c r="J221" t="s">
        <v>680</v>
      </c>
      <c r="L221" s="174" t="s">
        <v>661</v>
      </c>
      <c r="M221" s="77"/>
      <c r="O221" s="81">
        <f>P221-4</f>
        <v>58</v>
      </c>
      <c r="P221" s="163">
        <f>F218-5</f>
        <v>62</v>
      </c>
      <c r="Q221" s="129">
        <f t="shared" si="363"/>
        <v>0.86567164179104472</v>
      </c>
      <c r="R221" s="129">
        <f t="shared" si="364"/>
        <v>0.93548387096774188</v>
      </c>
      <c r="S221" s="127">
        <f t="shared" si="365"/>
        <v>0.89922480620155032</v>
      </c>
      <c r="U221" s="81">
        <f>V221-0</f>
        <v>12</v>
      </c>
      <c r="V221" s="81">
        <f>G218-3</f>
        <v>12</v>
      </c>
      <c r="W221" s="129">
        <f t="shared" si="366"/>
        <v>0.8</v>
      </c>
      <c r="X221" s="129">
        <f t="shared" si="367"/>
        <v>1</v>
      </c>
      <c r="Y221" s="127">
        <f t="shared" si="368"/>
        <v>0.88888888888888895</v>
      </c>
      <c r="AA221" s="81">
        <f>AB221-9</f>
        <v>48</v>
      </c>
      <c r="AB221" s="81">
        <f>I218-4</f>
        <v>57</v>
      </c>
      <c r="AC221" s="129">
        <f t="shared" si="369"/>
        <v>0.78688524590163933</v>
      </c>
      <c r="AD221" s="129">
        <f t="shared" si="370"/>
        <v>0.84210526315789469</v>
      </c>
      <c r="AE221" s="127">
        <f t="shared" si="371"/>
        <v>0.81355932203389825</v>
      </c>
      <c r="AG221" s="81">
        <f t="shared" si="372"/>
        <v>1</v>
      </c>
      <c r="AH221" s="81">
        <v>1</v>
      </c>
      <c r="AI221" s="127">
        <f t="shared" si="373"/>
        <v>3.3333333333333333E-2</v>
      </c>
      <c r="AJ221" s="127">
        <f t="shared" si="338"/>
        <v>1</v>
      </c>
      <c r="AW221" s="101">
        <f>($F$218-N221)/$F$218</f>
        <v>1</v>
      </c>
      <c r="AY221" s="101">
        <f>($G$218-AN221)/$G$218</f>
        <v>1</v>
      </c>
      <c r="AZ221" s="101" t="e">
        <f>AR221/AQ221</f>
        <v>#DIV/0!</v>
      </c>
      <c r="BA221" s="101" t="e">
        <f>AT221/AS221</f>
        <v>#DIV/0!</v>
      </c>
      <c r="BB221" s="85" t="e">
        <f>(AW221+AY221+AZ221+BA221)/4</f>
        <v>#DIV/0!</v>
      </c>
      <c r="BC221" s="13">
        <f>AP221/$H$218</f>
        <v>0</v>
      </c>
      <c r="BD221" s="118" t="e">
        <f>AV221/AP221</f>
        <v>#DIV/0!</v>
      </c>
      <c r="BE221" s="13" t="e">
        <f>AO221/AP221</f>
        <v>#DIV/0!</v>
      </c>
      <c r="BF221" s="13">
        <f>AT221/$H$218</f>
        <v>0</v>
      </c>
      <c r="BG221" s="13">
        <f>AR221/$H$218</f>
        <v>0</v>
      </c>
      <c r="BQ221" t="str">
        <f t="shared" si="374"/>
        <v>6-4 &amp; k=2 &amp; 0.865671641791045 &amp; 0.935483870967742 &amp; 0.89922480620155 &amp; 0.8 &amp; 1 &amp; 0.888888888888889 &amp; 0.786885245901639 &amp; 0.842105263157895 &amp; 0.813559322033898 &amp; 1 &amp; 1 &amp; 0.0333333333333333 &amp; 1 \\ \hline</v>
      </c>
    </row>
    <row r="222" spans="1:71">
      <c r="A222" t="s">
        <v>308</v>
      </c>
      <c r="C222" s="98"/>
      <c r="J222" t="s">
        <v>680</v>
      </c>
      <c r="L222" s="174" t="s">
        <v>661</v>
      </c>
      <c r="M222" s="77"/>
      <c r="O222" s="81">
        <f>P222-9</f>
        <v>46</v>
      </c>
      <c r="P222" s="81">
        <f>$F$218-12</f>
        <v>55</v>
      </c>
      <c r="Q222" s="129">
        <f t="shared" si="363"/>
        <v>0.68656716417910446</v>
      </c>
      <c r="R222" s="129">
        <f t="shared" si="364"/>
        <v>0.83636363636363631</v>
      </c>
      <c r="S222" s="127">
        <f t="shared" si="365"/>
        <v>0.75409836065573776</v>
      </c>
      <c r="U222" s="81">
        <f>V222-0</f>
        <v>9</v>
      </c>
      <c r="V222" s="81">
        <f>$G$218-6</f>
        <v>9</v>
      </c>
      <c r="W222" s="129">
        <f t="shared" si="366"/>
        <v>0.6</v>
      </c>
      <c r="X222" s="129">
        <f t="shared" si="367"/>
        <v>1</v>
      </c>
      <c r="Y222" s="127">
        <f t="shared" si="368"/>
        <v>0.74999999999999989</v>
      </c>
      <c r="AA222" s="81">
        <f>AB222-15</f>
        <v>35</v>
      </c>
      <c r="AB222" s="81">
        <f>$I$218-11</f>
        <v>50</v>
      </c>
      <c r="AC222" s="129">
        <f t="shared" si="369"/>
        <v>0.57377049180327866</v>
      </c>
      <c r="AD222" s="129">
        <f t="shared" si="370"/>
        <v>0.7</v>
      </c>
      <c r="AE222" s="127">
        <f t="shared" si="371"/>
        <v>0.63063063063063063</v>
      </c>
      <c r="AG222" s="81">
        <f t="shared" si="372"/>
        <v>4</v>
      </c>
      <c r="AH222" s="81">
        <v>4</v>
      </c>
      <c r="AI222" s="127">
        <f t="shared" si="373"/>
        <v>0.13333333333333333</v>
      </c>
      <c r="AJ222" s="127">
        <f t="shared" si="338"/>
        <v>1</v>
      </c>
      <c r="AW222" s="101">
        <f>($F$218-N222)/$F$218</f>
        <v>1</v>
      </c>
      <c r="AY222" s="101">
        <f>($G$218-AN222)/$G$218</f>
        <v>1</v>
      </c>
      <c r="AZ222" s="101" t="e">
        <f>AR222/AQ222</f>
        <v>#DIV/0!</v>
      </c>
      <c r="BA222" s="101" t="e">
        <f>AT222/AS222</f>
        <v>#DIV/0!</v>
      </c>
      <c r="BB222" s="85" t="e">
        <f>(AW222+AY222+AZ222+BA222)/4</f>
        <v>#DIV/0!</v>
      </c>
      <c r="BC222" s="13">
        <f>AP222/$H$218</f>
        <v>0</v>
      </c>
      <c r="BD222" s="118" t="e">
        <f>AV222/AP222</f>
        <v>#DIV/0!</v>
      </c>
      <c r="BE222" s="13" t="e">
        <f>AO222/AP222</f>
        <v>#DIV/0!</v>
      </c>
      <c r="BF222" s="13">
        <f>AT222/$H$218</f>
        <v>0</v>
      </c>
      <c r="BG222" s="13">
        <f>AR222/$H$218</f>
        <v>0</v>
      </c>
      <c r="BQ222" t="str">
        <f t="shared" si="374"/>
        <v>6-4 &amp; k=2 &amp; 0.686567164179104 &amp; 0.836363636363636 &amp; 0.754098360655738 &amp; 0.6 &amp; 1 &amp; 0.75 &amp; 0.573770491803279 &amp; 0.7 &amp; 0.630630630630631 &amp; 4 &amp; 4 &amp; 0.133333333333333 &amp; 1 \\ \hline</v>
      </c>
    </row>
    <row r="223" spans="1:71">
      <c r="A223" t="s">
        <v>309</v>
      </c>
      <c r="C223" s="98"/>
      <c r="J223" t="s">
        <v>681</v>
      </c>
      <c r="L223" s="174" t="s">
        <v>708</v>
      </c>
      <c r="M223" s="77"/>
      <c r="O223" s="81">
        <f>P223-5</f>
        <v>51</v>
      </c>
      <c r="P223" s="81">
        <f>$F$218-11</f>
        <v>56</v>
      </c>
      <c r="Q223" s="129">
        <f t="shared" si="363"/>
        <v>0.76119402985074625</v>
      </c>
      <c r="R223" s="129">
        <f t="shared" si="364"/>
        <v>0.9107142857142857</v>
      </c>
      <c r="S223" s="127">
        <f t="shared" si="365"/>
        <v>0.82926829268292668</v>
      </c>
      <c r="U223" s="81">
        <f>V223-2</f>
        <v>11</v>
      </c>
      <c r="V223" s="81">
        <f>$G$218-2</f>
        <v>13</v>
      </c>
      <c r="W223" s="129">
        <f t="shared" si="366"/>
        <v>0.73333333333333328</v>
      </c>
      <c r="X223" s="129">
        <f t="shared" si="367"/>
        <v>0.84615384615384615</v>
      </c>
      <c r="Y223" s="127">
        <f t="shared" si="368"/>
        <v>0.78571428571428559</v>
      </c>
      <c r="AA223" s="81">
        <f>AB223-12</f>
        <v>39</v>
      </c>
      <c r="AB223" s="81">
        <f>$I$218-10</f>
        <v>51</v>
      </c>
      <c r="AC223" s="129">
        <f t="shared" si="369"/>
        <v>0.63934426229508201</v>
      </c>
      <c r="AD223" s="129">
        <f t="shared" si="370"/>
        <v>0.76470588235294112</v>
      </c>
      <c r="AE223" s="127">
        <f t="shared" si="371"/>
        <v>0.6964285714285714</v>
      </c>
      <c r="AG223" s="81">
        <f t="shared" si="372"/>
        <v>1</v>
      </c>
      <c r="AH223" s="81">
        <v>1</v>
      </c>
      <c r="AI223" s="127">
        <f t="shared" si="373"/>
        <v>3.3333333333333333E-2</v>
      </c>
      <c r="AJ223" s="127">
        <f t="shared" si="338"/>
        <v>1</v>
      </c>
      <c r="BC223" s="13"/>
      <c r="BD223" s="118"/>
      <c r="BE223" s="13"/>
      <c r="BF223" s="13"/>
      <c r="BG223" s="13"/>
      <c r="BQ223" t="str">
        <f t="shared" si="374"/>
        <v>6-4 &amp; k=3 &amp; 0.761194029850746 &amp; 0.910714285714286 &amp; 0.829268292682927 &amp; 0.733333333333333 &amp; 0.846153846153846 &amp; 0.785714285714286 &amp; 0.639344262295082 &amp; 0.764705882352941 &amp; 0.696428571428571 &amp; 1 &amp; 1 &amp; 0.0333333333333333 &amp; 1 \\ \hline</v>
      </c>
    </row>
    <row r="224" spans="1:71">
      <c r="A224" t="s">
        <v>667</v>
      </c>
      <c r="C224" s="98"/>
      <c r="J224" t="s">
        <v>681</v>
      </c>
      <c r="L224" s="174" t="s">
        <v>708</v>
      </c>
      <c r="M224" s="77"/>
      <c r="O224" s="81">
        <f>P224-12</f>
        <v>37</v>
      </c>
      <c r="P224" s="81">
        <f>$F$218-18</f>
        <v>49</v>
      </c>
      <c r="Q224" s="129">
        <f t="shared" si="363"/>
        <v>0.55223880597014929</v>
      </c>
      <c r="R224" s="129">
        <f t="shared" si="364"/>
        <v>0.75510204081632648</v>
      </c>
      <c r="S224" s="127">
        <f t="shared" si="365"/>
        <v>0.63793103448275867</v>
      </c>
      <c r="U224" s="81">
        <f>V224-0</f>
        <v>8</v>
      </c>
      <c r="V224" s="81">
        <f>$G$218-7</f>
        <v>8</v>
      </c>
      <c r="W224" s="129">
        <f t="shared" si="366"/>
        <v>0.53333333333333333</v>
      </c>
      <c r="X224" s="129">
        <f t="shared" si="367"/>
        <v>1</v>
      </c>
      <c r="Y224" s="127">
        <f t="shared" si="368"/>
        <v>0.69565217391304357</v>
      </c>
      <c r="AA224" s="81">
        <f>AB224-13</f>
        <v>31</v>
      </c>
      <c r="AB224" s="81">
        <f>$I$218-17</f>
        <v>44</v>
      </c>
      <c r="AC224" s="129">
        <f t="shared" si="369"/>
        <v>0.50819672131147542</v>
      </c>
      <c r="AD224" s="129">
        <f t="shared" si="370"/>
        <v>0.70454545454545459</v>
      </c>
      <c r="AE224" s="127">
        <f t="shared" si="371"/>
        <v>0.5904761904761906</v>
      </c>
      <c r="AG224" s="81">
        <f t="shared" si="372"/>
        <v>1</v>
      </c>
      <c r="AH224" s="81">
        <v>1</v>
      </c>
      <c r="AI224" s="127">
        <f t="shared" si="373"/>
        <v>3.3333333333333333E-2</v>
      </c>
      <c r="AJ224" s="127">
        <f t="shared" si="338"/>
        <v>1</v>
      </c>
      <c r="BC224" s="13"/>
      <c r="BD224" s="118"/>
      <c r="BE224" s="13"/>
      <c r="BF224" s="13"/>
      <c r="BG224" s="13"/>
      <c r="BQ224" t="str">
        <f t="shared" si="374"/>
        <v>6-4 &amp; k=3 &amp; 0.552238805970149 &amp; 0.755102040816326 &amp; 0.637931034482759 &amp; 0.533333333333333 &amp; 1 &amp; 0.695652173913044 &amp; 0.508196721311475 &amp; 0.704545454545455 &amp; 0.590476190476191 &amp; 1 &amp; 1 &amp; 0.0333333333333333 &amp; 1 \\ \hline</v>
      </c>
      <c r="BS224" t="s">
        <v>803</v>
      </c>
    </row>
    <row r="225" spans="1:73">
      <c r="C225" s="98"/>
      <c r="L225" s="174"/>
      <c r="M225" s="77"/>
      <c r="Q225" s="129"/>
      <c r="R225" s="129"/>
      <c r="S225" s="127"/>
      <c r="W225" s="129"/>
      <c r="X225" s="129"/>
      <c r="Y225" s="127"/>
      <c r="AC225" s="129"/>
      <c r="AD225" s="129"/>
      <c r="AE225" s="127"/>
      <c r="AI225" s="127"/>
      <c r="AJ225" s="127"/>
      <c r="BC225" s="13"/>
      <c r="BD225" s="118"/>
      <c r="BE225" s="13"/>
      <c r="BF225" s="13"/>
      <c r="BG225" s="13"/>
    </row>
    <row r="226" spans="1:73" s="75" customFormat="1">
      <c r="A226" s="73" t="s">
        <v>333</v>
      </c>
      <c r="B226" s="94">
        <v>45178</v>
      </c>
      <c r="C226" s="103" t="s">
        <v>155</v>
      </c>
      <c r="D226" s="78">
        <f>VLOOKUP($C$226,Overview!$Q$2:$AS$64,23,FALSE)</f>
        <v>2.4974613347120318</v>
      </c>
      <c r="E226" s="78" t="str">
        <f>VLOOKUP($C$226,Overview!$Q$2:$AS$64,24,FALSE)</f>
        <v>high</v>
      </c>
      <c r="F226" s="75">
        <f>VLOOKUP(C226,Overview!$Q$2:$AS$64,13,FALSE)</f>
        <v>72</v>
      </c>
      <c r="G226" s="75">
        <f>VLOOKUP(C226,Overview!$Q$2:$AS$64,16,FALSE)</f>
        <v>11</v>
      </c>
      <c r="H226" s="75">
        <f>VLOOKUP(C226,Overview!$Q$2:$AS$64,18,FALSE)</f>
        <v>25</v>
      </c>
      <c r="I226" s="75">
        <f>VLOOKUP($C$226,Overview!$Q$2:$AS$64,19,FALSE)</f>
        <v>63</v>
      </c>
      <c r="K226" s="75" t="str">
        <f>VLOOKUP($C$226,Overview!$Q$2:$AS$64,5,FALSE)</f>
        <v>6-2, 5-2</v>
      </c>
      <c r="L226" s="96"/>
      <c r="N226" s="115"/>
      <c r="O226" s="97"/>
      <c r="P226" s="97"/>
      <c r="Q226" s="130"/>
      <c r="R226" s="130"/>
      <c r="S226" s="128"/>
      <c r="T226" s="115"/>
      <c r="U226" s="97"/>
      <c r="V226" s="97"/>
      <c r="W226" s="130"/>
      <c r="X226" s="130"/>
      <c r="Y226" s="128"/>
      <c r="Z226" s="115"/>
      <c r="AA226" s="97"/>
      <c r="AB226" s="97"/>
      <c r="AC226" s="130"/>
      <c r="AD226" s="130"/>
      <c r="AE226" s="128"/>
      <c r="AF226" s="115"/>
      <c r="AG226" s="97"/>
      <c r="AH226" s="97"/>
      <c r="AI226" s="128"/>
      <c r="AJ226" s="132"/>
      <c r="AK226" s="97"/>
      <c r="AL226" s="115"/>
      <c r="AM226" s="122"/>
      <c r="AN226" s="101"/>
      <c r="AQ226" s="101"/>
      <c r="AR226" s="101"/>
      <c r="AV226" s="119"/>
      <c r="AW226" s="101"/>
      <c r="AX226" s="101"/>
      <c r="AY226" s="101"/>
      <c r="AZ226" s="101"/>
      <c r="BA226" s="101"/>
      <c r="BB226" s="83"/>
      <c r="BD226" s="101"/>
    </row>
    <row r="227" spans="1:73">
      <c r="A227" t="s">
        <v>305</v>
      </c>
      <c r="C227" s="98"/>
      <c r="L227" s="174"/>
      <c r="M227" s="104"/>
      <c r="Q227" s="129"/>
      <c r="R227" s="129"/>
      <c r="S227" s="127"/>
      <c r="W227" s="129"/>
      <c r="X227" s="129"/>
      <c r="Y227" s="127"/>
      <c r="AC227" s="129"/>
      <c r="AD227" s="129"/>
      <c r="AE227" s="127"/>
      <c r="AI227" s="127"/>
      <c r="AJ227" s="127"/>
      <c r="AW227" s="101">
        <f>($F$226-N227)/$F$226</f>
        <v>1</v>
      </c>
      <c r="AY227" s="101">
        <f>($G$226-AN227)/$G$226</f>
        <v>1</v>
      </c>
      <c r="AZ227" s="101" t="e">
        <f>AR227/AQ227</f>
        <v>#DIV/0!</v>
      </c>
      <c r="BA227" s="101" t="e">
        <f>AT227/AS227</f>
        <v>#DIV/0!</v>
      </c>
      <c r="BB227" s="85" t="e">
        <f>(AW227+AY227+AZ227+BA227)/4</f>
        <v>#DIV/0!</v>
      </c>
      <c r="BC227" s="13">
        <f>AP227/$H$226</f>
        <v>0</v>
      </c>
      <c r="BD227" s="118" t="e">
        <f>AV227/AP227</f>
        <v>#DIV/0!</v>
      </c>
      <c r="BE227" s="13" t="e">
        <f>AO227/AP227</f>
        <v>#DIV/0!</v>
      </c>
      <c r="BF227" s="13">
        <f>AT227/$H$226</f>
        <v>0</v>
      </c>
      <c r="BG227" s="13">
        <f>AR227/$H$226</f>
        <v>0</v>
      </c>
    </row>
    <row r="228" spans="1:73">
      <c r="A228" t="s">
        <v>306</v>
      </c>
      <c r="C228" s="98"/>
      <c r="L228" s="174"/>
      <c r="M228" s="104"/>
      <c r="Q228" s="129"/>
      <c r="R228" s="129"/>
      <c r="S228" s="127"/>
      <c r="W228" s="129"/>
      <c r="X228" s="129"/>
      <c r="Y228" s="127"/>
      <c r="AC228" s="129"/>
      <c r="AD228" s="129"/>
      <c r="AE228" s="127"/>
      <c r="AI228" s="127"/>
      <c r="AJ228" s="127"/>
      <c r="AW228" s="101">
        <f>($F$226-N228)/$F$226</f>
        <v>1</v>
      </c>
      <c r="AY228" s="101">
        <f>($G$226-AN228)/$G$226</f>
        <v>1</v>
      </c>
      <c r="AZ228" s="101" t="e">
        <f>AR228/AQ228</f>
        <v>#DIV/0!</v>
      </c>
      <c r="BA228" s="101" t="e">
        <f>AT228/AS228</f>
        <v>#DIV/0!</v>
      </c>
      <c r="BB228" s="85" t="e">
        <f>(AW228+AY228+AZ228+BA228)/4</f>
        <v>#DIV/0!</v>
      </c>
      <c r="BC228" s="13">
        <f>AP228/$H$226</f>
        <v>0</v>
      </c>
      <c r="BD228" s="118" t="e">
        <f>AV228/AP228</f>
        <v>#DIV/0!</v>
      </c>
      <c r="BE228" s="13" t="e">
        <f>AO228/AP228</f>
        <v>#DIV/0!</v>
      </c>
      <c r="BF228" s="13">
        <f>AT228/$H$226</f>
        <v>0</v>
      </c>
      <c r="BG228" s="13">
        <f>AR228/$H$226</f>
        <v>0</v>
      </c>
    </row>
    <row r="229" spans="1:73">
      <c r="A229" t="s">
        <v>307</v>
      </c>
      <c r="C229" s="98"/>
      <c r="L229" s="174"/>
      <c r="M229" s="104"/>
      <c r="Q229" s="129"/>
      <c r="R229" s="129"/>
      <c r="S229" s="127"/>
      <c r="W229" s="129"/>
      <c r="X229" s="129"/>
      <c r="Y229" s="127"/>
      <c r="AC229" s="129"/>
      <c r="AD229" s="129"/>
      <c r="AE229" s="127"/>
      <c r="AI229" s="127"/>
      <c r="AJ229" s="127"/>
      <c r="AW229" s="101">
        <f>($F$226-N229)/$F$226</f>
        <v>1</v>
      </c>
      <c r="AY229" s="101">
        <f>($G$226-AN229)/$G$226</f>
        <v>1</v>
      </c>
      <c r="AZ229" s="101" t="e">
        <f>AR229/AQ229</f>
        <v>#DIV/0!</v>
      </c>
      <c r="BA229" s="101" t="e">
        <f>AT229/AS229</f>
        <v>#DIV/0!</v>
      </c>
      <c r="BB229" s="85" t="e">
        <f>(AW229+AY229+AZ229+BA229)/4</f>
        <v>#DIV/0!</v>
      </c>
      <c r="BC229" s="13">
        <f>AP229/$H$226</f>
        <v>0</v>
      </c>
      <c r="BD229" s="118" t="e">
        <f>AV229/AP229</f>
        <v>#DIV/0!</v>
      </c>
      <c r="BE229" s="13" t="e">
        <f>AO229/AP229</f>
        <v>#DIV/0!</v>
      </c>
      <c r="BF229" s="13">
        <f>AT229/$H$226</f>
        <v>0</v>
      </c>
      <c r="BG229" s="13">
        <f>AR229/$H$226</f>
        <v>0</v>
      </c>
    </row>
    <row r="230" spans="1:73">
      <c r="A230" t="s">
        <v>308</v>
      </c>
      <c r="C230" s="98"/>
      <c r="L230" s="174"/>
      <c r="M230" s="104"/>
      <c r="Q230" s="129"/>
      <c r="R230" s="129"/>
      <c r="S230" s="127"/>
      <c r="W230" s="129"/>
      <c r="X230" s="129"/>
      <c r="Y230" s="127"/>
      <c r="AC230" s="129"/>
      <c r="AD230" s="129"/>
      <c r="AE230" s="127"/>
      <c r="AI230" s="127"/>
      <c r="AJ230" s="127"/>
      <c r="AW230" s="101">
        <f>($F$226-N230)/$F$226</f>
        <v>1</v>
      </c>
      <c r="AY230" s="101">
        <f>($G$226-AN230)/$G$226</f>
        <v>1</v>
      </c>
      <c r="AZ230" s="101" t="e">
        <f>AR230/AQ230</f>
        <v>#DIV/0!</v>
      </c>
      <c r="BA230" s="101" t="e">
        <f>AT230/AS230</f>
        <v>#DIV/0!</v>
      </c>
      <c r="BB230" s="85" t="e">
        <f>(AW230+AY230+AZ230+BA230)/4</f>
        <v>#DIV/0!</v>
      </c>
      <c r="BC230" s="13">
        <f>AP230/$H$226</f>
        <v>0</v>
      </c>
      <c r="BD230" s="118" t="e">
        <f>AV230/AP230</f>
        <v>#DIV/0!</v>
      </c>
      <c r="BE230" s="13" t="e">
        <f>AO230/AP230</f>
        <v>#DIV/0!</v>
      </c>
      <c r="BF230" s="13">
        <f>AT230/$H$226</f>
        <v>0</v>
      </c>
      <c r="BG230" s="13">
        <f>AR230/$H$226</f>
        <v>0</v>
      </c>
      <c r="BR230" s="127"/>
      <c r="BS230" s="127"/>
      <c r="BT230" s="127"/>
      <c r="BU230" s="127"/>
    </row>
    <row r="231" spans="1:73">
      <c r="A231" t="s">
        <v>309</v>
      </c>
      <c r="C231" s="98"/>
      <c r="L231" s="174"/>
      <c r="M231" s="101"/>
      <c r="Q231" s="129"/>
      <c r="R231" s="129"/>
      <c r="S231" s="127"/>
      <c r="W231" s="129"/>
      <c r="X231" s="129"/>
      <c r="Y231" s="127"/>
      <c r="AC231" s="129"/>
      <c r="AD231" s="129"/>
      <c r="AE231" s="127"/>
      <c r="AI231" s="127"/>
      <c r="AJ231" s="127"/>
    </row>
    <row r="232" spans="1:73">
      <c r="A232" t="s">
        <v>667</v>
      </c>
      <c r="C232" s="98"/>
      <c r="L232" s="174"/>
      <c r="M232" s="101"/>
      <c r="Q232" s="129"/>
      <c r="R232" s="129"/>
      <c r="S232" s="127"/>
      <c r="W232" s="129"/>
      <c r="X232" s="129"/>
      <c r="Y232" s="127"/>
      <c r="AC232" s="129"/>
      <c r="AD232" s="129"/>
      <c r="AE232" s="127"/>
      <c r="AI232" s="127"/>
      <c r="AJ232" s="127"/>
    </row>
    <row r="233" spans="1:73">
      <c r="C233" s="98"/>
      <c r="L233" s="174"/>
      <c r="M233" s="101"/>
      <c r="Q233" s="129"/>
      <c r="R233" s="129"/>
      <c r="S233" s="127"/>
      <c r="W233" s="129"/>
      <c r="X233" s="129"/>
      <c r="Y233" s="127"/>
      <c r="AC233" s="129"/>
      <c r="AD233" s="129"/>
      <c r="AE233" s="127"/>
      <c r="AI233" s="127"/>
      <c r="AJ233" s="127"/>
    </row>
    <row r="234" spans="1:73" s="75" customFormat="1">
      <c r="A234" s="75" t="s">
        <v>335</v>
      </c>
      <c r="B234" s="94">
        <v>45178</v>
      </c>
      <c r="C234" s="103" t="s">
        <v>150</v>
      </c>
      <c r="D234" s="78">
        <f>VLOOKUP($C$234,Overview!$Q$2:$AS$64,23,FALSE)</f>
        <v>2.794074291209645</v>
      </c>
      <c r="E234" s="78" t="str">
        <f>VLOOKUP($C$234,Overview!$Q$2:$AS$64,24,FALSE)</f>
        <v>high</v>
      </c>
      <c r="F234" s="75">
        <f>VLOOKUP(C234,Overview!$Q$2:$AS$64,13,FALSE)</f>
        <v>75</v>
      </c>
      <c r="G234" s="75">
        <f>VLOOKUP(C234,Overview!$Q$2:$AS$64,16,FALSE)</f>
        <v>12</v>
      </c>
      <c r="H234" s="75">
        <f>VLOOKUP(C234,Overview!$Q$2:$AS$64,18,FALSE)</f>
        <v>31</v>
      </c>
      <c r="I234" s="75">
        <f>VLOOKUP($C$234,Overview!$Q$2:$AS$64,19,FALSE)</f>
        <v>68</v>
      </c>
      <c r="K234" s="75" t="str">
        <f>VLOOKUP($C$234,Overview!$Q$2:$AS$64,5,FALSE)</f>
        <v>6-2, 5-2</v>
      </c>
      <c r="L234" s="96"/>
      <c r="M234" s="101"/>
      <c r="N234" s="115"/>
      <c r="O234" s="97"/>
      <c r="P234" s="97"/>
      <c r="Q234" s="130"/>
      <c r="R234" s="130"/>
      <c r="S234" s="128"/>
      <c r="T234" s="115"/>
      <c r="U234" s="97"/>
      <c r="V234" s="97"/>
      <c r="W234" s="130"/>
      <c r="X234" s="130"/>
      <c r="Y234" s="128"/>
      <c r="Z234" s="115"/>
      <c r="AA234" s="97"/>
      <c r="AB234" s="97"/>
      <c r="AC234" s="130"/>
      <c r="AD234" s="130"/>
      <c r="AE234" s="128"/>
      <c r="AF234" s="115"/>
      <c r="AG234" s="97"/>
      <c r="AH234" s="97"/>
      <c r="AI234" s="128"/>
      <c r="AJ234" s="132"/>
      <c r="AK234" s="97"/>
      <c r="AL234" s="115"/>
      <c r="AM234" s="122"/>
      <c r="AN234" s="101"/>
      <c r="AQ234" s="101"/>
      <c r="AR234" s="101"/>
      <c r="AV234" s="119"/>
      <c r="AW234" s="101"/>
      <c r="AX234" s="101"/>
      <c r="AY234" s="101"/>
      <c r="AZ234" s="101"/>
      <c r="BA234" s="101"/>
      <c r="BB234" s="83"/>
      <c r="BD234" s="101"/>
    </row>
    <row r="235" spans="1:73">
      <c r="A235" t="s">
        <v>305</v>
      </c>
      <c r="C235" s="98"/>
      <c r="L235" s="174"/>
      <c r="M235" s="104"/>
      <c r="Q235" s="129"/>
      <c r="R235" s="129"/>
      <c r="S235" s="127"/>
      <c r="W235" s="129"/>
      <c r="X235" s="129"/>
      <c r="Y235" s="127"/>
      <c r="AC235" s="129"/>
      <c r="AD235" s="129"/>
      <c r="AE235" s="127"/>
      <c r="AI235" s="127"/>
      <c r="AJ235" s="127"/>
      <c r="AW235" s="101">
        <f>($F$234-N235)/$F$234</f>
        <v>1</v>
      </c>
      <c r="AY235" s="101">
        <f>($G$234-AN235)/$G$234</f>
        <v>1</v>
      </c>
      <c r="AZ235" s="101" t="e">
        <f>AR235/AQ235</f>
        <v>#DIV/0!</v>
      </c>
      <c r="BA235" s="101" t="e">
        <f>AT235/AS235</f>
        <v>#DIV/0!</v>
      </c>
      <c r="BB235" s="85" t="e">
        <f>(AW235+AY235+AZ235+BA235)/4</f>
        <v>#DIV/0!</v>
      </c>
      <c r="BC235" s="13">
        <f>AP235/$H$234</f>
        <v>0</v>
      </c>
      <c r="BD235" s="118" t="e">
        <f>AV235/AP235</f>
        <v>#DIV/0!</v>
      </c>
      <c r="BE235" s="13" t="e">
        <f>AO235/AP235</f>
        <v>#DIV/0!</v>
      </c>
      <c r="BF235" s="13">
        <f>AT235/$H$234</f>
        <v>0</v>
      </c>
      <c r="BG235" s="13">
        <f>AR235/$H$234</f>
        <v>0</v>
      </c>
    </row>
    <row r="236" spans="1:73">
      <c r="A236" t="s">
        <v>306</v>
      </c>
      <c r="C236" s="98"/>
      <c r="L236" s="174"/>
      <c r="M236" s="104"/>
      <c r="Q236" s="129"/>
      <c r="R236" s="129"/>
      <c r="S236" s="127"/>
      <c r="W236" s="129"/>
      <c r="X236" s="129"/>
      <c r="Y236" s="127"/>
      <c r="AC236" s="129"/>
      <c r="AD236" s="129"/>
      <c r="AE236" s="127"/>
      <c r="AI236" s="127"/>
      <c r="AJ236" s="127"/>
      <c r="AW236" s="101">
        <f>($F$234-N236)/$F$234</f>
        <v>1</v>
      </c>
      <c r="AY236" s="101">
        <f>($G$234-AN236)/$G$234</f>
        <v>1</v>
      </c>
      <c r="AZ236" s="101" t="e">
        <f>AR236/AQ236</f>
        <v>#DIV/0!</v>
      </c>
      <c r="BA236" s="101" t="e">
        <f>AT236/AS236</f>
        <v>#DIV/0!</v>
      </c>
      <c r="BB236" s="85" t="e">
        <f>(AW236+AY236+AZ236+BA236)/4</f>
        <v>#DIV/0!</v>
      </c>
      <c r="BC236" s="13">
        <f>AP236/$H$234</f>
        <v>0</v>
      </c>
      <c r="BD236" s="118" t="e">
        <f>AV236/AP236</f>
        <v>#DIV/0!</v>
      </c>
      <c r="BE236" s="13" t="e">
        <f>AO236/AP236</f>
        <v>#DIV/0!</v>
      </c>
      <c r="BF236" s="13">
        <f>AT236/$H$234</f>
        <v>0</v>
      </c>
      <c r="BG236" s="13">
        <f>AR236/$H$234</f>
        <v>0</v>
      </c>
    </row>
    <row r="237" spans="1:73">
      <c r="A237" t="s">
        <v>307</v>
      </c>
      <c r="C237" s="98"/>
      <c r="L237" s="174"/>
      <c r="M237" s="104"/>
      <c r="Q237" s="129"/>
      <c r="R237" s="129"/>
      <c r="S237" s="127"/>
      <c r="W237" s="129"/>
      <c r="X237" s="129"/>
      <c r="Y237" s="127"/>
      <c r="AC237" s="129"/>
      <c r="AD237" s="129"/>
      <c r="AE237" s="127"/>
      <c r="AI237" s="127"/>
      <c r="AJ237" s="127"/>
      <c r="AW237" s="101">
        <f>($F$234-N237)/$F$234</f>
        <v>1</v>
      </c>
      <c r="AY237" s="101">
        <f>($G$234-AN237)/$G$234</f>
        <v>1</v>
      </c>
      <c r="AZ237" s="101" t="e">
        <f>AR237/AQ237</f>
        <v>#DIV/0!</v>
      </c>
      <c r="BA237" s="101" t="e">
        <f>AT237/AS237</f>
        <v>#DIV/0!</v>
      </c>
      <c r="BB237" s="85" t="e">
        <f>(AW237+AY237+AZ237+BA237)/4</f>
        <v>#DIV/0!</v>
      </c>
      <c r="BC237" s="13">
        <f>AP237/$H$234</f>
        <v>0</v>
      </c>
      <c r="BD237" s="118" t="e">
        <f>AV237/AP237</f>
        <v>#DIV/0!</v>
      </c>
      <c r="BE237" s="13" t="e">
        <f>AO237/AP237</f>
        <v>#DIV/0!</v>
      </c>
      <c r="BF237" s="13">
        <f>AT237/$H$234</f>
        <v>0</v>
      </c>
      <c r="BG237" s="13">
        <f>AR237/$H$234</f>
        <v>0</v>
      </c>
    </row>
    <row r="238" spans="1:73">
      <c r="A238" t="s">
        <v>308</v>
      </c>
      <c r="C238" s="98"/>
      <c r="L238" s="174"/>
      <c r="M238" s="104"/>
      <c r="Q238" s="129"/>
      <c r="R238" s="129"/>
      <c r="S238" s="127"/>
      <c r="W238" s="129"/>
      <c r="X238" s="129"/>
      <c r="Y238" s="127"/>
      <c r="AC238" s="129"/>
      <c r="AD238" s="129"/>
      <c r="AE238" s="127"/>
      <c r="AI238" s="127"/>
      <c r="AJ238" s="127"/>
      <c r="AW238" s="101">
        <f>($F$234-N238)/$F$234</f>
        <v>1</v>
      </c>
      <c r="AY238" s="101">
        <f>($G$234-AN238)/$G$234</f>
        <v>1</v>
      </c>
      <c r="AZ238" s="101" t="e">
        <f>AR238/AQ238</f>
        <v>#DIV/0!</v>
      </c>
      <c r="BA238" s="101" t="e">
        <f>AT238/AS238</f>
        <v>#DIV/0!</v>
      </c>
      <c r="BB238" s="85" t="e">
        <f>(AW238+AY238+AZ238+BA238)/4</f>
        <v>#DIV/0!</v>
      </c>
      <c r="BC238" s="13">
        <f>AP238/$H$234</f>
        <v>0</v>
      </c>
      <c r="BD238" s="118" t="e">
        <f>AV238/AP238</f>
        <v>#DIV/0!</v>
      </c>
      <c r="BE238" s="13" t="e">
        <f>AO238/AP238</f>
        <v>#DIV/0!</v>
      </c>
      <c r="BF238" s="13">
        <f>AT238/$H$234</f>
        <v>0</v>
      </c>
      <c r="BG238" s="13">
        <f>AR238/$H$234</f>
        <v>0</v>
      </c>
    </row>
    <row r="239" spans="1:73">
      <c r="A239" t="s">
        <v>309</v>
      </c>
      <c r="C239" s="98"/>
      <c r="L239" s="174"/>
      <c r="M239" s="104"/>
      <c r="Q239" s="129"/>
      <c r="R239" s="129"/>
      <c r="S239" s="127"/>
      <c r="W239" s="129"/>
      <c r="X239" s="129"/>
      <c r="Y239" s="127"/>
      <c r="AC239" s="129"/>
      <c r="AD239" s="129"/>
      <c r="AE239" s="127"/>
      <c r="AI239" s="127"/>
      <c r="AJ239" s="127"/>
      <c r="BC239" s="13"/>
      <c r="BD239" s="118"/>
      <c r="BE239" s="13"/>
      <c r="BF239" s="13"/>
      <c r="BG239" s="13"/>
    </row>
    <row r="240" spans="1:73">
      <c r="A240" t="s">
        <v>667</v>
      </c>
      <c r="C240" s="98"/>
      <c r="L240" s="174"/>
      <c r="M240" s="104"/>
      <c r="Q240" s="129"/>
      <c r="R240" s="129"/>
      <c r="S240" s="127"/>
      <c r="W240" s="129"/>
      <c r="X240" s="129"/>
      <c r="Y240" s="127"/>
      <c r="AC240" s="129"/>
      <c r="AD240" s="129"/>
      <c r="AE240" s="127"/>
      <c r="AI240" s="127"/>
      <c r="AJ240" s="127"/>
      <c r="BC240" s="13"/>
      <c r="BD240" s="118"/>
      <c r="BE240" s="13"/>
      <c r="BF240" s="13"/>
      <c r="BG240" s="13"/>
    </row>
    <row r="241" spans="1:59">
      <c r="C241" s="98"/>
      <c r="M241" s="101"/>
      <c r="Q241" s="129"/>
      <c r="R241" s="129"/>
      <c r="S241" s="127"/>
      <c r="W241" s="129"/>
      <c r="X241" s="129"/>
      <c r="Y241" s="127"/>
      <c r="AC241" s="129"/>
      <c r="AD241" s="129"/>
      <c r="AE241" s="127"/>
      <c r="AI241" s="127"/>
      <c r="AJ241" s="131"/>
    </row>
    <row r="242" spans="1:59" s="75" customFormat="1">
      <c r="A242" s="73" t="s">
        <v>336</v>
      </c>
      <c r="B242" s="75" t="s">
        <v>387</v>
      </c>
      <c r="C242" s="103" t="s">
        <v>398</v>
      </c>
      <c r="D242" s="78">
        <f>VLOOKUP($C$242,Overview!$Q$2:$AS$64,23,FALSE)</f>
        <v>3.2133281387646022</v>
      </c>
      <c r="E242" s="78" t="str">
        <f>VLOOKUP($C$242,Overview!$Q$2:$AS$64,24,FALSE)</f>
        <v>high</v>
      </c>
      <c r="F242" s="75">
        <f>VLOOKUP(C242,Overview!$Q$2:$AS$64,13,FALSE)</f>
        <v>77</v>
      </c>
      <c r="G242" s="75">
        <f>VLOOKUP(C242,Overview!$Q$2:$AS$64,16,FALSE)</f>
        <v>11</v>
      </c>
      <c r="H242" s="75">
        <f>VLOOKUP(C242,Overview!$Q$2:$AS$64,18,FALSE)</f>
        <v>33</v>
      </c>
      <c r="I242" s="75">
        <f>VLOOKUP($C$242,Overview!$Q$2:$AS$64,19,FALSE)</f>
        <v>72</v>
      </c>
      <c r="K242" s="75" t="str">
        <f>VLOOKUP($C$242,Overview!$Q$2:$AS$64,5,FALSE)</f>
        <v>6-2, 5-1</v>
      </c>
      <c r="L242" s="96"/>
      <c r="M242" s="101"/>
      <c r="N242" s="115"/>
      <c r="O242" s="97"/>
      <c r="P242" s="97"/>
      <c r="Q242" s="130"/>
      <c r="R242" s="130"/>
      <c r="S242" s="128"/>
      <c r="T242" s="115"/>
      <c r="U242" s="97"/>
      <c r="V242" s="97"/>
      <c r="W242" s="130"/>
      <c r="X242" s="130"/>
      <c r="Y242" s="128"/>
      <c r="Z242" s="115"/>
      <c r="AA242" s="97"/>
      <c r="AB242" s="97"/>
      <c r="AC242" s="130"/>
      <c r="AD242" s="130"/>
      <c r="AE242" s="128"/>
      <c r="AF242" s="115"/>
      <c r="AG242" s="97"/>
      <c r="AH242" s="97"/>
      <c r="AI242" s="128"/>
      <c r="AJ242" s="132"/>
      <c r="AK242" s="97"/>
      <c r="AL242" s="115"/>
      <c r="AM242" s="122"/>
      <c r="AN242" s="101"/>
      <c r="AQ242" s="101"/>
      <c r="AR242" s="101"/>
      <c r="AV242" s="119"/>
      <c r="AW242" s="101"/>
      <c r="AX242" s="101"/>
      <c r="AY242" s="101"/>
      <c r="AZ242" s="101"/>
      <c r="BA242" s="101"/>
      <c r="BB242" s="83"/>
      <c r="BD242" s="101"/>
    </row>
    <row r="243" spans="1:59">
      <c r="A243" t="s">
        <v>305</v>
      </c>
      <c r="C243" s="98"/>
      <c r="L243" s="174"/>
      <c r="M243" s="104"/>
      <c r="Q243" s="129"/>
      <c r="R243" s="129"/>
      <c r="S243" s="127"/>
      <c r="W243" s="129"/>
      <c r="X243" s="129"/>
      <c r="Y243" s="127"/>
      <c r="AC243" s="129"/>
      <c r="AD243" s="129"/>
      <c r="AE243" s="127"/>
      <c r="AI243" s="127"/>
      <c r="AJ243" s="127"/>
      <c r="AW243" s="101">
        <f>($F$242-N243)/$F$242</f>
        <v>1</v>
      </c>
      <c r="AY243" s="101">
        <f>($G$242-AN243)/$G$242</f>
        <v>1</v>
      </c>
      <c r="AZ243" s="101" t="e">
        <f>AR243/AQ243</f>
        <v>#DIV/0!</v>
      </c>
      <c r="BA243" s="101" t="e">
        <f>AT243/AS243</f>
        <v>#DIV/0!</v>
      </c>
      <c r="BB243" s="85" t="e">
        <f>(AW243+AY243+AZ243+BA243)/4</f>
        <v>#DIV/0!</v>
      </c>
      <c r="BC243" s="13">
        <f>AP243/$H$242</f>
        <v>0</v>
      </c>
      <c r="BD243" s="118" t="e">
        <f>AV243/AP243</f>
        <v>#DIV/0!</v>
      </c>
      <c r="BE243" s="13" t="e">
        <f>AO243/AP243</f>
        <v>#DIV/0!</v>
      </c>
      <c r="BF243" s="13">
        <f>AT243/$H$242</f>
        <v>0</v>
      </c>
      <c r="BG243" s="13">
        <f>AR243/$H$242</f>
        <v>0</v>
      </c>
    </row>
    <row r="244" spans="1:59">
      <c r="A244" t="s">
        <v>306</v>
      </c>
      <c r="C244" s="98"/>
      <c r="L244" s="174"/>
      <c r="M244" s="104"/>
      <c r="Q244" s="129"/>
      <c r="R244" s="129"/>
      <c r="S244" s="127"/>
      <c r="W244" s="129"/>
      <c r="X244" s="129"/>
      <c r="Y244" s="127"/>
      <c r="AC244" s="129"/>
      <c r="AD244" s="129"/>
      <c r="AE244" s="127"/>
      <c r="AI244" s="127"/>
      <c r="AJ244" s="127"/>
      <c r="AW244" s="101">
        <f>($F$242-N244)/$F$242</f>
        <v>1</v>
      </c>
      <c r="AY244" s="101">
        <f>($G$242-AN244)/$G$242</f>
        <v>1</v>
      </c>
      <c r="AZ244" s="101" t="e">
        <f>AR244/AQ244</f>
        <v>#DIV/0!</v>
      </c>
      <c r="BA244" s="101" t="e">
        <f>AT244/AS244</f>
        <v>#DIV/0!</v>
      </c>
      <c r="BB244" s="85" t="e">
        <f>(AW244+AY244+AZ244+BA244)/4</f>
        <v>#DIV/0!</v>
      </c>
      <c r="BC244" s="13">
        <f>AP244/$H$242</f>
        <v>0</v>
      </c>
      <c r="BD244" s="118" t="e">
        <f>AV244/AP244</f>
        <v>#DIV/0!</v>
      </c>
      <c r="BE244" s="13" t="e">
        <f>AO244/AP244</f>
        <v>#DIV/0!</v>
      </c>
      <c r="BF244" s="13">
        <f>AT244/$H$242</f>
        <v>0</v>
      </c>
      <c r="BG244" s="13">
        <f>AR244/$H$242</f>
        <v>0</v>
      </c>
    </row>
    <row r="245" spans="1:59">
      <c r="A245" t="s">
        <v>307</v>
      </c>
      <c r="C245" s="98"/>
      <c r="L245" s="174"/>
      <c r="M245" s="104"/>
      <c r="Q245" s="129"/>
      <c r="R245" s="129"/>
      <c r="S245" s="127"/>
      <c r="W245" s="129"/>
      <c r="X245" s="129"/>
      <c r="Y245" s="127"/>
      <c r="AC245" s="129"/>
      <c r="AD245" s="129"/>
      <c r="AE245" s="127"/>
      <c r="AI245" s="127"/>
      <c r="AJ245" s="127"/>
      <c r="AW245" s="101">
        <f>($F$242-N245)/$F$242</f>
        <v>1</v>
      </c>
      <c r="AY245" s="101">
        <f>($G$242-AN245)/$G$242</f>
        <v>1</v>
      </c>
      <c r="AZ245" s="101" t="e">
        <f>AR245/AQ245</f>
        <v>#DIV/0!</v>
      </c>
      <c r="BA245" s="101" t="e">
        <f>AT245/AS245</f>
        <v>#DIV/0!</v>
      </c>
      <c r="BB245" s="85" t="e">
        <f>(AW245+AY245+AZ245+BA245)/4</f>
        <v>#DIV/0!</v>
      </c>
      <c r="BC245" s="13">
        <f>AP245/$H$242</f>
        <v>0</v>
      </c>
      <c r="BD245" s="118" t="e">
        <f>AV245/AP245</f>
        <v>#DIV/0!</v>
      </c>
      <c r="BE245" s="13" t="e">
        <f>AO245/AP245</f>
        <v>#DIV/0!</v>
      </c>
      <c r="BF245" s="13">
        <f>AT245/$H$242</f>
        <v>0</v>
      </c>
      <c r="BG245" s="13">
        <f>AR245/$H$242</f>
        <v>0</v>
      </c>
    </row>
    <row r="246" spans="1:59">
      <c r="A246" t="s">
        <v>308</v>
      </c>
      <c r="C246" s="98"/>
      <c r="L246" s="174"/>
      <c r="M246" s="104"/>
      <c r="Q246" s="129"/>
      <c r="R246" s="129"/>
      <c r="S246" s="127"/>
      <c r="W246" s="129"/>
      <c r="X246" s="129"/>
      <c r="Y246" s="127"/>
      <c r="AC246" s="129"/>
      <c r="AD246" s="129"/>
      <c r="AE246" s="127"/>
      <c r="AI246" s="127"/>
      <c r="AJ246" s="127"/>
      <c r="AW246" s="101">
        <f>($F$242-N246)/$F$242</f>
        <v>1</v>
      </c>
      <c r="AY246" s="101">
        <f>($G$242-AN246)/$G$242</f>
        <v>1</v>
      </c>
      <c r="AZ246" s="101" t="e">
        <f>AR246/AQ246</f>
        <v>#DIV/0!</v>
      </c>
      <c r="BA246" s="101" t="e">
        <f>AT246/AS246</f>
        <v>#DIV/0!</v>
      </c>
      <c r="BB246" s="85" t="e">
        <f>(AW246+AY246+AZ246+BA246)/4</f>
        <v>#DIV/0!</v>
      </c>
      <c r="BC246" s="13">
        <f>AP246/$H$242</f>
        <v>0</v>
      </c>
      <c r="BD246" s="118" t="e">
        <f>AV246/AP246</f>
        <v>#DIV/0!</v>
      </c>
      <c r="BE246" s="13" t="e">
        <f>AO246/AP246</f>
        <v>#DIV/0!</v>
      </c>
      <c r="BF246" s="13">
        <f>AT246/$H$242</f>
        <v>0</v>
      </c>
      <c r="BG246" s="13">
        <f>AR246/$H$242</f>
        <v>0</v>
      </c>
    </row>
    <row r="247" spans="1:59">
      <c r="A247" t="s">
        <v>309</v>
      </c>
      <c r="C247" s="98"/>
      <c r="L247" s="174"/>
      <c r="M247" s="101"/>
      <c r="Q247" s="129"/>
      <c r="R247" s="129"/>
      <c r="S247" s="127"/>
      <c r="W247" s="129"/>
      <c r="X247" s="129"/>
      <c r="Y247" s="127"/>
      <c r="AC247" s="129"/>
      <c r="AD247" s="129"/>
      <c r="AE247" s="127"/>
      <c r="AI247" s="127"/>
      <c r="AJ247" s="127"/>
    </row>
    <row r="248" spans="1:59">
      <c r="A248" t="s">
        <v>667</v>
      </c>
      <c r="C248" s="98"/>
      <c r="L248" s="174"/>
      <c r="M248" s="101"/>
      <c r="Q248" s="129"/>
      <c r="R248" s="129"/>
      <c r="S248" s="127"/>
      <c r="W248" s="129"/>
      <c r="X248" s="129"/>
      <c r="Y248" s="127"/>
      <c r="AC248" s="129"/>
      <c r="AD248" s="129"/>
      <c r="AE248" s="127"/>
      <c r="AI248" s="127"/>
      <c r="AJ248" s="127"/>
    </row>
    <row r="249" spans="1:59">
      <c r="C249" s="98"/>
      <c r="L249" s="174"/>
      <c r="M249" s="101"/>
      <c r="Q249" s="129"/>
      <c r="R249" s="129"/>
      <c r="S249" s="127"/>
      <c r="W249" s="129"/>
      <c r="X249" s="129"/>
      <c r="Y249" s="127"/>
      <c r="AC249" s="129"/>
      <c r="AD249" s="129"/>
      <c r="AE249" s="127"/>
      <c r="AI249" s="127"/>
      <c r="AJ249" s="127"/>
    </row>
    <row r="250" spans="1:59" s="75" customFormat="1">
      <c r="A250" s="73" t="s">
        <v>337</v>
      </c>
      <c r="B250" s="75" t="s">
        <v>387</v>
      </c>
      <c r="C250" s="103" t="s">
        <v>284</v>
      </c>
      <c r="D250" s="78">
        <f>VLOOKUP($C$250,Overview!$Q$2:$AS$64,23,FALSE)</f>
        <v>3.2868164116145109</v>
      </c>
      <c r="E250" s="78" t="str">
        <f>VLOOKUP($C$250,Overview!$Q$2:$AS$64,24,FALSE)</f>
        <v>high</v>
      </c>
      <c r="F250" s="75">
        <f>VLOOKUP(C250,Overview!$Q$2:$AS$64,13,FALSE)</f>
        <v>78</v>
      </c>
      <c r="G250" s="75">
        <f>VLOOKUP(C250,Overview!$Q$2:$AS$64,16,FALSE)</f>
        <v>12</v>
      </c>
      <c r="H250" s="75">
        <f>VLOOKUP(C250,Overview!$Q$2:$AS$64,18,FALSE)</f>
        <v>33</v>
      </c>
      <c r="I250" s="75">
        <f>VLOOKUP($C$250,Overview!$Q$2:$AS$64,19,FALSE)</f>
        <v>74</v>
      </c>
      <c r="K250" s="75" t="str">
        <f>VLOOKUP($C$250,Overview!$Q$2:$AS$64,5,FALSE)</f>
        <v>6-2, 5-1</v>
      </c>
      <c r="L250" s="96"/>
      <c r="M250" s="101"/>
      <c r="N250" s="115"/>
      <c r="O250" s="97"/>
      <c r="P250" s="97"/>
      <c r="Q250" s="130"/>
      <c r="R250" s="130"/>
      <c r="S250" s="128"/>
      <c r="T250" s="115"/>
      <c r="U250" s="97"/>
      <c r="V250" s="97"/>
      <c r="W250" s="130"/>
      <c r="X250" s="130"/>
      <c r="Y250" s="128"/>
      <c r="Z250" s="115"/>
      <c r="AA250" s="97"/>
      <c r="AB250" s="97"/>
      <c r="AC250" s="130"/>
      <c r="AD250" s="130"/>
      <c r="AE250" s="128"/>
      <c r="AF250" s="115"/>
      <c r="AG250" s="97"/>
      <c r="AH250" s="97"/>
      <c r="AI250" s="128"/>
      <c r="AJ250" s="132"/>
      <c r="AK250" s="97"/>
      <c r="AL250" s="115"/>
      <c r="AM250" s="122"/>
      <c r="AN250" s="101"/>
      <c r="AQ250" s="101"/>
      <c r="AR250" s="101"/>
      <c r="AV250" s="119"/>
      <c r="AW250" s="101"/>
      <c r="AX250" s="101"/>
      <c r="AY250" s="101"/>
      <c r="AZ250" s="101"/>
      <c r="BA250" s="101"/>
      <c r="BB250" s="83"/>
      <c r="BD250" s="101"/>
    </row>
    <row r="251" spans="1:59">
      <c r="A251" t="s">
        <v>305</v>
      </c>
      <c r="C251" s="98"/>
      <c r="L251" s="174"/>
      <c r="M251" s="104"/>
      <c r="Q251" s="129"/>
      <c r="R251" s="129"/>
      <c r="S251" s="127"/>
      <c r="W251" s="129"/>
      <c r="X251" s="129"/>
      <c r="Y251" s="127"/>
      <c r="AC251" s="129"/>
      <c r="AD251" s="129"/>
      <c r="AE251" s="127"/>
      <c r="AI251" s="127"/>
      <c r="AJ251" s="127"/>
      <c r="AW251" s="101">
        <f>($F$250-N251)/$F$250</f>
        <v>1</v>
      </c>
      <c r="AY251" s="101">
        <f>($G$250-AN251)/$G$250</f>
        <v>1</v>
      </c>
      <c r="AZ251" s="101" t="e">
        <f>AR251/AQ251</f>
        <v>#DIV/0!</v>
      </c>
      <c r="BA251" s="101" t="e">
        <f>AT251/AS251</f>
        <v>#DIV/0!</v>
      </c>
      <c r="BB251" s="85" t="e">
        <f>(AW251+AY251+AZ251+BA251)/4</f>
        <v>#DIV/0!</v>
      </c>
      <c r="BC251" s="13">
        <f>AP251/$H$250</f>
        <v>0</v>
      </c>
      <c r="BD251" s="118" t="e">
        <f>AV251/AP251</f>
        <v>#DIV/0!</v>
      </c>
      <c r="BE251" s="13" t="e">
        <f>AO251/AP251</f>
        <v>#DIV/0!</v>
      </c>
      <c r="BF251" s="13">
        <f>AT251/$H$250</f>
        <v>0</v>
      </c>
      <c r="BG251" s="13">
        <f>AR251/$H$250</f>
        <v>0</v>
      </c>
    </row>
    <row r="252" spans="1:59">
      <c r="A252" t="s">
        <v>306</v>
      </c>
      <c r="C252" s="98"/>
      <c r="L252" s="174"/>
      <c r="M252" s="104"/>
      <c r="Q252" s="129"/>
      <c r="R252" s="129"/>
      <c r="S252" s="127"/>
      <c r="W252" s="129"/>
      <c r="X252" s="129"/>
      <c r="Y252" s="127"/>
      <c r="AC252" s="129"/>
      <c r="AD252" s="129"/>
      <c r="AE252" s="127"/>
      <c r="AI252" s="127"/>
      <c r="AJ252" s="127"/>
      <c r="AW252" s="101">
        <f>($F$250-N252)/$F$250</f>
        <v>1</v>
      </c>
      <c r="AY252" s="101">
        <f>($G$250-AN252)/$G$250</f>
        <v>1</v>
      </c>
      <c r="AZ252" s="101" t="e">
        <f>AR252/AQ252</f>
        <v>#DIV/0!</v>
      </c>
      <c r="BA252" s="101" t="e">
        <f>AT252/AS252</f>
        <v>#DIV/0!</v>
      </c>
      <c r="BB252" s="85" t="e">
        <f>(AW252+AY252+AZ252+BA252)/4</f>
        <v>#DIV/0!</v>
      </c>
      <c r="BC252" s="13">
        <f>AP252/$H$250</f>
        <v>0</v>
      </c>
      <c r="BD252" s="118" t="e">
        <f>AV252/AP252</f>
        <v>#DIV/0!</v>
      </c>
      <c r="BE252" s="13" t="e">
        <f>AO252/AP252</f>
        <v>#DIV/0!</v>
      </c>
      <c r="BF252" s="13">
        <f>AT252/$H$250</f>
        <v>0</v>
      </c>
      <c r="BG252" s="13">
        <f>AR252/$H$250</f>
        <v>0</v>
      </c>
    </row>
    <row r="253" spans="1:59">
      <c r="A253" t="s">
        <v>307</v>
      </c>
      <c r="C253" s="98"/>
      <c r="L253" s="174"/>
      <c r="M253" s="104"/>
      <c r="Q253" s="129"/>
      <c r="R253" s="129"/>
      <c r="S253" s="127"/>
      <c r="W253" s="129"/>
      <c r="X253" s="129"/>
      <c r="Y253" s="127"/>
      <c r="AC253" s="129"/>
      <c r="AD253" s="129"/>
      <c r="AE253" s="127"/>
      <c r="AI253" s="127"/>
      <c r="AJ253" s="127"/>
      <c r="AW253" s="101">
        <f>($F$250-N253)/$F$250</f>
        <v>1</v>
      </c>
      <c r="AY253" s="101">
        <f>($G$250-AN253)/$G$250</f>
        <v>1</v>
      </c>
      <c r="AZ253" s="101" t="e">
        <f>AR253/AQ253</f>
        <v>#DIV/0!</v>
      </c>
      <c r="BA253" s="101" t="e">
        <f>AT253/AS253</f>
        <v>#DIV/0!</v>
      </c>
      <c r="BB253" s="85" t="e">
        <f>(AW253+AY253+AZ253+BA253)/4</f>
        <v>#DIV/0!</v>
      </c>
      <c r="BC253" s="13">
        <f>AP253/$H$250</f>
        <v>0</v>
      </c>
      <c r="BD253" s="118" t="e">
        <f>AV253/AP253</f>
        <v>#DIV/0!</v>
      </c>
      <c r="BE253" s="13" t="e">
        <f>AO253/AP253</f>
        <v>#DIV/0!</v>
      </c>
      <c r="BF253" s="13">
        <f>AT253/$H$250</f>
        <v>0</v>
      </c>
      <c r="BG253" s="13">
        <f>AR253/$H$250</f>
        <v>0</v>
      </c>
    </row>
    <row r="254" spans="1:59">
      <c r="A254" t="s">
        <v>308</v>
      </c>
      <c r="C254" s="98"/>
      <c r="L254" s="174"/>
      <c r="M254" s="104"/>
      <c r="Q254" s="129"/>
      <c r="R254" s="129"/>
      <c r="S254" s="127"/>
      <c r="W254" s="129"/>
      <c r="X254" s="129"/>
      <c r="Y254" s="127"/>
      <c r="AC254" s="129"/>
      <c r="AD254" s="129"/>
      <c r="AE254" s="127"/>
      <c r="AI254" s="127"/>
      <c r="AJ254" s="127"/>
      <c r="AW254" s="101">
        <f>($F$250-N254)/$F$250</f>
        <v>1</v>
      </c>
      <c r="AY254" s="101">
        <f>($G$250-AN254)/$G$250</f>
        <v>1</v>
      </c>
      <c r="AZ254" s="101" t="e">
        <f>AR254/AQ254</f>
        <v>#DIV/0!</v>
      </c>
      <c r="BA254" s="101" t="e">
        <f>AT254/AS254</f>
        <v>#DIV/0!</v>
      </c>
      <c r="BB254" s="85" t="e">
        <f>(AW254+AY254+AZ254+BA254)/4</f>
        <v>#DIV/0!</v>
      </c>
      <c r="BC254" s="13">
        <f>AP254/$H$250</f>
        <v>0</v>
      </c>
      <c r="BD254" s="118" t="e">
        <f>AV254/AP254</f>
        <v>#DIV/0!</v>
      </c>
      <c r="BE254" s="13" t="e">
        <f>AO254/AP254</f>
        <v>#DIV/0!</v>
      </c>
      <c r="BF254" s="13">
        <f>AT254/$H$250</f>
        <v>0</v>
      </c>
      <c r="BG254" s="13">
        <f>AR254/$H$250</f>
        <v>0</v>
      </c>
    </row>
    <row r="255" spans="1:59">
      <c r="A255" t="s">
        <v>309</v>
      </c>
      <c r="C255" s="98"/>
      <c r="L255" s="174"/>
      <c r="M255" s="101"/>
      <c r="Q255" s="129"/>
      <c r="R255" s="129"/>
      <c r="S255" s="127"/>
      <c r="W255" s="129"/>
      <c r="X255" s="129"/>
      <c r="Y255" s="127"/>
      <c r="AC255" s="129"/>
      <c r="AD255" s="129"/>
      <c r="AE255" s="127"/>
      <c r="AI255" s="127"/>
      <c r="AJ255" s="127"/>
    </row>
    <row r="256" spans="1:59">
      <c r="A256" t="s">
        <v>667</v>
      </c>
      <c r="C256" s="98"/>
      <c r="L256" s="174"/>
      <c r="M256" s="101"/>
      <c r="Q256" s="129"/>
      <c r="R256" s="129"/>
      <c r="S256" s="127"/>
      <c r="W256" s="129"/>
      <c r="X256" s="129"/>
      <c r="Y256" s="127"/>
      <c r="AC256" s="129"/>
      <c r="AD256" s="129"/>
      <c r="AE256" s="127"/>
      <c r="AI256" s="127"/>
      <c r="AJ256" s="127"/>
    </row>
    <row r="257" spans="1:59">
      <c r="C257" s="98"/>
      <c r="L257" s="174"/>
      <c r="M257" s="101"/>
      <c r="Q257" s="129"/>
      <c r="R257" s="129"/>
      <c r="S257" s="127"/>
      <c r="W257" s="129"/>
      <c r="X257" s="129"/>
      <c r="Y257" s="127"/>
      <c r="AC257" s="129"/>
      <c r="AD257" s="129"/>
      <c r="AE257" s="127"/>
      <c r="AI257" s="127"/>
      <c r="AJ257" s="127"/>
    </row>
    <row r="258" spans="1:59" s="75" customFormat="1">
      <c r="A258" s="75" t="s">
        <v>338</v>
      </c>
      <c r="B258" s="95">
        <v>45179</v>
      </c>
      <c r="C258" s="103" t="s">
        <v>170</v>
      </c>
      <c r="D258" s="78">
        <f>VLOOKUP($C$258,Overview!$Q$2:$AS$64,23,FALSE)</f>
        <v>5.4716830818645583</v>
      </c>
      <c r="E258" s="78" t="str">
        <f>VLOOKUP($C$258,Overview!$Q$2:$AS$64,24,FALSE)</f>
        <v>high</v>
      </c>
      <c r="F258" s="75">
        <f>VLOOKUP(C258,Overview!$Q$2:$AS$64,13,FALSE)</f>
        <v>116</v>
      </c>
      <c r="G258" s="75">
        <f>VLOOKUP(C258,Overview!$Q$2:$AS$64,16,FALSE)</f>
        <v>15</v>
      </c>
      <c r="H258" s="75">
        <f>VLOOKUP(C258,Overview!$Q$2:$AS$64,18,FALSE)</f>
        <v>49</v>
      </c>
      <c r="I258" s="75">
        <f>VLOOKUP($C$258,Overview!$Q$2:$AS$64,19,FALSE)</f>
        <v>111</v>
      </c>
      <c r="K258" s="75" t="str">
        <f>VLOOKUP($C$258,Overview!$Q$2:$AS$64,5,FALSE)</f>
        <v>6-2, 5-1</v>
      </c>
      <c r="L258" s="96"/>
      <c r="M258" s="101"/>
      <c r="N258" s="115"/>
      <c r="O258" s="97"/>
      <c r="P258" s="97"/>
      <c r="Q258" s="130"/>
      <c r="R258" s="130"/>
      <c r="S258" s="128"/>
      <c r="T258" s="115"/>
      <c r="U258" s="97"/>
      <c r="V258" s="97"/>
      <c r="W258" s="130"/>
      <c r="X258" s="130"/>
      <c r="Y258" s="128"/>
      <c r="Z258" s="115"/>
      <c r="AA258" s="97"/>
      <c r="AB258" s="97"/>
      <c r="AC258" s="130"/>
      <c r="AD258" s="130"/>
      <c r="AE258" s="128"/>
      <c r="AF258" s="115"/>
      <c r="AG258" s="97"/>
      <c r="AH258" s="97"/>
      <c r="AI258" s="128"/>
      <c r="AJ258" s="132"/>
      <c r="AK258" s="97"/>
      <c r="AL258" s="115"/>
      <c r="AM258" s="122"/>
      <c r="AN258" s="101"/>
      <c r="AQ258" s="101"/>
      <c r="AR258" s="101"/>
      <c r="AV258" s="119"/>
      <c r="AW258" s="101"/>
      <c r="AX258" s="101"/>
      <c r="AY258" s="101"/>
      <c r="AZ258" s="101"/>
      <c r="BA258" s="101"/>
      <c r="BB258" s="83"/>
      <c r="BD258" s="101"/>
    </row>
    <row r="259" spans="1:59">
      <c r="A259" t="s">
        <v>305</v>
      </c>
      <c r="C259" s="98"/>
      <c r="L259" s="174"/>
      <c r="M259" s="105" t="s">
        <v>647</v>
      </c>
      <c r="Q259" s="129"/>
      <c r="R259" s="129"/>
      <c r="S259" s="127"/>
      <c r="W259" s="129"/>
      <c r="X259" s="129"/>
      <c r="Y259" s="127"/>
      <c r="AC259" s="129"/>
      <c r="AD259" s="129"/>
      <c r="AE259" s="127"/>
      <c r="AI259" s="127"/>
      <c r="AJ259" s="127"/>
      <c r="AW259" s="101">
        <f>($F$258-N259)/$F$258</f>
        <v>1</v>
      </c>
      <c r="AY259" s="101">
        <f>($G$258-AN259)/$G$258</f>
        <v>1</v>
      </c>
      <c r="AZ259" s="101" t="e">
        <f>AR259/AQ259</f>
        <v>#DIV/0!</v>
      </c>
      <c r="BA259" s="101" t="e">
        <f>AT259/AS259</f>
        <v>#DIV/0!</v>
      </c>
      <c r="BB259" s="85" t="e">
        <f>(AW259+AY259+AZ259+BA259)/4</f>
        <v>#DIV/0!</v>
      </c>
      <c r="BC259" s="13">
        <f>AP259/$H$258</f>
        <v>0</v>
      </c>
      <c r="BD259" s="118" t="e">
        <f>AV259/AP259</f>
        <v>#DIV/0!</v>
      </c>
      <c r="BE259" s="13" t="e">
        <f>AO259/AP259</f>
        <v>#DIV/0!</v>
      </c>
      <c r="BF259" s="13">
        <f>AT259/$H$258</f>
        <v>0</v>
      </c>
      <c r="BG259" s="13">
        <f>AR259/$H$258</f>
        <v>0</v>
      </c>
    </row>
    <row r="260" spans="1:59">
      <c r="A260" t="s">
        <v>306</v>
      </c>
      <c r="C260" s="98"/>
      <c r="L260" s="174"/>
      <c r="M260" s="104"/>
      <c r="Q260" s="129"/>
      <c r="R260" s="129"/>
      <c r="S260" s="127"/>
      <c r="W260" s="129"/>
      <c r="X260" s="129"/>
      <c r="Y260" s="127"/>
      <c r="AC260" s="129"/>
      <c r="AD260" s="129"/>
      <c r="AE260" s="127"/>
      <c r="AI260" s="127"/>
      <c r="AJ260" s="127"/>
      <c r="AW260" s="101">
        <f>($F$258-N260)/$F$258</f>
        <v>1</v>
      </c>
      <c r="AY260" s="101">
        <f>($G$258-AN260)/$G$258</f>
        <v>1</v>
      </c>
      <c r="AZ260" s="101" t="e">
        <f>AR260/AQ260</f>
        <v>#DIV/0!</v>
      </c>
      <c r="BA260" s="101" t="e">
        <f>AT260/AS260</f>
        <v>#DIV/0!</v>
      </c>
      <c r="BB260" s="85" t="e">
        <f>(AW260+AY260+AZ260+BA260)/4</f>
        <v>#DIV/0!</v>
      </c>
      <c r="BC260" s="13">
        <f>AP260/$H$258</f>
        <v>0</v>
      </c>
      <c r="BD260" s="118" t="e">
        <f>AV260/AP260</f>
        <v>#DIV/0!</v>
      </c>
      <c r="BE260" s="13" t="e">
        <f>AO260/AP260</f>
        <v>#DIV/0!</v>
      </c>
      <c r="BF260" s="13">
        <f>AT260/$H$258</f>
        <v>0</v>
      </c>
      <c r="BG260" s="13">
        <f>AR260/$H$258</f>
        <v>0</v>
      </c>
    </row>
    <row r="261" spans="1:59">
      <c r="A261" t="s">
        <v>307</v>
      </c>
      <c r="C261" s="98"/>
      <c r="L261" s="174"/>
      <c r="M261" s="104"/>
      <c r="Q261" s="129"/>
      <c r="R261" s="129"/>
      <c r="S261" s="127"/>
      <c r="W261" s="129"/>
      <c r="X261" s="129"/>
      <c r="Y261" s="127"/>
      <c r="AC261" s="129"/>
      <c r="AD261" s="129"/>
      <c r="AE261" s="127"/>
      <c r="AI261" s="127"/>
      <c r="AJ261" s="127"/>
      <c r="AW261" s="101">
        <f>($F$258-N261)/$F$258</f>
        <v>1</v>
      </c>
      <c r="AY261" s="101">
        <f>($G$258-AN261)/$G$258</f>
        <v>1</v>
      </c>
      <c r="AZ261" s="101" t="e">
        <f>AR261/AQ261</f>
        <v>#DIV/0!</v>
      </c>
      <c r="BA261" s="101" t="e">
        <f>AT261/AS261</f>
        <v>#DIV/0!</v>
      </c>
      <c r="BB261" s="85" t="e">
        <f>(AW261+AY261+AZ261+BA261)/4</f>
        <v>#DIV/0!</v>
      </c>
      <c r="BC261" s="13">
        <f>AP261/$H$258</f>
        <v>0</v>
      </c>
      <c r="BD261" s="118" t="e">
        <f>AV261/AP261</f>
        <v>#DIV/0!</v>
      </c>
      <c r="BE261" s="13" t="e">
        <f>AO261/AP261</f>
        <v>#DIV/0!</v>
      </c>
      <c r="BF261" s="13">
        <f>AT261/$H$258</f>
        <v>0</v>
      </c>
      <c r="BG261" s="13">
        <f>AR261/$H$258</f>
        <v>0</v>
      </c>
    </row>
    <row r="262" spans="1:59">
      <c r="A262" t="s">
        <v>308</v>
      </c>
      <c r="C262" s="98"/>
      <c r="L262" s="174"/>
      <c r="M262" s="104"/>
      <c r="Q262" s="129"/>
      <c r="R262" s="129"/>
      <c r="S262" s="127"/>
      <c r="W262" s="129"/>
      <c r="X262" s="129"/>
      <c r="Y262" s="127"/>
      <c r="AC262" s="129"/>
      <c r="AD262" s="129"/>
      <c r="AE262" s="127"/>
      <c r="AI262" s="127"/>
      <c r="AJ262" s="127"/>
      <c r="AW262" s="101">
        <f>($F$258-N262)/$F$258</f>
        <v>1</v>
      </c>
      <c r="AY262" s="101">
        <f>($G$258-AN262)/$G$258</f>
        <v>1</v>
      </c>
      <c r="AZ262" s="101" t="e">
        <f>AR262/AQ262</f>
        <v>#DIV/0!</v>
      </c>
      <c r="BA262" s="101" t="e">
        <f>AT262/AS262</f>
        <v>#DIV/0!</v>
      </c>
      <c r="BB262" s="85" t="e">
        <f>(AW262+AY262+AZ262+BA262)/4</f>
        <v>#DIV/0!</v>
      </c>
      <c r="BC262" s="13">
        <f>AP262/$H$258</f>
        <v>0</v>
      </c>
      <c r="BD262" s="118" t="e">
        <f>AV262/AP262</f>
        <v>#DIV/0!</v>
      </c>
      <c r="BE262" s="13" t="e">
        <f>AO262/AP262</f>
        <v>#DIV/0!</v>
      </c>
      <c r="BF262" s="13">
        <f>AT262/$H$258</f>
        <v>0</v>
      </c>
      <c r="BG262" s="13">
        <f>AR262/$H$258</f>
        <v>0</v>
      </c>
    </row>
    <row r="263" spans="1:59">
      <c r="A263" t="s">
        <v>309</v>
      </c>
      <c r="L263" s="174"/>
      <c r="M263" s="101"/>
    </row>
    <row r="264" spans="1:59">
      <c r="A264" t="s">
        <v>667</v>
      </c>
      <c r="L264" s="174"/>
      <c r="M264" s="101"/>
    </row>
    <row r="265" spans="1:59">
      <c r="L265" s="174"/>
      <c r="M265" s="101"/>
    </row>
    <row r="266" spans="1:59" s="75" customFormat="1">
      <c r="A266" s="75" t="s">
        <v>340</v>
      </c>
      <c r="C266" s="103" t="s">
        <v>286</v>
      </c>
      <c r="D266" s="78">
        <f>VLOOKUP($C$266,Overview!$Q$2:$AS$64,23,FALSE)</f>
        <v>6.0997715230117224</v>
      </c>
      <c r="E266" s="78" t="str">
        <f>VLOOKUP($C$266,Overview!$Q$2:$AS$64,24,FALSE)</f>
        <v>high</v>
      </c>
      <c r="F266" s="75">
        <f>VLOOKUP(C266,Overview!$Q$2:$AS$64,13,FALSE)</f>
        <v>109</v>
      </c>
      <c r="G266" s="75">
        <f>VLOOKUP(C266,Overview!$Q$2:$AS$64,16,FALSE)</f>
        <v>11</v>
      </c>
      <c r="H266" s="75">
        <f>VLOOKUP(C266,Overview!$Q$2:$AS$64,18,FALSE)</f>
        <v>49</v>
      </c>
      <c r="I266" s="75">
        <f>VLOOKUP($C$266,Overview!$Q$2:$AS$64,19,FALSE)</f>
        <v>103</v>
      </c>
      <c r="K266" s="75" t="str">
        <f>VLOOKUP($C$266,Overview!$Q$2:$AS$64,5,FALSE)</f>
        <v>5-2, 3-8</v>
      </c>
      <c r="L266" s="96"/>
      <c r="M266" s="101"/>
      <c r="N266" s="115"/>
      <c r="O266" s="97"/>
      <c r="P266" s="97"/>
      <c r="Q266" s="124"/>
      <c r="R266" s="124"/>
      <c r="S266" s="80"/>
      <c r="T266" s="115"/>
      <c r="U266" s="97"/>
      <c r="V266" s="97"/>
      <c r="W266" s="124"/>
      <c r="X266" s="124"/>
      <c r="Y266" s="80"/>
      <c r="Z266" s="115"/>
      <c r="AA266" s="97"/>
      <c r="AB266" s="97"/>
      <c r="AC266" s="124"/>
      <c r="AD266" s="124"/>
      <c r="AE266" s="80"/>
      <c r="AF266" s="115"/>
      <c r="AG266" s="97"/>
      <c r="AH266" s="97"/>
      <c r="AI266" s="80"/>
      <c r="AJ266" s="97"/>
      <c r="AK266" s="97"/>
      <c r="AL266" s="115"/>
      <c r="AM266" s="122"/>
      <c r="AN266" s="101"/>
      <c r="AQ266" s="101"/>
      <c r="AR266" s="101"/>
      <c r="AV266" s="119"/>
      <c r="AW266" s="101"/>
      <c r="AX266" s="101"/>
      <c r="AY266" s="101"/>
      <c r="AZ266" s="101"/>
      <c r="BA266" s="101"/>
      <c r="BB266" s="83"/>
      <c r="BD266" s="101"/>
    </row>
    <row r="267" spans="1:59">
      <c r="A267" t="s">
        <v>305</v>
      </c>
      <c r="C267" s="98"/>
      <c r="M267" s="101"/>
    </row>
    <row r="268" spans="1:59">
      <c r="A268" t="s">
        <v>306</v>
      </c>
      <c r="C268" s="98"/>
      <c r="M268" s="101"/>
    </row>
    <row r="269" spans="1:59">
      <c r="A269" t="s">
        <v>307</v>
      </c>
      <c r="C269" s="98"/>
      <c r="M269" s="101"/>
    </row>
    <row r="270" spans="1:59">
      <c r="A270" t="s">
        <v>308</v>
      </c>
      <c r="C270" s="98"/>
      <c r="M270" s="101"/>
    </row>
    <row r="272" spans="1:59" s="75" customFormat="1">
      <c r="A272" s="75" t="s">
        <v>341</v>
      </c>
      <c r="C272" s="103" t="s">
        <v>283</v>
      </c>
      <c r="D272" s="78">
        <f>VLOOKUP($C$272,Overview!$Q$2:$AS$64,23,FALSE)</f>
        <v>6.2745035499085571</v>
      </c>
      <c r="E272" s="78" t="str">
        <f>VLOOKUP($C$272,Overview!$Q$2:$AS$64,24,FALSE)</f>
        <v>high</v>
      </c>
      <c r="F272" s="75">
        <f>VLOOKUP(C272,Overview!$Q$2:$AS$64,13,FALSE)</f>
        <v>110</v>
      </c>
      <c r="G272" s="75">
        <f>VLOOKUP(C272,Overview!$Q$2:$AS$64,16,FALSE)</f>
        <v>13</v>
      </c>
      <c r="H272" s="75">
        <f>VLOOKUP(C272,Overview!$Q$2:$AS$64,18,FALSE)</f>
        <v>48</v>
      </c>
      <c r="I272" s="75">
        <f>VLOOKUP($C$272,Overview!$Q$2:$AS$64,19,FALSE)</f>
        <v>104</v>
      </c>
      <c r="K272" s="75" t="str">
        <f>VLOOKUP($C$272,Overview!$Q$2:$AS$64,5,FALSE)</f>
        <v>5-2, 3-8</v>
      </c>
      <c r="L272" s="96"/>
      <c r="M272" s="101"/>
      <c r="N272" s="115"/>
      <c r="O272" s="97"/>
      <c r="P272" s="97"/>
      <c r="Q272" s="124"/>
      <c r="R272" s="124"/>
      <c r="S272" s="80"/>
      <c r="T272" s="115"/>
      <c r="U272" s="97"/>
      <c r="V272" s="97"/>
      <c r="W272" s="124"/>
      <c r="X272" s="124"/>
      <c r="Y272" s="80"/>
      <c r="Z272" s="115"/>
      <c r="AA272" s="97"/>
      <c r="AB272" s="97"/>
      <c r="AC272" s="124"/>
      <c r="AD272" s="124"/>
      <c r="AE272" s="80"/>
      <c r="AF272" s="115"/>
      <c r="AG272" s="97"/>
      <c r="AH272" s="97"/>
      <c r="AI272" s="80"/>
      <c r="AJ272" s="97"/>
      <c r="AK272" s="97"/>
      <c r="AL272" s="115"/>
      <c r="AM272" s="122"/>
      <c r="AN272" s="101"/>
      <c r="AQ272" s="101"/>
      <c r="AR272" s="101"/>
      <c r="AV272" s="119"/>
      <c r="AW272" s="101"/>
      <c r="AX272" s="101"/>
      <c r="AY272" s="101"/>
      <c r="AZ272" s="101"/>
      <c r="BA272" s="101"/>
      <c r="BB272" s="83"/>
      <c r="BD272" s="101"/>
    </row>
    <row r="273" spans="1:56">
      <c r="A273" t="s">
        <v>305</v>
      </c>
      <c r="C273" s="98"/>
      <c r="M273" s="101"/>
    </row>
    <row r="274" spans="1:56">
      <c r="A274" t="s">
        <v>306</v>
      </c>
      <c r="C274" s="98"/>
      <c r="M274" s="101"/>
    </row>
    <row r="275" spans="1:56">
      <c r="A275" t="s">
        <v>307</v>
      </c>
      <c r="C275" s="98"/>
      <c r="M275" s="101"/>
    </row>
    <row r="276" spans="1:56">
      <c r="A276" t="s">
        <v>308</v>
      </c>
      <c r="C276" s="98"/>
      <c r="M276" s="101"/>
    </row>
    <row r="277" spans="1:56">
      <c r="C277" s="98"/>
      <c r="M277" s="14"/>
    </row>
    <row r="278" spans="1:56" s="75" customFormat="1">
      <c r="A278" s="73" t="s">
        <v>339</v>
      </c>
      <c r="B278" s="95">
        <v>45179</v>
      </c>
      <c r="C278" s="103" t="s">
        <v>141</v>
      </c>
      <c r="D278" s="78">
        <f>VLOOKUP($C$278,Overview!$Q$2:$AS$64,23,FALSE)</f>
        <v>7.1416786799633689</v>
      </c>
      <c r="E278" s="78" t="str">
        <f>VLOOKUP($C$278,Overview!$Q$2:$AS$64,24,FALSE)</f>
        <v>high</v>
      </c>
      <c r="F278" s="75">
        <f>VLOOKUP(C278,Overview!$Q$2:$AS$64,13,FALSE)</f>
        <v>130</v>
      </c>
      <c r="G278" s="75">
        <f>VLOOKUP(C278,Overview!$Q$2:$AS$64,16,FALSE)</f>
        <v>16</v>
      </c>
      <c r="H278" s="75">
        <f>VLOOKUP(C278,Overview!$Q$2:$AS$64,18,FALSE)</f>
        <v>50</v>
      </c>
      <c r="I278" s="75">
        <f>VLOOKUP($C$278,Overview!$Q$2:$AS$64,19,FALSE)</f>
        <v>126</v>
      </c>
      <c r="K278" s="75" t="str">
        <f>VLOOKUP($C$278,Overview!$Q$2:$AS$64,5,FALSE)</f>
        <v>6-2, 3-8</v>
      </c>
      <c r="L278" s="96"/>
      <c r="M278" s="101"/>
      <c r="N278" s="115"/>
      <c r="O278" s="97"/>
      <c r="P278" s="97"/>
      <c r="Q278" s="124"/>
      <c r="R278" s="124"/>
      <c r="S278" s="80"/>
      <c r="T278" s="115"/>
      <c r="U278" s="97"/>
      <c r="V278" s="97"/>
      <c r="W278" s="124"/>
      <c r="X278" s="124"/>
      <c r="Y278" s="80"/>
      <c r="Z278" s="115"/>
      <c r="AA278" s="97"/>
      <c r="AB278" s="97"/>
      <c r="AC278" s="124"/>
      <c r="AD278" s="124"/>
      <c r="AE278" s="80"/>
      <c r="AF278" s="115"/>
      <c r="AG278" s="97"/>
      <c r="AH278" s="97"/>
      <c r="AI278" s="80"/>
      <c r="AJ278" s="97"/>
      <c r="AK278" s="97"/>
      <c r="AL278" s="115"/>
      <c r="AM278" s="122"/>
      <c r="AN278" s="101"/>
      <c r="AQ278" s="101"/>
      <c r="AR278" s="101"/>
      <c r="AV278" s="119"/>
      <c r="AW278" s="101"/>
      <c r="AX278" s="101"/>
      <c r="AY278" s="101"/>
      <c r="AZ278" s="101"/>
      <c r="BA278" s="101"/>
      <c r="BB278" s="83"/>
      <c r="BD278" s="101"/>
    </row>
    <row r="279" spans="1:56">
      <c r="A279" t="s">
        <v>305</v>
      </c>
      <c r="C279" s="98"/>
      <c r="M279" s="105" t="s">
        <v>392</v>
      </c>
    </row>
    <row r="280" spans="1:56">
      <c r="A280" t="s">
        <v>306</v>
      </c>
      <c r="C280" s="98"/>
      <c r="M280" s="104"/>
    </row>
    <row r="281" spans="1:56">
      <c r="A281" t="s">
        <v>307</v>
      </c>
      <c r="C281" s="98"/>
      <c r="M281" s="101"/>
    </row>
    <row r="282" spans="1:56">
      <c r="A282" t="s">
        <v>308</v>
      </c>
      <c r="C282" s="98"/>
      <c r="M282" s="101"/>
    </row>
    <row r="284" spans="1:56" s="75" customFormat="1">
      <c r="A284" s="75" t="s">
        <v>342</v>
      </c>
      <c r="C284" s="103" t="s">
        <v>140</v>
      </c>
      <c r="D284" s="78">
        <f>VLOOKUP($C$284,Overview!$Q$2:$AS$64,23,FALSE)</f>
        <v>12.011083863483384</v>
      </c>
      <c r="E284" s="78" t="str">
        <f>VLOOKUP($C$284,Overview!$Q$2:$AS$64,24,FALSE)</f>
        <v>high</v>
      </c>
      <c r="F284" s="75">
        <f>VLOOKUP(C284,Overview!$Q$2:$AS$64,13,FALSE)</f>
        <v>169</v>
      </c>
      <c r="G284" s="75">
        <f>VLOOKUP(C284,Overview!$Q$2:$AS$64,16,FALSE)</f>
        <v>18</v>
      </c>
      <c r="H284" s="75">
        <f>VLOOKUP(C284,Overview!$Q$2:$AS$64,18,FALSE)</f>
        <v>59</v>
      </c>
      <c r="I284" s="75">
        <f>VLOOKUP($C$284,Overview!$Q$2:$AS$64,19,FALSE)</f>
        <v>165</v>
      </c>
      <c r="K284" s="75" t="str">
        <f>VLOOKUP($C$284,Overview!$Q$2:$AS$64,5,FALSE)</f>
        <v>6-2, 3-8</v>
      </c>
      <c r="L284" s="96"/>
      <c r="M284" s="101"/>
      <c r="N284" s="115"/>
      <c r="O284" s="97"/>
      <c r="P284" s="97"/>
      <c r="Q284" s="124"/>
      <c r="R284" s="124"/>
      <c r="S284" s="80"/>
      <c r="T284" s="115"/>
      <c r="U284" s="97"/>
      <c r="V284" s="97"/>
      <c r="W284" s="124"/>
      <c r="X284" s="124"/>
      <c r="Y284" s="80"/>
      <c r="Z284" s="115"/>
      <c r="AA284" s="97"/>
      <c r="AB284" s="97"/>
      <c r="AC284" s="124"/>
      <c r="AD284" s="124"/>
      <c r="AE284" s="80"/>
      <c r="AF284" s="115"/>
      <c r="AG284" s="97"/>
      <c r="AH284" s="97"/>
      <c r="AI284" s="80"/>
      <c r="AJ284" s="97"/>
      <c r="AK284" s="97"/>
      <c r="AL284" s="115"/>
      <c r="AM284" s="122"/>
      <c r="AN284" s="101"/>
      <c r="AQ284" s="101"/>
      <c r="AR284" s="101"/>
      <c r="AV284" s="119"/>
      <c r="AW284" s="101"/>
      <c r="AX284" s="101"/>
      <c r="AY284" s="101"/>
      <c r="AZ284" s="101"/>
      <c r="BA284" s="101"/>
      <c r="BB284" s="83"/>
      <c r="BD284" s="101"/>
    </row>
    <row r="285" spans="1:56">
      <c r="A285" t="s">
        <v>305</v>
      </c>
      <c r="C285" s="98"/>
      <c r="M285" s="101"/>
    </row>
    <row r="286" spans="1:56">
      <c r="A286" t="s">
        <v>306</v>
      </c>
      <c r="C286" s="98"/>
      <c r="M286" s="101"/>
    </row>
    <row r="287" spans="1:56">
      <c r="A287" t="s">
        <v>307</v>
      </c>
      <c r="C287" s="98"/>
      <c r="M287" s="101"/>
    </row>
    <row r="288" spans="1:56">
      <c r="A288" t="s">
        <v>308</v>
      </c>
      <c r="C288" s="98"/>
      <c r="M288" s="101"/>
    </row>
    <row r="289" spans="3:35" s="41" customFormat="1">
      <c r="C289" s="133"/>
      <c r="L289" s="134"/>
      <c r="Q289" s="27"/>
      <c r="R289" s="27"/>
      <c r="S289" s="33"/>
      <c r="W289" s="27"/>
      <c r="X289" s="27"/>
      <c r="Y289" s="33"/>
      <c r="AC289" s="27"/>
      <c r="AD289" s="27"/>
      <c r="AE289" s="33"/>
      <c r="AI289" s="33"/>
    </row>
    <row r="290" spans="3:35" s="41" customFormat="1">
      <c r="C290" s="133"/>
      <c r="L290" s="134"/>
      <c r="Q290" s="27"/>
      <c r="R290" s="27"/>
      <c r="S290" s="33"/>
      <c r="W290" s="27"/>
      <c r="X290" s="27"/>
      <c r="Y290" s="33"/>
      <c r="AC290" s="27"/>
      <c r="AD290" s="27"/>
      <c r="AE290" s="33"/>
      <c r="AI290" s="33"/>
    </row>
    <row r="291" spans="3:35" s="41" customFormat="1">
      <c r="C291" s="133"/>
      <c r="L291" s="134"/>
      <c r="Q291" s="27"/>
      <c r="R291" s="27"/>
      <c r="S291" s="33"/>
      <c r="W291" s="27"/>
      <c r="X291" s="27"/>
      <c r="Y291" s="33"/>
      <c r="AC291" s="27"/>
      <c r="AD291" s="27"/>
      <c r="AE291" s="33"/>
      <c r="AI291" s="33"/>
    </row>
    <row r="292" spans="3:35" s="41" customFormat="1">
      <c r="C292" s="133"/>
      <c r="L292" s="134"/>
      <c r="Q292" s="27"/>
      <c r="R292" s="27"/>
      <c r="S292" s="33"/>
      <c r="W292" s="27"/>
      <c r="X292" s="27"/>
      <c r="Y292" s="33"/>
      <c r="AC292" s="27"/>
      <c r="AD292" s="27"/>
      <c r="AE292" s="33"/>
      <c r="AI292" s="33"/>
    </row>
    <row r="293" spans="3:35" s="41" customFormat="1">
      <c r="C293" s="133"/>
      <c r="L293" s="134"/>
      <c r="Q293" s="27"/>
      <c r="R293" s="27"/>
      <c r="S293" s="33"/>
      <c r="W293" s="27"/>
      <c r="X293" s="27"/>
      <c r="Y293" s="33"/>
      <c r="AC293" s="27"/>
      <c r="AD293" s="27"/>
      <c r="AE293" s="33"/>
      <c r="AI293" s="33"/>
    </row>
    <row r="294" spans="3:35" s="41" customFormat="1">
      <c r="C294" s="133"/>
      <c r="L294" s="134"/>
      <c r="Q294" s="27"/>
      <c r="R294" s="27"/>
      <c r="S294" s="33"/>
      <c r="W294" s="27"/>
      <c r="X294" s="27"/>
      <c r="Y294" s="33"/>
      <c r="AC294" s="27"/>
      <c r="AD294" s="27"/>
      <c r="AE294" s="33"/>
      <c r="AI294" s="33"/>
    </row>
    <row r="295" spans="3:35" s="41" customFormat="1">
      <c r="C295" s="133"/>
      <c r="L295" s="134"/>
      <c r="Q295" s="27"/>
      <c r="R295" s="27"/>
      <c r="S295" s="33"/>
      <c r="W295" s="27"/>
      <c r="X295" s="27"/>
      <c r="Y295" s="33"/>
      <c r="AC295" s="27"/>
      <c r="AD295" s="27"/>
      <c r="AE295" s="33"/>
      <c r="AI295" s="33"/>
    </row>
    <row r="296" spans="3:35" s="41" customFormat="1">
      <c r="C296" s="133"/>
      <c r="L296" s="134"/>
      <c r="Q296" s="27"/>
      <c r="R296" s="27"/>
      <c r="S296" s="33"/>
      <c r="W296" s="27"/>
      <c r="X296" s="27"/>
      <c r="Y296" s="33"/>
      <c r="AC296" s="27"/>
      <c r="AD296" s="27"/>
      <c r="AE296" s="33"/>
      <c r="AI296" s="33"/>
    </row>
    <row r="297" spans="3:35" s="41" customFormat="1">
      <c r="C297" s="133"/>
      <c r="L297" s="134"/>
      <c r="Q297" s="27"/>
      <c r="R297" s="27"/>
      <c r="S297" s="33"/>
      <c r="W297" s="27"/>
      <c r="X297" s="27"/>
      <c r="Y297" s="33"/>
      <c r="AC297" s="27"/>
      <c r="AD297" s="27"/>
      <c r="AE297" s="33"/>
      <c r="AI297" s="33"/>
    </row>
    <row r="298" spans="3:35" s="41" customFormat="1">
      <c r="C298" s="133"/>
      <c r="L298" s="134"/>
      <c r="Q298" s="27"/>
      <c r="R298" s="27"/>
      <c r="S298" s="33"/>
      <c r="W298" s="27"/>
      <c r="X298" s="27"/>
      <c r="Y298" s="33"/>
      <c r="AC298" s="27"/>
      <c r="AD298" s="27"/>
      <c r="AE298" s="33"/>
      <c r="AI298" s="33"/>
    </row>
    <row r="299" spans="3:35" s="41" customFormat="1">
      <c r="C299" s="133"/>
      <c r="L299" s="134"/>
      <c r="Q299" s="27"/>
      <c r="R299" s="27"/>
      <c r="S299" s="33"/>
      <c r="W299" s="27"/>
      <c r="X299" s="27"/>
      <c r="Y299" s="33"/>
      <c r="AC299" s="27"/>
      <c r="AD299" s="27"/>
      <c r="AE299" s="33"/>
      <c r="AI299" s="33"/>
    </row>
    <row r="300" spans="3:35" s="41" customFormat="1">
      <c r="C300" s="133"/>
      <c r="L300" s="134"/>
      <c r="Q300" s="27"/>
      <c r="R300" s="27"/>
      <c r="S300" s="33"/>
      <c r="W300" s="27"/>
      <c r="X300" s="27"/>
      <c r="Y300" s="33"/>
      <c r="AC300" s="27"/>
      <c r="AD300" s="27"/>
      <c r="AE300" s="33"/>
      <c r="AI300" s="33"/>
    </row>
    <row r="301" spans="3:35" s="41" customFormat="1">
      <c r="C301" s="133"/>
      <c r="L301" s="134"/>
      <c r="Q301" s="27"/>
      <c r="R301" s="27"/>
      <c r="S301" s="33"/>
      <c r="W301" s="27"/>
      <c r="X301" s="27"/>
      <c r="Y301" s="33"/>
      <c r="AC301" s="27"/>
      <c r="AD301" s="27"/>
      <c r="AE301" s="33"/>
      <c r="AI301" s="33"/>
    </row>
    <row r="302" spans="3:35" s="41" customFormat="1">
      <c r="C302" s="133"/>
      <c r="L302" s="134"/>
      <c r="Q302" s="27"/>
      <c r="R302" s="27"/>
      <c r="S302" s="33"/>
      <c r="W302" s="27"/>
      <c r="X302" s="27"/>
      <c r="Y302" s="33"/>
      <c r="AC302" s="27"/>
      <c r="AD302" s="27"/>
      <c r="AE302" s="33"/>
      <c r="AI302" s="33"/>
    </row>
    <row r="303" spans="3:35" s="41" customFormat="1">
      <c r="C303" s="133"/>
      <c r="L303" s="134"/>
      <c r="Q303" s="27"/>
      <c r="R303" s="27"/>
      <c r="S303" s="33"/>
      <c r="W303" s="27"/>
      <c r="X303" s="27"/>
      <c r="Y303" s="33"/>
      <c r="AC303" s="27"/>
      <c r="AD303" s="27"/>
      <c r="AE303" s="33"/>
      <c r="AI303" s="33"/>
    </row>
    <row r="304" spans="3:35" s="41" customFormat="1">
      <c r="C304" s="133"/>
      <c r="L304" s="134"/>
      <c r="Q304" s="27"/>
      <c r="R304" s="27"/>
      <c r="S304" s="33"/>
      <c r="W304" s="27"/>
      <c r="X304" s="27"/>
      <c r="Y304" s="33"/>
      <c r="AC304" s="27"/>
      <c r="AD304" s="27"/>
      <c r="AE304" s="33"/>
      <c r="AI304" s="33"/>
    </row>
    <row r="305" spans="3:35" s="41" customFormat="1">
      <c r="C305" s="133"/>
      <c r="L305" s="134"/>
      <c r="Q305" s="27"/>
      <c r="R305" s="27"/>
      <c r="S305" s="33"/>
      <c r="W305" s="27"/>
      <c r="X305" s="27"/>
      <c r="Y305" s="33"/>
      <c r="AC305" s="27"/>
      <c r="AD305" s="27"/>
      <c r="AE305" s="33"/>
      <c r="AI305" s="33"/>
    </row>
    <row r="306" spans="3:35" s="41" customFormat="1">
      <c r="C306" s="133"/>
      <c r="L306" s="134"/>
      <c r="Q306" s="27"/>
      <c r="R306" s="27"/>
      <c r="S306" s="33"/>
      <c r="W306" s="27"/>
      <c r="X306" s="27"/>
      <c r="Y306" s="33"/>
      <c r="AC306" s="27"/>
      <c r="AD306" s="27"/>
      <c r="AE306" s="33"/>
      <c r="AI306" s="33"/>
    </row>
    <row r="307" spans="3:35" s="41" customFormat="1">
      <c r="C307" s="133"/>
      <c r="L307" s="134"/>
      <c r="Q307" s="27"/>
      <c r="R307" s="27"/>
      <c r="S307" s="33"/>
      <c r="W307" s="27"/>
      <c r="X307" s="27"/>
      <c r="Y307" s="33"/>
      <c r="AC307" s="27"/>
      <c r="AD307" s="27"/>
      <c r="AE307" s="33"/>
      <c r="AI307" s="33"/>
    </row>
    <row r="308" spans="3:35" s="41" customFormat="1">
      <c r="C308" s="133"/>
      <c r="L308" s="134"/>
      <c r="Q308" s="27"/>
      <c r="R308" s="27"/>
      <c r="S308" s="33"/>
      <c r="W308" s="27"/>
      <c r="X308" s="27"/>
      <c r="Y308" s="33"/>
      <c r="AC308" s="27"/>
      <c r="AD308" s="27"/>
      <c r="AE308" s="33"/>
      <c r="AI308" s="33"/>
    </row>
    <row r="309" spans="3:35" s="41" customFormat="1">
      <c r="C309" s="133"/>
      <c r="L309" s="134"/>
      <c r="Q309" s="27"/>
      <c r="R309" s="27"/>
      <c r="S309" s="33"/>
      <c r="W309" s="27"/>
      <c r="X309" s="27"/>
      <c r="Y309" s="33"/>
      <c r="AC309" s="27"/>
      <c r="AD309" s="27"/>
      <c r="AE309" s="33"/>
      <c r="AI309" s="33"/>
    </row>
    <row r="310" spans="3:35" s="41" customFormat="1">
      <c r="C310" s="133"/>
      <c r="L310" s="134"/>
      <c r="Q310" s="27"/>
      <c r="R310" s="27"/>
      <c r="S310" s="33"/>
      <c r="W310" s="27"/>
      <c r="X310" s="27"/>
      <c r="Y310" s="33"/>
      <c r="AC310" s="27"/>
      <c r="AD310" s="27"/>
      <c r="AE310" s="33"/>
      <c r="AI310" s="33"/>
    </row>
    <row r="311" spans="3:35" s="41" customFormat="1">
      <c r="C311" s="133"/>
      <c r="L311" s="134"/>
      <c r="Q311" s="27"/>
      <c r="R311" s="27"/>
      <c r="S311" s="33"/>
      <c r="W311" s="27"/>
      <c r="X311" s="27"/>
      <c r="Y311" s="33"/>
      <c r="AC311" s="27"/>
      <c r="AD311" s="27"/>
      <c r="AE311" s="33"/>
      <c r="AI311" s="33"/>
    </row>
    <row r="312" spans="3:35" s="41" customFormat="1">
      <c r="C312" s="133"/>
      <c r="L312" s="134"/>
      <c r="Q312" s="27"/>
      <c r="R312" s="27"/>
      <c r="S312" s="33"/>
      <c r="W312" s="27"/>
      <c r="X312" s="27"/>
      <c r="Y312" s="33"/>
      <c r="AC312" s="27"/>
      <c r="AD312" s="27"/>
      <c r="AE312" s="33"/>
      <c r="AI312" s="33"/>
    </row>
    <row r="313" spans="3:35" s="41" customFormat="1">
      <c r="C313" s="133"/>
      <c r="L313" s="134"/>
      <c r="Q313" s="27"/>
      <c r="R313" s="27"/>
      <c r="S313" s="33"/>
      <c r="W313" s="27"/>
      <c r="X313" s="27"/>
      <c r="Y313" s="33"/>
      <c r="AC313" s="27"/>
      <c r="AD313" s="27"/>
      <c r="AE313" s="33"/>
      <c r="AI313" s="33"/>
    </row>
    <row r="314" spans="3:35" s="41" customFormat="1">
      <c r="C314" s="133"/>
      <c r="L314" s="134"/>
      <c r="Q314" s="27"/>
      <c r="R314" s="27"/>
      <c r="S314" s="33"/>
      <c r="W314" s="27"/>
      <c r="X314" s="27"/>
      <c r="Y314" s="33"/>
      <c r="AC314" s="27"/>
      <c r="AD314" s="27"/>
      <c r="AE314" s="33"/>
      <c r="AI314" s="33"/>
    </row>
    <row r="315" spans="3:35" s="41" customFormat="1">
      <c r="C315" s="133"/>
      <c r="L315" s="134"/>
      <c r="Q315" s="27"/>
      <c r="R315" s="27"/>
      <c r="S315" s="33"/>
      <c r="W315" s="27"/>
      <c r="X315" s="27"/>
      <c r="Y315" s="33"/>
      <c r="AC315" s="27"/>
      <c r="AD315" s="27"/>
      <c r="AE315" s="33"/>
      <c r="AI315" s="33"/>
    </row>
    <row r="316" spans="3:35" s="41" customFormat="1">
      <c r="C316" s="133"/>
      <c r="L316" s="134"/>
      <c r="Q316" s="27"/>
      <c r="R316" s="27"/>
      <c r="S316" s="33"/>
      <c r="W316" s="27"/>
      <c r="X316" s="27"/>
      <c r="Y316" s="33"/>
      <c r="AC316" s="27"/>
      <c r="AD316" s="27"/>
      <c r="AE316" s="33"/>
      <c r="AI316" s="33"/>
    </row>
    <row r="317" spans="3:35" s="41" customFormat="1">
      <c r="C317" s="133"/>
      <c r="L317" s="134"/>
      <c r="Q317" s="27"/>
      <c r="R317" s="27"/>
      <c r="S317" s="33"/>
      <c r="W317" s="27"/>
      <c r="X317" s="27"/>
      <c r="Y317" s="33"/>
      <c r="AC317" s="27"/>
      <c r="AD317" s="27"/>
      <c r="AE317" s="33"/>
      <c r="AI317" s="33"/>
    </row>
    <row r="318" spans="3:35" s="41" customFormat="1">
      <c r="C318" s="133"/>
      <c r="L318" s="134"/>
      <c r="Q318" s="27"/>
      <c r="R318" s="27"/>
      <c r="S318" s="33"/>
      <c r="W318" s="27"/>
      <c r="X318" s="27"/>
      <c r="Y318" s="33"/>
      <c r="AC318" s="27"/>
      <c r="AD318" s="27"/>
      <c r="AE318" s="33"/>
      <c r="AI318" s="33"/>
    </row>
    <row r="319" spans="3:35" s="41" customFormat="1">
      <c r="C319" s="133"/>
      <c r="L319" s="134"/>
      <c r="Q319" s="27"/>
      <c r="R319" s="27"/>
      <c r="S319" s="33"/>
      <c r="W319" s="27"/>
      <c r="X319" s="27"/>
      <c r="Y319" s="33"/>
      <c r="AC319" s="27"/>
      <c r="AD319" s="27"/>
      <c r="AE319" s="33"/>
      <c r="AI319" s="33"/>
    </row>
    <row r="320" spans="3:35" s="41" customFormat="1">
      <c r="C320" s="133"/>
      <c r="L320" s="134"/>
      <c r="Q320" s="27"/>
      <c r="R320" s="27"/>
      <c r="S320" s="33"/>
      <c r="W320" s="27"/>
      <c r="X320" s="27"/>
      <c r="Y320" s="33"/>
      <c r="AC320" s="27"/>
      <c r="AD320" s="27"/>
      <c r="AE320" s="33"/>
      <c r="AI320" s="33"/>
    </row>
    <row r="321" spans="3:35" s="41" customFormat="1">
      <c r="C321" s="133"/>
      <c r="L321" s="134"/>
      <c r="Q321" s="27"/>
      <c r="R321" s="27"/>
      <c r="S321" s="33"/>
      <c r="W321" s="27"/>
      <c r="X321" s="27"/>
      <c r="Y321" s="33"/>
      <c r="AC321" s="27"/>
      <c r="AD321" s="27"/>
      <c r="AE321" s="33"/>
      <c r="AI321" s="33"/>
    </row>
    <row r="322" spans="3:35" s="41" customFormat="1">
      <c r="C322" s="133"/>
      <c r="L322" s="134"/>
      <c r="Q322" s="27"/>
      <c r="R322" s="27"/>
      <c r="S322" s="33"/>
      <c r="W322" s="27"/>
      <c r="X322" s="27"/>
      <c r="Y322" s="33"/>
      <c r="AC322" s="27"/>
      <c r="AD322" s="27"/>
      <c r="AE322" s="33"/>
      <c r="AI322" s="33"/>
    </row>
    <row r="323" spans="3:35" s="41" customFormat="1">
      <c r="C323" s="133"/>
      <c r="L323" s="134"/>
      <c r="Q323" s="27"/>
      <c r="R323" s="27"/>
      <c r="S323" s="33"/>
      <c r="W323" s="27"/>
      <c r="X323" s="27"/>
      <c r="Y323" s="33"/>
      <c r="AC323" s="27"/>
      <c r="AD323" s="27"/>
      <c r="AE323" s="33"/>
      <c r="AI323" s="33"/>
    </row>
    <row r="324" spans="3:35" s="41" customFormat="1">
      <c r="C324" s="133"/>
      <c r="L324" s="134"/>
      <c r="Q324" s="27"/>
      <c r="R324" s="27"/>
      <c r="S324" s="33"/>
      <c r="W324" s="27"/>
      <c r="X324" s="27"/>
      <c r="Y324" s="33"/>
      <c r="AC324" s="27"/>
      <c r="AD324" s="27"/>
      <c r="AE324" s="33"/>
      <c r="AI324" s="33"/>
    </row>
    <row r="325" spans="3:35" s="41" customFormat="1">
      <c r="C325" s="133"/>
      <c r="L325" s="134"/>
      <c r="Q325" s="27"/>
      <c r="R325" s="27"/>
      <c r="S325" s="33"/>
      <c r="W325" s="27"/>
      <c r="X325" s="27"/>
      <c r="Y325" s="33"/>
      <c r="AC325" s="27"/>
      <c r="AD325" s="27"/>
      <c r="AE325" s="33"/>
      <c r="AI325" s="33"/>
    </row>
    <row r="326" spans="3:35" s="41" customFormat="1">
      <c r="C326" s="133"/>
      <c r="L326" s="134"/>
      <c r="Q326" s="27"/>
      <c r="R326" s="27"/>
      <c r="S326" s="33"/>
      <c r="W326" s="27"/>
      <c r="X326" s="27"/>
      <c r="Y326" s="33"/>
      <c r="AC326" s="27"/>
      <c r="AD326" s="27"/>
      <c r="AE326" s="33"/>
      <c r="AI326" s="33"/>
    </row>
    <row r="327" spans="3:35" s="41" customFormat="1">
      <c r="C327" s="133"/>
      <c r="L327" s="134"/>
      <c r="Q327" s="27"/>
      <c r="R327" s="27"/>
      <c r="S327" s="33"/>
      <c r="W327" s="27"/>
      <c r="X327" s="27"/>
      <c r="Y327" s="33"/>
      <c r="AC327" s="27"/>
      <c r="AD327" s="27"/>
      <c r="AE327" s="33"/>
      <c r="AI327" s="33"/>
    </row>
    <row r="328" spans="3:35" s="41" customFormat="1">
      <c r="C328" s="133"/>
      <c r="L328" s="134"/>
      <c r="Q328" s="27"/>
      <c r="R328" s="27"/>
      <c r="S328" s="33"/>
      <c r="W328" s="27"/>
      <c r="X328" s="27"/>
      <c r="Y328" s="33"/>
      <c r="AC328" s="27"/>
      <c r="AD328" s="27"/>
      <c r="AE328" s="33"/>
      <c r="AI328" s="33"/>
    </row>
    <row r="329" spans="3:35" s="41" customFormat="1">
      <c r="C329" s="133"/>
      <c r="L329" s="134"/>
      <c r="Q329" s="27"/>
      <c r="R329" s="27"/>
      <c r="S329" s="33"/>
      <c r="W329" s="27"/>
      <c r="X329" s="27"/>
      <c r="Y329" s="33"/>
      <c r="AC329" s="27"/>
      <c r="AD329" s="27"/>
      <c r="AE329" s="33"/>
      <c r="AI329" s="33"/>
    </row>
    <row r="330" spans="3:35" s="41" customFormat="1">
      <c r="C330" s="133"/>
      <c r="L330" s="134"/>
      <c r="Q330" s="27"/>
      <c r="R330" s="27"/>
      <c r="S330" s="33"/>
      <c r="W330" s="27"/>
      <c r="X330" s="27"/>
      <c r="Y330" s="33"/>
      <c r="AC330" s="27"/>
      <c r="AD330" s="27"/>
      <c r="AE330" s="33"/>
      <c r="AI330" s="33"/>
    </row>
    <row r="331" spans="3:35" s="41" customFormat="1">
      <c r="C331" s="133"/>
      <c r="L331" s="134"/>
      <c r="Q331" s="27"/>
      <c r="R331" s="27"/>
      <c r="S331" s="33"/>
      <c r="W331" s="27"/>
      <c r="X331" s="27"/>
      <c r="Y331" s="33"/>
      <c r="AC331" s="27"/>
      <c r="AD331" s="27"/>
      <c r="AE331" s="33"/>
      <c r="AI331" s="33"/>
    </row>
    <row r="332" spans="3:35" s="41" customFormat="1">
      <c r="C332" s="133"/>
      <c r="L332" s="134"/>
      <c r="Q332" s="27"/>
      <c r="R332" s="27"/>
      <c r="S332" s="33"/>
      <c r="W332" s="27"/>
      <c r="X332" s="27"/>
      <c r="Y332" s="33"/>
      <c r="AC332" s="27"/>
      <c r="AD332" s="27"/>
      <c r="AE332" s="33"/>
      <c r="AI332" s="33"/>
    </row>
    <row r="333" spans="3:35" s="41" customFormat="1">
      <c r="C333" s="133"/>
      <c r="L333" s="134"/>
      <c r="Q333" s="27"/>
      <c r="R333" s="27"/>
      <c r="S333" s="33"/>
      <c r="W333" s="27"/>
      <c r="X333" s="27"/>
      <c r="Y333" s="33"/>
      <c r="AC333" s="27"/>
      <c r="AD333" s="27"/>
      <c r="AE333" s="33"/>
      <c r="AI333" s="33"/>
    </row>
    <row r="334" spans="3:35" s="41" customFormat="1">
      <c r="C334" s="133"/>
      <c r="L334" s="134"/>
      <c r="Q334" s="27"/>
      <c r="R334" s="27"/>
      <c r="S334" s="33"/>
      <c r="W334" s="27"/>
      <c r="X334" s="27"/>
      <c r="Y334" s="33"/>
      <c r="AC334" s="27"/>
      <c r="AD334" s="27"/>
      <c r="AE334" s="33"/>
      <c r="AI334" s="33"/>
    </row>
    <row r="335" spans="3:35" s="41" customFormat="1">
      <c r="C335" s="133"/>
      <c r="L335" s="134"/>
      <c r="Q335" s="27"/>
      <c r="R335" s="27"/>
      <c r="S335" s="33"/>
      <c r="W335" s="27"/>
      <c r="X335" s="27"/>
      <c r="Y335" s="33"/>
      <c r="AC335" s="27"/>
      <c r="AD335" s="27"/>
      <c r="AE335" s="33"/>
      <c r="AI335" s="33"/>
    </row>
    <row r="336" spans="3:35" s="41" customFormat="1">
      <c r="C336" s="133"/>
      <c r="L336" s="134"/>
      <c r="Q336" s="27"/>
      <c r="R336" s="27"/>
      <c r="S336" s="33"/>
      <c r="W336" s="27"/>
      <c r="X336" s="27"/>
      <c r="Y336" s="33"/>
      <c r="AC336" s="27"/>
      <c r="AD336" s="27"/>
      <c r="AE336" s="33"/>
      <c r="AI336" s="33"/>
    </row>
    <row r="337" spans="3:35" s="41" customFormat="1">
      <c r="C337" s="133"/>
      <c r="L337" s="134"/>
      <c r="Q337" s="27"/>
      <c r="R337" s="27"/>
      <c r="S337" s="33"/>
      <c r="W337" s="27"/>
      <c r="X337" s="27"/>
      <c r="Y337" s="33"/>
      <c r="AC337" s="27"/>
      <c r="AD337" s="27"/>
      <c r="AE337" s="33"/>
      <c r="AI337" s="33"/>
    </row>
    <row r="338" spans="3:35" s="41" customFormat="1">
      <c r="C338" s="133"/>
      <c r="L338" s="134"/>
      <c r="Q338" s="27"/>
      <c r="R338" s="27"/>
      <c r="S338" s="33"/>
      <c r="W338" s="27"/>
      <c r="X338" s="27"/>
      <c r="Y338" s="33"/>
      <c r="AC338" s="27"/>
      <c r="AD338" s="27"/>
      <c r="AE338" s="33"/>
      <c r="AI338" s="33"/>
    </row>
    <row r="339" spans="3:35" s="41" customFormat="1">
      <c r="C339" s="133"/>
      <c r="L339" s="134"/>
      <c r="Q339" s="27"/>
      <c r="R339" s="27"/>
      <c r="S339" s="33"/>
      <c r="W339" s="27"/>
      <c r="X339" s="27"/>
      <c r="Y339" s="33"/>
      <c r="AC339" s="27"/>
      <c r="AD339" s="27"/>
      <c r="AE339" s="33"/>
      <c r="AI339" s="33"/>
    </row>
    <row r="340" spans="3:35" s="41" customFormat="1">
      <c r="C340" s="133"/>
      <c r="L340" s="134"/>
      <c r="Q340" s="27"/>
      <c r="R340" s="27"/>
      <c r="S340" s="33"/>
      <c r="W340" s="27"/>
      <c r="X340" s="27"/>
      <c r="Y340" s="33"/>
      <c r="AC340" s="27"/>
      <c r="AD340" s="27"/>
      <c r="AE340" s="33"/>
      <c r="AI340" s="33"/>
    </row>
    <row r="341" spans="3:35" s="41" customFormat="1">
      <c r="C341" s="133"/>
      <c r="L341" s="134"/>
      <c r="Q341" s="27"/>
      <c r="R341" s="27"/>
      <c r="S341" s="33"/>
      <c r="W341" s="27"/>
      <c r="X341" s="27"/>
      <c r="Y341" s="33"/>
      <c r="AC341" s="27"/>
      <c r="AD341" s="27"/>
      <c r="AE341" s="33"/>
      <c r="AI341" s="33"/>
    </row>
    <row r="342" spans="3:35" s="41" customFormat="1">
      <c r="C342" s="133"/>
      <c r="L342" s="134"/>
      <c r="Q342" s="27"/>
      <c r="R342" s="27"/>
      <c r="S342" s="33"/>
      <c r="W342" s="27"/>
      <c r="X342" s="27"/>
      <c r="Y342" s="33"/>
      <c r="AC342" s="27"/>
      <c r="AD342" s="27"/>
      <c r="AE342" s="33"/>
      <c r="AI342" s="33"/>
    </row>
    <row r="343" spans="3:35" s="41" customFormat="1">
      <c r="C343" s="133"/>
      <c r="L343" s="134"/>
      <c r="Q343" s="27"/>
      <c r="R343" s="27"/>
      <c r="S343" s="33"/>
      <c r="W343" s="27"/>
      <c r="X343" s="27"/>
      <c r="Y343" s="33"/>
      <c r="AC343" s="27"/>
      <c r="AD343" s="27"/>
      <c r="AE343" s="33"/>
      <c r="AI343" s="33"/>
    </row>
    <row r="344" spans="3:35" s="41" customFormat="1">
      <c r="C344" s="133"/>
      <c r="L344" s="134"/>
      <c r="Q344" s="27"/>
      <c r="R344" s="27"/>
      <c r="S344" s="33"/>
      <c r="W344" s="27"/>
      <c r="X344" s="27"/>
      <c r="Y344" s="33"/>
      <c r="AC344" s="27"/>
      <c r="AD344" s="27"/>
      <c r="AE344" s="33"/>
      <c r="AI344" s="33"/>
    </row>
  </sheetData>
  <phoneticPr fontId="4"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4674-93E7-8647-B734-AB7CF7404CC8}">
  <dimension ref="A1:AQ61"/>
  <sheetViews>
    <sheetView topLeftCell="N1" zoomScale="80" zoomScaleNormal="80" workbookViewId="0">
      <selection activeCell="X56" sqref="X56"/>
    </sheetView>
  </sheetViews>
  <sheetFormatPr baseColWidth="10" defaultRowHeight="15"/>
  <cols>
    <col min="2" max="2" width="7.5" customWidth="1"/>
    <col min="3" max="3" width="9.33203125" customWidth="1"/>
    <col min="4" max="4" width="10.6640625" customWidth="1"/>
    <col min="5" max="5" width="9.1640625" customWidth="1"/>
    <col min="6" max="8" width="8.33203125" customWidth="1"/>
    <col min="9" max="9" width="4.1640625" customWidth="1"/>
    <col min="16" max="16" width="5.5" customWidth="1"/>
    <col min="23" max="23" width="3.5" customWidth="1"/>
    <col min="30" max="30" width="3" customWidth="1"/>
  </cols>
  <sheetData>
    <row r="1" spans="1:43">
      <c r="B1" s="1" t="s">
        <v>521</v>
      </c>
      <c r="C1" s="1" t="s">
        <v>665</v>
      </c>
      <c r="D1" s="1" t="s">
        <v>666</v>
      </c>
      <c r="E1" s="1" t="s">
        <v>776</v>
      </c>
      <c r="F1" s="1" t="s">
        <v>777</v>
      </c>
      <c r="G1" s="1"/>
      <c r="H1" s="1"/>
    </row>
    <row r="2" spans="1:43">
      <c r="A2" s="1" t="s">
        <v>589</v>
      </c>
      <c r="B2" s="46">
        <f>AVERAGE(Results_exp2_1shot!S3:S224)</f>
        <v>0.87787763299688226</v>
      </c>
      <c r="C2" s="46">
        <f>AVERAGE(Results_exp2_1shot!Y3:Y224)</f>
        <v>0.86914510638978426</v>
      </c>
      <c r="D2" s="46">
        <f>AVERAGE(Results_exp2_1shot!AE3:AE224)</f>
        <v>0.83728702379723163</v>
      </c>
      <c r="E2" s="46">
        <f>AVERAGE(Results_exp2_1shot!AI3:AI224)</f>
        <v>0.6204642954568742</v>
      </c>
      <c r="F2" s="46">
        <f>AVERAGE(AE7:AJ21,AE27:AJ30,AE31,AG31:AJ31,AE32:AJ38,AE44:AJ44)</f>
        <v>0.97631591628597614</v>
      </c>
      <c r="G2" s="46"/>
      <c r="H2" s="46"/>
    </row>
    <row r="4" spans="1:43" s="182" customFormat="1">
      <c r="C4" s="330" t="s">
        <v>590</v>
      </c>
      <c r="D4" s="330"/>
      <c r="E4" s="330"/>
      <c r="F4" s="330"/>
      <c r="G4" s="330"/>
      <c r="H4" s="330"/>
      <c r="I4" s="195"/>
      <c r="J4" s="330" t="s">
        <v>591</v>
      </c>
      <c r="K4" s="330"/>
      <c r="L4" s="330"/>
      <c r="M4" s="330"/>
      <c r="N4" s="330"/>
      <c r="O4" s="330"/>
      <c r="P4" s="189"/>
      <c r="Q4" s="330" t="s">
        <v>592</v>
      </c>
      <c r="R4" s="330"/>
      <c r="S4" s="330"/>
      <c r="T4" s="330"/>
      <c r="U4" s="330"/>
      <c r="V4" s="330"/>
      <c r="W4" s="189"/>
      <c r="X4" s="330" t="s">
        <v>655</v>
      </c>
      <c r="Y4" s="330"/>
      <c r="Z4" s="330"/>
      <c r="AA4" s="330"/>
      <c r="AB4" s="330"/>
      <c r="AC4" s="330"/>
      <c r="AD4" s="189"/>
      <c r="AE4" s="330" t="s">
        <v>520</v>
      </c>
      <c r="AF4" s="330"/>
      <c r="AG4" s="330"/>
      <c r="AH4" s="330"/>
      <c r="AI4" s="330"/>
      <c r="AJ4" s="330"/>
      <c r="AL4" s="330" t="s">
        <v>773</v>
      </c>
      <c r="AM4" s="330"/>
      <c r="AN4" s="330"/>
      <c r="AO4" s="330"/>
      <c r="AP4" s="330"/>
      <c r="AQ4" s="330"/>
    </row>
    <row r="5" spans="1:43">
      <c r="A5" s="1" t="s">
        <v>654</v>
      </c>
      <c r="B5" s="1" t="s">
        <v>303</v>
      </c>
      <c r="C5" s="79" t="s">
        <v>305</v>
      </c>
      <c r="D5" s="79" t="s">
        <v>306</v>
      </c>
      <c r="E5" s="79" t="s">
        <v>307</v>
      </c>
      <c r="F5" s="79" t="s">
        <v>308</v>
      </c>
      <c r="G5" s="79" t="s">
        <v>309</v>
      </c>
      <c r="H5" s="79" t="s">
        <v>667</v>
      </c>
      <c r="I5" s="79"/>
      <c r="J5" s="79" t="s">
        <v>305</v>
      </c>
      <c r="K5" s="79" t="s">
        <v>306</v>
      </c>
      <c r="L5" s="79" t="s">
        <v>307</v>
      </c>
      <c r="M5" s="79" t="s">
        <v>308</v>
      </c>
      <c r="N5" s="79" t="s">
        <v>309</v>
      </c>
      <c r="O5" s="79" t="s">
        <v>667</v>
      </c>
      <c r="P5" s="79"/>
      <c r="Q5" s="79" t="s">
        <v>305</v>
      </c>
      <c r="R5" s="79" t="s">
        <v>306</v>
      </c>
      <c r="S5" s="79" t="s">
        <v>307</v>
      </c>
      <c r="T5" s="79" t="s">
        <v>308</v>
      </c>
      <c r="U5" s="79" t="s">
        <v>309</v>
      </c>
      <c r="V5" s="79" t="s">
        <v>667</v>
      </c>
      <c r="W5" s="79"/>
      <c r="X5" s="79" t="s">
        <v>305</v>
      </c>
      <c r="Y5" s="79" t="s">
        <v>306</v>
      </c>
      <c r="Z5" s="79" t="s">
        <v>307</v>
      </c>
      <c r="AA5" s="79" t="s">
        <v>308</v>
      </c>
      <c r="AB5" s="79" t="s">
        <v>309</v>
      </c>
      <c r="AC5" s="79" t="s">
        <v>667</v>
      </c>
      <c r="AD5" s="79"/>
      <c r="AE5" s="79" t="s">
        <v>305</v>
      </c>
      <c r="AF5" s="79" t="s">
        <v>306</v>
      </c>
      <c r="AG5" s="79" t="s">
        <v>307</v>
      </c>
      <c r="AH5" s="79" t="s">
        <v>308</v>
      </c>
      <c r="AI5" s="79" t="s">
        <v>309</v>
      </c>
      <c r="AJ5" s="79" t="s">
        <v>667</v>
      </c>
      <c r="AL5" s="79" t="s">
        <v>305</v>
      </c>
      <c r="AM5" s="79" t="s">
        <v>306</v>
      </c>
      <c r="AN5" s="79" t="s">
        <v>307</v>
      </c>
      <c r="AO5" s="79" t="s">
        <v>308</v>
      </c>
      <c r="AP5" s="79" t="s">
        <v>309</v>
      </c>
      <c r="AQ5" s="79" t="s">
        <v>667</v>
      </c>
    </row>
    <row r="6" spans="1:43" s="24" customFormat="1">
      <c r="A6" s="4" t="s">
        <v>656</v>
      </c>
      <c r="B6" s="4"/>
      <c r="C6" s="175"/>
      <c r="D6" s="175"/>
      <c r="E6" s="175"/>
      <c r="F6" s="175"/>
      <c r="G6" s="175"/>
      <c r="H6" s="175"/>
      <c r="I6" s="175"/>
      <c r="Q6" s="175"/>
      <c r="R6" s="175"/>
      <c r="S6" s="175"/>
      <c r="T6" s="175"/>
      <c r="U6" s="175"/>
      <c r="V6" s="175"/>
      <c r="W6" s="175"/>
      <c r="X6" s="175"/>
      <c r="Y6" s="175"/>
      <c r="Z6" s="175"/>
      <c r="AA6" s="175"/>
      <c r="AB6" s="175"/>
      <c r="AC6" s="175"/>
      <c r="AD6" s="175"/>
      <c r="AE6" s="175"/>
      <c r="AF6" s="175"/>
      <c r="AG6" s="175"/>
      <c r="AH6" s="175"/>
      <c r="AI6" s="175"/>
      <c r="AL6" s="179"/>
      <c r="AM6" s="179"/>
      <c r="AN6" s="179"/>
      <c r="AO6" s="179"/>
      <c r="AP6" s="179"/>
    </row>
    <row r="7" spans="1:43" s="14" customFormat="1">
      <c r="A7" s="14" t="s">
        <v>343</v>
      </c>
      <c r="B7" s="14" t="s">
        <v>156</v>
      </c>
      <c r="C7" s="192">
        <f>Results_exp2_1shot!S3</f>
        <v>0.96296296296296302</v>
      </c>
      <c r="D7" s="192">
        <f>Results_exp2_1shot!S4</f>
        <v>0.96296296296296302</v>
      </c>
      <c r="E7" s="192">
        <f>Results_exp2_1shot!S5</f>
        <v>0.96296296296296302</v>
      </c>
      <c r="F7" s="192">
        <f>Results_exp2_1shot!S6</f>
        <v>0.96296296296296302</v>
      </c>
      <c r="G7" s="192">
        <f>Results_exp2_1shot!S7</f>
        <v>0.96296296296296302</v>
      </c>
      <c r="H7" s="192">
        <f>Results_exp2_1shot!S8</f>
        <v>0.96296296296296302</v>
      </c>
      <c r="J7" s="192">
        <f>Results_exp2_1shot!Y3</f>
        <v>1</v>
      </c>
      <c r="K7" s="192">
        <f>Results_exp2_1shot!Y4</f>
        <v>1</v>
      </c>
      <c r="L7" s="192">
        <f>Results_exp2_1shot!Y5</f>
        <v>1</v>
      </c>
      <c r="M7" s="192">
        <f>Results_exp2_1shot!Y6</f>
        <v>1</v>
      </c>
      <c r="N7" s="192">
        <f>Results_exp2_1shot!Y7</f>
        <v>1</v>
      </c>
      <c r="O7" s="192">
        <f>Results_exp2_1shot!Y8</f>
        <v>1</v>
      </c>
      <c r="Q7" s="192">
        <f>Results_exp2_1shot!AE3</f>
        <v>0.95652173913043481</v>
      </c>
      <c r="R7" s="192">
        <f>Results_exp2_1shot!AE4</f>
        <v>0.95652173913043481</v>
      </c>
      <c r="S7" s="192">
        <f>Results_exp2_1shot!AE5</f>
        <v>0.95652173913043481</v>
      </c>
      <c r="T7" s="192">
        <f>Results_exp2_1shot!AE6</f>
        <v>0.95652173913043481</v>
      </c>
      <c r="U7" s="192">
        <f>Results_exp2_1shot!AE7</f>
        <v>0.95652173913043481</v>
      </c>
      <c r="V7" s="192">
        <f>Results_exp2_1shot!AE8</f>
        <v>0.95652173913043481</v>
      </c>
      <c r="W7" s="224"/>
      <c r="X7" s="192">
        <f>Results_exp2_1shot!AI3</f>
        <v>0.5</v>
      </c>
      <c r="Y7" s="192">
        <f>Results_exp2_1shot!AI4</f>
        <v>0.66666666666666663</v>
      </c>
      <c r="Z7" s="192">
        <f>Results_exp2_1shot!AI5</f>
        <v>1</v>
      </c>
      <c r="AA7" s="192">
        <f>Results_exp2_1shot!AI6</f>
        <v>1.3333333333333333</v>
      </c>
      <c r="AB7" s="192">
        <f>Results_exp2_1shot!AI7</f>
        <v>1.1666666666666667</v>
      </c>
      <c r="AC7" s="192">
        <f>Results_exp2_1shot!AI8</f>
        <v>1.3333333333333333</v>
      </c>
      <c r="AE7" s="192">
        <f>Results_exp2_1shot!AJ3</f>
        <v>1</v>
      </c>
      <c r="AF7" s="192">
        <f>Results_exp2_1shot!AJ4</f>
        <v>1</v>
      </c>
      <c r="AG7" s="192">
        <f>Results_exp2_1shot!AJ5</f>
        <v>1</v>
      </c>
      <c r="AH7" s="192">
        <f>Results_exp2_1shot!AJ6</f>
        <v>1</v>
      </c>
      <c r="AI7" s="192">
        <f>Results_exp2_1shot!AJ7</f>
        <v>1</v>
      </c>
      <c r="AJ7" s="192">
        <f>Results_exp2_1shot!AJ8</f>
        <v>1</v>
      </c>
      <c r="AL7" s="192">
        <v>174</v>
      </c>
      <c r="AM7" s="192">
        <v>196</v>
      </c>
      <c r="AN7" s="192">
        <f>Results_exp2_1shot!AQ5</f>
        <v>7</v>
      </c>
      <c r="AO7" s="192">
        <f>Results_exp2_1shot!AQ6</f>
        <v>9</v>
      </c>
      <c r="AP7" s="192">
        <f>Results_exp2_1shot!AQ7</f>
        <v>0</v>
      </c>
      <c r="AQ7" s="192">
        <f>Results_exp2_1shot!AQ8</f>
        <v>0</v>
      </c>
    </row>
    <row r="8" spans="1:43" s="14" customFormat="1">
      <c r="A8" s="14" t="s">
        <v>344</v>
      </c>
      <c r="B8" s="14" t="s">
        <v>151</v>
      </c>
      <c r="C8" s="192">
        <f>Results_exp2_1shot!S11</f>
        <v>0.61538461538461542</v>
      </c>
      <c r="D8" s="192">
        <f>Results_exp2_1shot!S12</f>
        <v>0.84615384615384615</v>
      </c>
      <c r="E8" s="192">
        <f>Results_exp2_1shot!S13</f>
        <v>0.61538461538461542</v>
      </c>
      <c r="F8" s="192">
        <f>Results_exp2_1shot!S14</f>
        <v>0.84615384615384615</v>
      </c>
      <c r="G8" s="192">
        <f>Results_exp2_1shot!S15</f>
        <v>0.92307692307692313</v>
      </c>
      <c r="H8" s="192">
        <f>Results_exp2_1shot!S16</f>
        <v>0.61538461538461542</v>
      </c>
      <c r="J8" s="192">
        <f>Results_exp2_1shot!Y11</f>
        <v>0.54545454545454541</v>
      </c>
      <c r="K8" s="192">
        <f>Results_exp2_1shot!Y12</f>
        <v>0.72727272727272718</v>
      </c>
      <c r="L8" s="192">
        <f>Results_exp2_1shot!Y13</f>
        <v>0.54545454545454541</v>
      </c>
      <c r="M8" s="192">
        <f>Results_exp2_1shot!Y14</f>
        <v>0.72727272727272718</v>
      </c>
      <c r="N8" s="192">
        <f>Results_exp2_1shot!Y15</f>
        <v>0.90909090909090906</v>
      </c>
      <c r="O8" s="192">
        <f>Results_exp2_1shot!Y16</f>
        <v>0.54545454545454541</v>
      </c>
      <c r="Q8" s="192">
        <f>Results_exp2_1shot!AE11</f>
        <v>0.84615384615384615</v>
      </c>
      <c r="R8" s="192">
        <f>Results_exp2_1shot!AE12</f>
        <v>0.84615384615384615</v>
      </c>
      <c r="S8" s="192">
        <f>Results_exp2_1shot!AE13</f>
        <v>0.84615384615384615</v>
      </c>
      <c r="T8" s="192">
        <f>Results_exp2_1shot!AE14</f>
        <v>0.84615384615384615</v>
      </c>
      <c r="U8" s="192">
        <f>Results_exp2_1shot!AE15</f>
        <v>0.84615384615384615</v>
      </c>
      <c r="V8" s="192">
        <f>Results_exp2_1shot!AE16</f>
        <v>0.84615384615384615</v>
      </c>
      <c r="W8" s="224"/>
      <c r="X8" s="192">
        <f>Results_exp2_1shot!AI11</f>
        <v>1.2857142857142858</v>
      </c>
      <c r="Y8" s="192">
        <f>Results_exp2_1shot!AI12</f>
        <v>1.5714285714285714</v>
      </c>
      <c r="Z8" s="192">
        <f>Results_exp2_1shot!AI13</f>
        <v>1.2857142857142858</v>
      </c>
      <c r="AA8" s="192">
        <f>Results_exp2_1shot!AI14</f>
        <v>1.1428571428571428</v>
      </c>
      <c r="AB8" s="192">
        <f>Results_exp2_1shot!AI15</f>
        <v>1.1428571428571428</v>
      </c>
      <c r="AC8" s="192">
        <f>Results_exp2_1shot!AI16</f>
        <v>1.2857142857142858</v>
      </c>
      <c r="AE8" s="192">
        <f>Results_exp2_1shot!AJ11</f>
        <v>1</v>
      </c>
      <c r="AF8" s="192">
        <f>Results_exp2_1shot!AJ12</f>
        <v>0.91666666666666663</v>
      </c>
      <c r="AG8" s="192">
        <f>Results_exp2_1shot!AJ13</f>
        <v>1</v>
      </c>
      <c r="AH8" s="192">
        <f>Results_exp2_1shot!AJ14</f>
        <v>0.88888888888888884</v>
      </c>
      <c r="AI8" s="192">
        <f>Results_exp2_1shot!AJ15</f>
        <v>0.88888888888888884</v>
      </c>
      <c r="AJ8" s="192">
        <f>Results_exp2_1shot!AJ16</f>
        <v>1</v>
      </c>
      <c r="AL8" s="280">
        <f>Results_exp2_1shot!AQ11</f>
        <v>7</v>
      </c>
      <c r="AM8" s="280">
        <f>Results_exp2_1shot!AQ12</f>
        <v>7</v>
      </c>
      <c r="AN8" s="280">
        <f>Results_exp2_1shot!AQ13</f>
        <v>7</v>
      </c>
      <c r="AO8" s="280">
        <f>Results_exp2_1shot!AQ14</f>
        <v>8</v>
      </c>
      <c r="AP8" s="280">
        <f>Results_exp2_1shot!AQ15</f>
        <v>0</v>
      </c>
      <c r="AQ8" s="280">
        <f>Results_exp2_1shot!AQ16</f>
        <v>0</v>
      </c>
    </row>
    <row r="9" spans="1:43" s="14" customFormat="1">
      <c r="A9" s="14" t="s">
        <v>312</v>
      </c>
      <c r="B9" s="14" t="s">
        <v>145</v>
      </c>
      <c r="C9" s="192">
        <f>Results_exp2_1shot!S19</f>
        <v>1</v>
      </c>
      <c r="D9" s="192">
        <f>Results_exp2_1shot!S20</f>
        <v>0.9285714285714286</v>
      </c>
      <c r="E9" s="192">
        <f>Results_exp2_1shot!S21</f>
        <v>0.9285714285714286</v>
      </c>
      <c r="F9" s="192">
        <f>Results_exp2_1shot!S22</f>
        <v>0.8571428571428571</v>
      </c>
      <c r="G9" s="192">
        <f>Results_exp2_1shot!S23</f>
        <v>0.7857142857142857</v>
      </c>
      <c r="H9" s="192">
        <f>Results_exp2_1shot!S24</f>
        <v>0.7857142857142857</v>
      </c>
      <c r="J9" s="192">
        <f>Results_exp2_1shot!Y19</f>
        <v>1</v>
      </c>
      <c r="K9" s="192">
        <f>Results_exp2_1shot!Y20</f>
        <v>0.8571428571428571</v>
      </c>
      <c r="L9" s="192">
        <f>Results_exp2_1shot!Y21</f>
        <v>0.8571428571428571</v>
      </c>
      <c r="M9" s="192">
        <f>Results_exp2_1shot!Y22</f>
        <v>0.7142857142857143</v>
      </c>
      <c r="N9" s="192">
        <f>Results_exp2_1shot!Y23</f>
        <v>0.61538461538461531</v>
      </c>
      <c r="O9" s="192">
        <f>Results_exp2_1shot!Y24</f>
        <v>0.61538461538461531</v>
      </c>
      <c r="Q9" s="192">
        <f>Results_exp2_1shot!AE19</f>
        <v>1</v>
      </c>
      <c r="R9" s="192">
        <f>Results_exp2_1shot!AE20</f>
        <v>0.9285714285714286</v>
      </c>
      <c r="S9" s="192">
        <f>Results_exp2_1shot!AE21</f>
        <v>0.8571428571428571</v>
      </c>
      <c r="T9" s="192">
        <f>Results_exp2_1shot!AE22</f>
        <v>0.9285714285714286</v>
      </c>
      <c r="U9" s="192">
        <f>Results_exp2_1shot!AE23</f>
        <v>0.9285714285714286</v>
      </c>
      <c r="V9" s="192">
        <f>Results_exp2_1shot!AE24</f>
        <v>0.9285714285714286</v>
      </c>
      <c r="W9" s="224"/>
      <c r="X9" s="192">
        <f>Results_exp2_1shot!AI19</f>
        <v>1.4285714285714286</v>
      </c>
      <c r="Y9" s="192">
        <f>Results_exp2_1shot!AI20</f>
        <v>1.5714285714285714</v>
      </c>
      <c r="Z9" s="192">
        <f>Results_exp2_1shot!AI21</f>
        <v>1.2857142857142858</v>
      </c>
      <c r="AA9" s="192">
        <f>Results_exp2_1shot!AI22</f>
        <v>0.8571428571428571</v>
      </c>
      <c r="AB9" s="192">
        <f>Results_exp2_1shot!AI23</f>
        <v>1.4285714285714286</v>
      </c>
      <c r="AC9" s="192">
        <f>Results_exp2_1shot!AI24</f>
        <v>1</v>
      </c>
      <c r="AE9" s="192">
        <f>Results_exp2_1shot!AJ19</f>
        <v>1</v>
      </c>
      <c r="AF9" s="192">
        <f>Results_exp2_1shot!AJ20</f>
        <v>1</v>
      </c>
      <c r="AG9" s="192">
        <f>Results_exp2_1shot!AJ21</f>
        <v>0.9</v>
      </c>
      <c r="AH9" s="192">
        <f>Results_exp2_1shot!AJ22</f>
        <v>0.8571428571428571</v>
      </c>
      <c r="AI9" s="192">
        <f>Results_exp2_1shot!AJ23</f>
        <v>1</v>
      </c>
      <c r="AJ9" s="192">
        <f>Results_exp2_1shot!AJ24</f>
        <v>0.875</v>
      </c>
      <c r="AL9" s="280">
        <f>Results_exp2_1shot!AQ19</f>
        <v>12</v>
      </c>
      <c r="AM9" s="280">
        <f>Results_exp2_1shot!AQ20</f>
        <v>10</v>
      </c>
      <c r="AN9" s="280">
        <f>Results_exp2_1shot!AQ21</f>
        <v>9</v>
      </c>
      <c r="AO9" s="280">
        <f>Results_exp2_1shot!AQ22</f>
        <v>14</v>
      </c>
      <c r="AP9" s="280">
        <f>Results_exp2_1shot!AQ23</f>
        <v>0</v>
      </c>
      <c r="AQ9" s="280">
        <f>Results_exp2_1shot!AQ24</f>
        <v>0</v>
      </c>
    </row>
    <row r="10" spans="1:43" s="14" customFormat="1">
      <c r="A10" s="14" t="s">
        <v>313</v>
      </c>
      <c r="B10" s="14" t="s">
        <v>143</v>
      </c>
      <c r="C10" s="192">
        <f>Results_exp2_1shot!S27</f>
        <v>1</v>
      </c>
      <c r="D10" s="192">
        <f>Results_exp2_1shot!S28</f>
        <v>1</v>
      </c>
      <c r="E10" s="192">
        <f>Results_exp2_1shot!S29</f>
        <v>1</v>
      </c>
      <c r="F10" s="192">
        <f>Results_exp2_1shot!S30</f>
        <v>1</v>
      </c>
      <c r="G10" s="192">
        <f>Results_exp2_1shot!S31</f>
        <v>1</v>
      </c>
      <c r="H10" s="192">
        <f>Results_exp2_1shot!S32</f>
        <v>1</v>
      </c>
      <c r="J10" s="192">
        <f>Results_exp2_1shot!Y27</f>
        <v>1</v>
      </c>
      <c r="K10" s="192">
        <f>Results_exp2_1shot!Y28</f>
        <v>1</v>
      </c>
      <c r="L10" s="192">
        <f>Results_exp2_1shot!Y29</f>
        <v>1</v>
      </c>
      <c r="M10" s="192">
        <f>Results_exp2_1shot!Y30</f>
        <v>1</v>
      </c>
      <c r="N10" s="192">
        <f>Results_exp2_1shot!Y31</f>
        <v>1</v>
      </c>
      <c r="O10" s="192">
        <f>Results_exp2_1shot!Y32</f>
        <v>1</v>
      </c>
      <c r="Q10" s="192">
        <f>Results_exp2_1shot!AE27</f>
        <v>1</v>
      </c>
      <c r="R10" s="192">
        <f>Results_exp2_1shot!AE28</f>
        <v>1</v>
      </c>
      <c r="S10" s="192">
        <f>Results_exp2_1shot!AE29</f>
        <v>1</v>
      </c>
      <c r="T10" s="192">
        <f>Results_exp2_1shot!AE30</f>
        <v>1</v>
      </c>
      <c r="U10" s="192">
        <f>Results_exp2_1shot!AE31</f>
        <v>1</v>
      </c>
      <c r="V10" s="192">
        <f>Results_exp2_1shot!AE32</f>
        <v>1</v>
      </c>
      <c r="W10" s="224"/>
      <c r="X10" s="192">
        <f>Results_exp2_1shot!AI27</f>
        <v>0.7</v>
      </c>
      <c r="Y10" s="192">
        <f>Results_exp2_1shot!AI28</f>
        <v>0.4</v>
      </c>
      <c r="Z10" s="192">
        <f>Results_exp2_1shot!AI29</f>
        <v>0.3</v>
      </c>
      <c r="AA10" s="192">
        <f>Results_exp2_1shot!AI30</f>
        <v>0.8</v>
      </c>
      <c r="AB10" s="192">
        <f>Results_exp2_1shot!AI31</f>
        <v>0.8</v>
      </c>
      <c r="AC10" s="192">
        <f>Results_exp2_1shot!AI32</f>
        <v>0.7</v>
      </c>
      <c r="AE10" s="192">
        <f>Results_exp2_1shot!AJ27</f>
        <v>1</v>
      </c>
      <c r="AF10" s="192">
        <f>Results_exp2_1shot!AJ28</f>
        <v>1</v>
      </c>
      <c r="AG10" s="192">
        <f>Results_exp2_1shot!AJ29</f>
        <v>1</v>
      </c>
      <c r="AH10" s="192">
        <f>Results_exp2_1shot!AJ30</f>
        <v>1</v>
      </c>
      <c r="AI10" s="192">
        <f>Results_exp2_1shot!AJ31</f>
        <v>1</v>
      </c>
      <c r="AJ10" s="192">
        <f>Results_exp2_1shot!AJ32</f>
        <v>1</v>
      </c>
      <c r="AL10" s="280">
        <f>Results_exp2_1shot!AQ27</f>
        <v>13</v>
      </c>
      <c r="AM10" s="280">
        <f>Results_exp2_1shot!AQ28</f>
        <v>12</v>
      </c>
      <c r="AN10" s="280">
        <f>Results_exp2_1shot!AQ29</f>
        <v>11</v>
      </c>
      <c r="AO10" s="280">
        <f>Results_exp2_1shot!AQ30</f>
        <v>12</v>
      </c>
      <c r="AP10" s="280">
        <f>Results_exp2_1shot!AQ31</f>
        <v>0</v>
      </c>
      <c r="AQ10" s="280">
        <f>Results_exp2_1shot!AQ32</f>
        <v>0</v>
      </c>
    </row>
    <row r="11" spans="1:43" s="14" customFormat="1">
      <c r="A11" s="14" t="s">
        <v>314</v>
      </c>
      <c r="B11" s="14" t="s">
        <v>173</v>
      </c>
      <c r="C11" s="192">
        <f>Results_exp2_1shot!S35</f>
        <v>0.94444444444444442</v>
      </c>
      <c r="D11" s="192">
        <f>Results_exp2_1shot!S36</f>
        <v>0.94444444444444442</v>
      </c>
      <c r="E11" s="192">
        <f>Results_exp2_1shot!S37</f>
        <v>0.91428571428571426</v>
      </c>
      <c r="F11" s="192">
        <f>Results_exp2_1shot!S38</f>
        <v>0.97297297297297303</v>
      </c>
      <c r="G11" s="192">
        <f>Results_exp2_1shot!S39</f>
        <v>0.97297297297297303</v>
      </c>
      <c r="H11" s="192">
        <f>Results_exp2_1shot!S40</f>
        <v>0.97297297297297303</v>
      </c>
      <c r="J11" s="192">
        <f>Results_exp2_1shot!Y35</f>
        <v>1</v>
      </c>
      <c r="K11" s="192">
        <f>Results_exp2_1shot!Y36</f>
        <v>1</v>
      </c>
      <c r="L11" s="192">
        <f>Results_exp2_1shot!Y37</f>
        <v>0.94117647058823528</v>
      </c>
      <c r="M11" s="192">
        <f>Results_exp2_1shot!Y38</f>
        <v>1</v>
      </c>
      <c r="N11" s="192">
        <f>Results_exp2_1shot!Y39</f>
        <v>1</v>
      </c>
      <c r="O11" s="192">
        <f>Results_exp2_1shot!Y40</f>
        <v>1</v>
      </c>
      <c r="Q11" s="192">
        <f>Results_exp2_1shot!AE35</f>
        <v>1</v>
      </c>
      <c r="R11" s="192">
        <f>Results_exp2_1shot!AE36</f>
        <v>0.9375</v>
      </c>
      <c r="S11" s="192">
        <f>Results_exp2_1shot!AE37</f>
        <v>0.90322580645161288</v>
      </c>
      <c r="T11" s="192">
        <f>Results_exp2_1shot!AE38</f>
        <v>0.96969696969696972</v>
      </c>
      <c r="U11" s="192">
        <f>Results_exp2_1shot!AE39</f>
        <v>0.96969696969696972</v>
      </c>
      <c r="V11" s="192">
        <f>Results_exp2_1shot!AE40</f>
        <v>0.96969696969696972</v>
      </c>
      <c r="W11" s="224"/>
      <c r="X11" s="192">
        <f>Results_exp2_1shot!AI35</f>
        <v>1.125</v>
      </c>
      <c r="Y11" s="192">
        <f>Results_exp2_1shot!AI36</f>
        <v>1.25</v>
      </c>
      <c r="Z11" s="192">
        <f>Results_exp2_1shot!AI37</f>
        <v>1.25</v>
      </c>
      <c r="AA11" s="192">
        <f>Results_exp2_1shot!AI38</f>
        <v>1.25</v>
      </c>
      <c r="AB11" s="192">
        <f>Results_exp2_1shot!AI39</f>
        <v>1.375</v>
      </c>
      <c r="AC11" s="192">
        <f>Results_exp2_1shot!AI40</f>
        <v>1.5</v>
      </c>
      <c r="AE11" s="192">
        <f>Results_exp2_1shot!AJ35</f>
        <v>1</v>
      </c>
      <c r="AF11" s="192">
        <f>Results_exp2_1shot!AJ36</f>
        <v>1</v>
      </c>
      <c r="AG11" s="192">
        <f>Results_exp2_1shot!AJ37</f>
        <v>1</v>
      </c>
      <c r="AH11" s="192">
        <f>Results_exp2_1shot!AJ38</f>
        <v>1</v>
      </c>
      <c r="AI11" s="192">
        <f>Results_exp2_1shot!AJ39</f>
        <v>1</v>
      </c>
      <c r="AJ11" s="192">
        <f>Results_exp2_1shot!AJ40</f>
        <v>1</v>
      </c>
      <c r="AL11" s="280">
        <f>Results_exp2_1shot!AQ35</f>
        <v>11</v>
      </c>
      <c r="AM11" s="280">
        <f>Results_exp2_1shot!AQ36</f>
        <v>10</v>
      </c>
      <c r="AN11" s="280">
        <f>Results_exp2_1shot!AQ37</f>
        <v>13</v>
      </c>
      <c r="AO11" s="280">
        <f>Results_exp2_1shot!AQ38</f>
        <v>9</v>
      </c>
      <c r="AP11" s="280">
        <f>Results_exp2_1shot!AQ39</f>
        <v>0</v>
      </c>
      <c r="AQ11" s="280">
        <f>Results_exp2_1shot!AQ40</f>
        <v>0</v>
      </c>
    </row>
    <row r="12" spans="1:43" s="14" customFormat="1">
      <c r="A12" s="14" t="s">
        <v>345</v>
      </c>
      <c r="B12" s="14" t="s">
        <v>152</v>
      </c>
      <c r="C12" s="192">
        <f>Results_exp2_1shot!S43</f>
        <v>1</v>
      </c>
      <c r="D12" s="192">
        <f>Results_exp2_1shot!S44</f>
        <v>1</v>
      </c>
      <c r="E12" s="192">
        <f>Results_exp2_1shot!S45</f>
        <v>1</v>
      </c>
      <c r="F12" s="192">
        <f>Results_exp2_1shot!S46</f>
        <v>1</v>
      </c>
      <c r="G12" s="192">
        <f>Results_exp2_1shot!S47</f>
        <v>1</v>
      </c>
      <c r="H12" s="192">
        <f>Results_exp2_1shot!S48</f>
        <v>1</v>
      </c>
      <c r="J12" s="192">
        <f>Results_exp2_1shot!Y43</f>
        <v>1</v>
      </c>
      <c r="K12" s="192">
        <f>Results_exp2_1shot!Y44</f>
        <v>1</v>
      </c>
      <c r="L12" s="192">
        <f>Results_exp2_1shot!Y45</f>
        <v>1</v>
      </c>
      <c r="M12" s="192">
        <f>Results_exp2_1shot!Y46</f>
        <v>1</v>
      </c>
      <c r="N12" s="192">
        <f>Results_exp2_1shot!Y47</f>
        <v>1</v>
      </c>
      <c r="O12" s="192">
        <f>Results_exp2_1shot!Y48</f>
        <v>1</v>
      </c>
      <c r="Q12" s="192">
        <f>Results_exp2_1shot!AE43</f>
        <v>1</v>
      </c>
      <c r="R12" s="192">
        <f>Results_exp2_1shot!AE44</f>
        <v>1</v>
      </c>
      <c r="S12" s="192">
        <f>Results_exp2_1shot!AE45</f>
        <v>1</v>
      </c>
      <c r="T12" s="192">
        <f>Results_exp2_1shot!AE46</f>
        <v>1</v>
      </c>
      <c r="U12" s="192">
        <f>Results_exp2_1shot!AE47</f>
        <v>1</v>
      </c>
      <c r="V12" s="192">
        <f>Results_exp2_1shot!AE48</f>
        <v>1</v>
      </c>
      <c r="W12" s="224"/>
      <c r="X12" s="192">
        <f>Results_exp2_1shot!AI43</f>
        <v>0.375</v>
      </c>
      <c r="Y12" s="192">
        <f>Results_exp2_1shot!AI44</f>
        <v>0.375</v>
      </c>
      <c r="Z12" s="192">
        <f>Results_exp2_1shot!AI45</f>
        <v>1</v>
      </c>
      <c r="AA12" s="192">
        <f>Results_exp2_1shot!AI46</f>
        <v>1</v>
      </c>
      <c r="AB12" s="192">
        <f>Results_exp2_1shot!AI47</f>
        <v>1.375</v>
      </c>
      <c r="AC12" s="192">
        <f>Results_exp2_1shot!AI48</f>
        <v>0.375</v>
      </c>
      <c r="AE12" s="192">
        <f>Results_exp2_1shot!AJ43</f>
        <v>1</v>
      </c>
      <c r="AF12" s="192">
        <f>Results_exp2_1shot!AJ44</f>
        <v>1</v>
      </c>
      <c r="AG12" s="192">
        <f>Results_exp2_1shot!AJ45</f>
        <v>1</v>
      </c>
      <c r="AH12" s="192">
        <f>Results_exp2_1shot!AJ46</f>
        <v>1</v>
      </c>
      <c r="AI12" s="192">
        <f>Results_exp2_1shot!AJ47</f>
        <v>1</v>
      </c>
      <c r="AJ12" s="192">
        <f>Results_exp2_1shot!AJ48</f>
        <v>1</v>
      </c>
      <c r="AL12" s="280">
        <f>Results_exp2_1shot!AQ43</f>
        <v>9</v>
      </c>
      <c r="AM12" s="280">
        <f>Results_exp2_1shot!AQ44</f>
        <v>9</v>
      </c>
      <c r="AN12" s="280">
        <f>Results_exp2_1shot!AQ45</f>
        <v>11</v>
      </c>
      <c r="AO12" s="280">
        <f>Results_exp2_1shot!AQ46</f>
        <v>10</v>
      </c>
      <c r="AP12" s="280">
        <f>Results_exp2_1shot!AQ47</f>
        <v>0</v>
      </c>
      <c r="AQ12" s="280">
        <f>Results_exp2_1shot!AQ48</f>
        <v>0</v>
      </c>
    </row>
    <row r="13" spans="1:43" s="14" customFormat="1">
      <c r="A13" s="14" t="s">
        <v>316</v>
      </c>
      <c r="B13" s="14" t="s">
        <v>147</v>
      </c>
      <c r="C13" s="192">
        <f>Results_exp2_1shot!S51</f>
        <v>1</v>
      </c>
      <c r="D13" s="192">
        <f>Results_exp2_1shot!S52</f>
        <v>0.8571428571428571</v>
      </c>
      <c r="E13" s="192">
        <f>Results_exp2_1shot!S53</f>
        <v>1</v>
      </c>
      <c r="F13" s="192">
        <f>Results_exp2_1shot!S54</f>
        <v>0.8571428571428571</v>
      </c>
      <c r="G13" s="192">
        <f>Results_exp2_1shot!S55</f>
        <v>1</v>
      </c>
      <c r="H13" s="192">
        <f>Results_exp2_1shot!S56</f>
        <v>1</v>
      </c>
      <c r="J13" s="192">
        <f>Results_exp2_1shot!Y51</f>
        <v>1</v>
      </c>
      <c r="K13" s="192">
        <f>Results_exp2_1shot!Y52</f>
        <v>1</v>
      </c>
      <c r="L13" s="192">
        <f>Results_exp2_1shot!Y53</f>
        <v>1</v>
      </c>
      <c r="M13" s="192">
        <f>Results_exp2_1shot!Y54</f>
        <v>1</v>
      </c>
      <c r="N13" s="192">
        <f>Results_exp2_1shot!Y55</f>
        <v>1</v>
      </c>
      <c r="O13" s="192">
        <f>Results_exp2_1shot!Y56</f>
        <v>1</v>
      </c>
      <c r="Q13" s="192">
        <f>Results_exp2_1shot!AE51</f>
        <v>0.79166666666666663</v>
      </c>
      <c r="R13" s="192">
        <f>Results_exp2_1shot!AE52</f>
        <v>0.80952380952380965</v>
      </c>
      <c r="S13" s="192">
        <f>Results_exp2_1shot!AE53</f>
        <v>0.83333333333333337</v>
      </c>
      <c r="T13" s="192">
        <f>Results_exp2_1shot!AE54</f>
        <v>0.80952380952380965</v>
      </c>
      <c r="U13" s="192">
        <f>Results_exp2_1shot!AE55</f>
        <v>0.83333333333333337</v>
      </c>
      <c r="V13" s="192">
        <f>Results_exp2_1shot!AE56</f>
        <v>0.83333333333333337</v>
      </c>
      <c r="W13" s="224"/>
      <c r="X13" s="192">
        <f>Results_exp2_1shot!AI51</f>
        <v>0.41666666666666669</v>
      </c>
      <c r="Y13" s="192">
        <f>Results_exp2_1shot!AI52</f>
        <v>0.33333333333333331</v>
      </c>
      <c r="Z13" s="192">
        <f>Results_exp2_1shot!AI53</f>
        <v>0.25</v>
      </c>
      <c r="AA13" s="192">
        <f>Results_exp2_1shot!AI54</f>
        <v>0.41666666666666669</v>
      </c>
      <c r="AB13" s="192">
        <f>Results_exp2_1shot!AI55</f>
        <v>0.41666666666666669</v>
      </c>
      <c r="AC13" s="192">
        <f>Results_exp2_1shot!AI56</f>
        <v>0.58333333333333337</v>
      </c>
      <c r="AE13" s="192">
        <f>Results_exp2_1shot!AJ51</f>
        <v>1</v>
      </c>
      <c r="AF13" s="192">
        <f>Results_exp2_1shot!AJ52</f>
        <v>1</v>
      </c>
      <c r="AG13" s="192">
        <f>Results_exp2_1shot!AJ53</f>
        <v>1</v>
      </c>
      <c r="AH13" s="192">
        <f>Results_exp2_1shot!AJ54</f>
        <v>1</v>
      </c>
      <c r="AI13" s="192">
        <f>Results_exp2_1shot!AJ55</f>
        <v>1</v>
      </c>
      <c r="AJ13" s="192">
        <f>Results_exp2_1shot!AJ56</f>
        <v>1</v>
      </c>
      <c r="AL13" s="280">
        <f>Results_exp2_1shot!AQ51</f>
        <v>17</v>
      </c>
      <c r="AM13" s="280">
        <f>Results_exp2_1shot!AQ52</f>
        <v>16</v>
      </c>
      <c r="AN13" s="280">
        <f>Results_exp2_1shot!AQ53</f>
        <v>13</v>
      </c>
      <c r="AO13" s="280">
        <f>Results_exp2_1shot!AQ54</f>
        <v>19</v>
      </c>
      <c r="AP13" s="280">
        <f>Results_exp2_1shot!AQ55</f>
        <v>0</v>
      </c>
      <c r="AQ13" s="280">
        <f>Results_exp2_1shot!AQ56</f>
        <v>0</v>
      </c>
    </row>
    <row r="14" spans="1:43" s="14" customFormat="1">
      <c r="A14" s="14" t="s">
        <v>315</v>
      </c>
      <c r="B14" s="14" t="s">
        <v>160</v>
      </c>
      <c r="C14" s="192">
        <f>Results_exp2_1shot!S59</f>
        <v>0.95000000000000007</v>
      </c>
      <c r="D14" s="192">
        <f>Results_exp2_1shot!S60</f>
        <v>0.95000000000000007</v>
      </c>
      <c r="E14" s="192">
        <f>Results_exp2_1shot!S61</f>
        <v>1</v>
      </c>
      <c r="F14" s="192">
        <f>Results_exp2_1shot!S62</f>
        <v>1</v>
      </c>
      <c r="G14" s="192">
        <f>Results_exp2_1shot!S63</f>
        <v>1</v>
      </c>
      <c r="H14" s="192">
        <f>Results_exp2_1shot!S64</f>
        <v>1</v>
      </c>
      <c r="J14" s="192">
        <f>Results_exp2_1shot!Y59</f>
        <v>0.875</v>
      </c>
      <c r="K14" s="192">
        <f>Results_exp2_1shot!Y60</f>
        <v>0.875</v>
      </c>
      <c r="L14" s="192">
        <f>Results_exp2_1shot!Y61</f>
        <v>1</v>
      </c>
      <c r="M14" s="192">
        <f>Results_exp2_1shot!Y62</f>
        <v>1</v>
      </c>
      <c r="N14" s="192">
        <f>Results_exp2_1shot!Y63</f>
        <v>1</v>
      </c>
      <c r="O14" s="192">
        <f>Results_exp2_1shot!Y64</f>
        <v>1</v>
      </c>
      <c r="Q14" s="192">
        <f>Results_exp2_1shot!AE59</f>
        <v>0.80000000000000016</v>
      </c>
      <c r="R14" s="192">
        <f>Results_exp2_1shot!AE60</f>
        <v>0.93333333333333335</v>
      </c>
      <c r="S14" s="192">
        <f>Results_exp2_1shot!AE61</f>
        <v>0.8666666666666667</v>
      </c>
      <c r="T14" s="192">
        <f>Results_exp2_1shot!AE62</f>
        <v>0.8666666666666667</v>
      </c>
      <c r="U14" s="192">
        <f>Results_exp2_1shot!AE63</f>
        <v>0.8666666666666667</v>
      </c>
      <c r="V14" s="192">
        <f>Results_exp2_1shot!AE64</f>
        <v>0.8666666666666667</v>
      </c>
      <c r="W14" s="224"/>
      <c r="X14" s="192">
        <f>Results_exp2_1shot!AI59</f>
        <v>0.7142857142857143</v>
      </c>
      <c r="Y14" s="192">
        <f>Results_exp2_1shot!AI60</f>
        <v>0.42857142857142855</v>
      </c>
      <c r="Z14" s="192">
        <f>Results_exp2_1shot!AI61</f>
        <v>0.8571428571428571</v>
      </c>
      <c r="AA14" s="192">
        <f>Results_exp2_1shot!AI62</f>
        <v>0.7142857142857143</v>
      </c>
      <c r="AB14" s="192">
        <f>Results_exp2_1shot!AI63</f>
        <v>1</v>
      </c>
      <c r="AC14" s="192">
        <f>Results_exp2_1shot!AI64</f>
        <v>0.8571428571428571</v>
      </c>
      <c r="AE14" s="192">
        <f>Results_exp2_1shot!AJ59</f>
        <v>1</v>
      </c>
      <c r="AF14" s="192">
        <f>Results_exp2_1shot!AJ60</f>
        <v>1</v>
      </c>
      <c r="AG14" s="192">
        <f>Results_exp2_1shot!AJ61</f>
        <v>1</v>
      </c>
      <c r="AH14" s="192">
        <f>Results_exp2_1shot!AJ62</f>
        <v>1</v>
      </c>
      <c r="AI14" s="192">
        <f>Results_exp2_1shot!AJ63</f>
        <v>1</v>
      </c>
      <c r="AJ14" s="192">
        <f>Results_exp2_1shot!AJ64</f>
        <v>1</v>
      </c>
      <c r="AL14" s="280">
        <f>Results_exp2_1shot!AQ59</f>
        <v>8</v>
      </c>
      <c r="AM14" s="280">
        <f>Results_exp2_1shot!AQ60</f>
        <v>13</v>
      </c>
      <c r="AN14" s="280">
        <f>Results_exp2_1shot!AQ61</f>
        <v>7</v>
      </c>
      <c r="AO14" s="280">
        <f>Results_exp2_1shot!AQ62</f>
        <v>9</v>
      </c>
      <c r="AP14" s="280">
        <f>Results_exp2_1shot!AQ63</f>
        <v>0</v>
      </c>
      <c r="AQ14" s="280">
        <f>Results_exp2_1shot!AQ64</f>
        <v>0</v>
      </c>
    </row>
    <row r="15" spans="1:43" s="14" customFormat="1">
      <c r="A15" s="14" t="s">
        <v>318</v>
      </c>
      <c r="B15" s="14" t="s">
        <v>159</v>
      </c>
      <c r="C15" s="192">
        <f>Results_exp2_1shot!S67</f>
        <v>1</v>
      </c>
      <c r="D15" s="192">
        <f>Results_exp2_1shot!S68</f>
        <v>1</v>
      </c>
      <c r="E15" s="192">
        <f>Results_exp2_1shot!S69</f>
        <v>1</v>
      </c>
      <c r="F15" s="192">
        <f>Results_exp2_1shot!S70</f>
        <v>1</v>
      </c>
      <c r="G15" s="192">
        <f>Results_exp2_1shot!S71</f>
        <v>1</v>
      </c>
      <c r="H15" s="192">
        <f>Results_exp2_1shot!S72</f>
        <v>1</v>
      </c>
      <c r="J15" s="192">
        <f>Results_exp2_1shot!Y67</f>
        <v>1</v>
      </c>
      <c r="K15" s="192">
        <f>Results_exp2_1shot!Y68</f>
        <v>1</v>
      </c>
      <c r="L15" s="192">
        <f>Results_exp2_1shot!Y69</f>
        <v>1</v>
      </c>
      <c r="M15" s="192">
        <f>Results_exp2_1shot!Y70</f>
        <v>1</v>
      </c>
      <c r="N15" s="192">
        <f>Results_exp2_1shot!Y71</f>
        <v>1</v>
      </c>
      <c r="O15" s="192">
        <f>Results_exp2_1shot!Y72</f>
        <v>1</v>
      </c>
      <c r="Q15" s="192">
        <f>Results_exp2_1shot!AE67</f>
        <v>1</v>
      </c>
      <c r="R15" s="192">
        <f>Results_exp2_1shot!AE68</f>
        <v>1</v>
      </c>
      <c r="S15" s="192">
        <f>Results_exp2_1shot!AE69</f>
        <v>0.88888888888888884</v>
      </c>
      <c r="T15" s="192">
        <f>Results_exp2_1shot!AE70</f>
        <v>0.88888888888888884</v>
      </c>
      <c r="U15" s="192">
        <f>Results_exp2_1shot!AE71</f>
        <v>0.88888888888888884</v>
      </c>
      <c r="V15" s="192">
        <f>Results_exp2_1shot!AE72</f>
        <v>0.88888888888888884</v>
      </c>
      <c r="W15" s="224"/>
      <c r="X15" s="192">
        <f>Results_exp2_1shot!AI67</f>
        <v>0.75</v>
      </c>
      <c r="Y15" s="192">
        <f>Results_exp2_1shot!AI68</f>
        <v>1.25</v>
      </c>
      <c r="Z15" s="192">
        <f>Results_exp2_1shot!AI69</f>
        <v>0.75</v>
      </c>
      <c r="AA15" s="192">
        <f>Results_exp2_1shot!AI70</f>
        <v>0.5</v>
      </c>
      <c r="AB15" s="192">
        <f>Results_exp2_1shot!AI71</f>
        <v>1.375</v>
      </c>
      <c r="AC15" s="192">
        <f>Results_exp2_1shot!AI72</f>
        <v>1.125</v>
      </c>
      <c r="AE15" s="192">
        <f>Results_exp2_1shot!AJ67</f>
        <v>1</v>
      </c>
      <c r="AF15" s="192">
        <f>Results_exp2_1shot!AJ68</f>
        <v>1</v>
      </c>
      <c r="AG15" s="192">
        <f>Results_exp2_1shot!AJ69</f>
        <v>1</v>
      </c>
      <c r="AH15" s="192">
        <f>Results_exp2_1shot!AJ70</f>
        <v>1</v>
      </c>
      <c r="AI15" s="192">
        <f>Results_exp2_1shot!AJ71</f>
        <v>1</v>
      </c>
      <c r="AJ15" s="192">
        <f>Results_exp2_1shot!AJ72</f>
        <v>1</v>
      </c>
      <c r="AL15" s="280">
        <f>Results_exp2_1shot!AQ67</f>
        <v>10</v>
      </c>
      <c r="AM15" s="280">
        <f>Results_exp2_1shot!AQ68</f>
        <v>14</v>
      </c>
      <c r="AN15" s="280">
        <f>Results_exp2_1shot!AQ69</f>
        <v>10</v>
      </c>
      <c r="AO15" s="280">
        <f>Results_exp2_1shot!AQ70</f>
        <v>9</v>
      </c>
      <c r="AP15" s="280">
        <f>Results_exp2_1shot!AQ71</f>
        <v>0</v>
      </c>
      <c r="AQ15" s="280">
        <f>Results_exp2_1shot!AQ72</f>
        <v>0</v>
      </c>
    </row>
    <row r="16" spans="1:43" s="14" customFormat="1">
      <c r="A16" s="14" t="s">
        <v>317</v>
      </c>
      <c r="B16" s="14" t="s">
        <v>157</v>
      </c>
      <c r="C16" s="192">
        <f>Results_exp2_1shot!S75</f>
        <v>1</v>
      </c>
      <c r="D16" s="192">
        <f>Results_exp2_1shot!S76</f>
        <v>1</v>
      </c>
      <c r="E16" s="192">
        <f>Results_exp2_1shot!S77</f>
        <v>1</v>
      </c>
      <c r="F16" s="192">
        <f>Results_exp2_1shot!S78</f>
        <v>1</v>
      </c>
      <c r="G16" s="192">
        <f>Results_exp2_1shot!S79</f>
        <v>1</v>
      </c>
      <c r="H16" s="192">
        <f>Results_exp2_1shot!S80</f>
        <v>1</v>
      </c>
      <c r="J16" s="192">
        <f>Results_exp2_1shot!Y75</f>
        <v>1</v>
      </c>
      <c r="K16" s="192">
        <f>Results_exp2_1shot!Y76</f>
        <v>1</v>
      </c>
      <c r="L16" s="192">
        <f>Results_exp2_1shot!Y77</f>
        <v>1</v>
      </c>
      <c r="M16" s="192">
        <f>Results_exp2_1shot!Y78</f>
        <v>1</v>
      </c>
      <c r="N16" s="192">
        <f>Results_exp2_1shot!Y79</f>
        <v>1</v>
      </c>
      <c r="O16" s="192">
        <f>Results_exp2_1shot!Y80</f>
        <v>1</v>
      </c>
      <c r="Q16" s="192">
        <f>Results_exp2_1shot!AE75</f>
        <v>1</v>
      </c>
      <c r="R16" s="192">
        <f>Results_exp2_1shot!AE76</f>
        <v>1</v>
      </c>
      <c r="S16" s="192">
        <f>Results_exp2_1shot!AE77</f>
        <v>1</v>
      </c>
      <c r="T16" s="192">
        <f>Results_exp2_1shot!AE78</f>
        <v>1</v>
      </c>
      <c r="U16" s="192">
        <f>Results_exp2_1shot!AE79</f>
        <v>1</v>
      </c>
      <c r="V16" s="192">
        <f>Results_exp2_1shot!AE80</f>
        <v>1</v>
      </c>
      <c r="W16" s="224"/>
      <c r="X16" s="192">
        <f>Results_exp2_1shot!AI75</f>
        <v>1.1000000000000001</v>
      </c>
      <c r="Y16" s="192">
        <f>Results_exp2_1shot!AI76</f>
        <v>1.1000000000000001</v>
      </c>
      <c r="Z16" s="192">
        <f>Results_exp2_1shot!AI77</f>
        <v>0.5</v>
      </c>
      <c r="AA16" s="192">
        <f>Results_exp2_1shot!AI78</f>
        <v>0.4</v>
      </c>
      <c r="AB16" s="192">
        <f>Results_exp2_1shot!AI79</f>
        <v>0.6</v>
      </c>
      <c r="AC16" s="192">
        <f>Results_exp2_1shot!AI80</f>
        <v>1.1000000000000001</v>
      </c>
      <c r="AE16" s="192">
        <f>Results_exp2_1shot!AJ75</f>
        <v>1</v>
      </c>
      <c r="AF16" s="192">
        <f>Results_exp2_1shot!AJ76</f>
        <v>1</v>
      </c>
      <c r="AG16" s="192">
        <f>Results_exp2_1shot!AJ77</f>
        <v>1</v>
      </c>
      <c r="AH16" s="192">
        <f>Results_exp2_1shot!AJ78</f>
        <v>1</v>
      </c>
      <c r="AI16" s="192">
        <f>Results_exp2_1shot!AJ79</f>
        <v>1</v>
      </c>
      <c r="AJ16" s="192">
        <f>Results_exp2_1shot!AJ80</f>
        <v>1</v>
      </c>
      <c r="AL16" s="280">
        <f>Results_exp2_1shot!AQ75</f>
        <v>10</v>
      </c>
      <c r="AM16" s="280">
        <f>Results_exp2_1shot!AQ76</f>
        <v>11</v>
      </c>
      <c r="AN16" s="280">
        <f>Results_exp2_1shot!AQ77</f>
        <v>11</v>
      </c>
      <c r="AO16" s="280">
        <f>Results_exp2_1shot!AQ78</f>
        <v>12</v>
      </c>
      <c r="AP16" s="280">
        <f>Results_exp2_1shot!AQ79</f>
        <v>0</v>
      </c>
      <c r="AQ16" s="280">
        <f>Results_exp2_1shot!AQ80</f>
        <v>0</v>
      </c>
    </row>
    <row r="17" spans="1:43" s="14" customFormat="1">
      <c r="A17" s="14" t="s">
        <v>319</v>
      </c>
      <c r="B17" s="14" t="s">
        <v>169</v>
      </c>
      <c r="C17" s="192">
        <f>Results_exp2_1shot!S83</f>
        <v>0.86274509803921562</v>
      </c>
      <c r="D17" s="192">
        <f>Results_exp2_1shot!S84</f>
        <v>0.86274509803921562</v>
      </c>
      <c r="E17" s="192">
        <f>Results_exp2_1shot!S85</f>
        <v>0.84</v>
      </c>
      <c r="F17" s="192">
        <f>Results_exp2_1shot!S86</f>
        <v>0.84</v>
      </c>
      <c r="G17" s="192">
        <f>Results_exp2_1shot!S87</f>
        <v>0.84</v>
      </c>
      <c r="H17" s="192">
        <f>Results_exp2_1shot!S88</f>
        <v>0.86274509803921562</v>
      </c>
      <c r="J17" s="192">
        <f>Results_exp2_1shot!Y83</f>
        <v>0.81818181818181823</v>
      </c>
      <c r="K17" s="192">
        <f>Results_exp2_1shot!Y84</f>
        <v>0.81818181818181823</v>
      </c>
      <c r="L17" s="192">
        <f>Results_exp2_1shot!Y85</f>
        <v>0.76190476190476197</v>
      </c>
      <c r="M17" s="192">
        <f>Results_exp2_1shot!Y86</f>
        <v>0.76190476190476197</v>
      </c>
      <c r="N17" s="192">
        <f>Results_exp2_1shot!Y87</f>
        <v>0.76190476190476197</v>
      </c>
      <c r="O17" s="192">
        <f>Results_exp2_1shot!Y88</f>
        <v>0.81818181818181823</v>
      </c>
      <c r="Q17" s="192">
        <f>Results_exp2_1shot!AE83</f>
        <v>0.93617021276595747</v>
      </c>
      <c r="R17" s="192">
        <f>Results_exp2_1shot!AE84</f>
        <v>0.93617021276595747</v>
      </c>
      <c r="S17" s="192">
        <f>Results_exp2_1shot!AE85</f>
        <v>0.91304347826086962</v>
      </c>
      <c r="T17" s="192">
        <f>Results_exp2_1shot!AE86</f>
        <v>0.91304347826086962</v>
      </c>
      <c r="U17" s="192">
        <f>Results_exp2_1shot!AE87</f>
        <v>0.91304347826086962</v>
      </c>
      <c r="V17" s="192">
        <f>Results_exp2_1shot!AE88</f>
        <v>0.93617021276595747</v>
      </c>
      <c r="W17" s="224"/>
      <c r="X17" s="192">
        <f>Results_exp2_1shot!AI83</f>
        <v>0.91666666666666663</v>
      </c>
      <c r="Y17" s="192">
        <f>Results_exp2_1shot!AI84</f>
        <v>1.0833333333333333</v>
      </c>
      <c r="Z17" s="192">
        <f>Results_exp2_1shot!AI85</f>
        <v>0.41666666666666669</v>
      </c>
      <c r="AA17" s="192">
        <f>Results_exp2_1shot!AI86</f>
        <v>0.58333333333333337</v>
      </c>
      <c r="AB17" s="192">
        <f>Results_exp2_1shot!AI87</f>
        <v>0.58333333333333337</v>
      </c>
      <c r="AC17" s="192">
        <f>Results_exp2_1shot!AI88</f>
        <v>0.5</v>
      </c>
      <c r="AE17" s="192">
        <f>Results_exp2_1shot!AJ83</f>
        <v>1</v>
      </c>
      <c r="AF17" s="192">
        <f>Results_exp2_1shot!AJ84</f>
        <v>1</v>
      </c>
      <c r="AG17" s="192">
        <f>Results_exp2_1shot!AJ85</f>
        <v>1</v>
      </c>
      <c r="AH17" s="192">
        <f>Results_exp2_1shot!AJ86</f>
        <v>1</v>
      </c>
      <c r="AI17" s="192">
        <f>Results_exp2_1shot!AJ87</f>
        <v>1</v>
      </c>
      <c r="AJ17" s="192">
        <f>Results_exp2_1shot!AJ88</f>
        <v>1</v>
      </c>
      <c r="AL17" s="280">
        <f>Results_exp2_1shot!AQ83</f>
        <v>6</v>
      </c>
      <c r="AM17" s="280">
        <f>Results_exp2_1shot!AQ84</f>
        <v>0</v>
      </c>
      <c r="AN17" s="280">
        <f>Results_exp2_1shot!AQ85</f>
        <v>0</v>
      </c>
      <c r="AO17" s="280">
        <f>Results_exp2_1shot!AQ86</f>
        <v>0</v>
      </c>
      <c r="AP17" s="280">
        <f>Results_exp2_1shot!AQ87</f>
        <v>0</v>
      </c>
      <c r="AQ17" s="280">
        <f>Results_exp2_1shot!AQ88</f>
        <v>0</v>
      </c>
    </row>
    <row r="18" spans="1:43" s="14" customFormat="1">
      <c r="A18" s="14" t="s">
        <v>320</v>
      </c>
      <c r="B18" s="14" t="s">
        <v>162</v>
      </c>
      <c r="C18" s="192">
        <f>Results_exp2_1shot!S91</f>
        <v>0.94915254237288127</v>
      </c>
      <c r="D18" s="192">
        <f>Results_exp2_1shot!S92</f>
        <v>0.82758620689655171</v>
      </c>
      <c r="E18" s="192">
        <f>Results_exp2_1shot!S93</f>
        <v>0.84745762711864392</v>
      </c>
      <c r="F18" s="192">
        <f>Results_exp2_1shot!S94</f>
        <v>0.9</v>
      </c>
      <c r="G18" s="192">
        <f>Results_exp2_1shot!S95</f>
        <v>0.8214285714285714</v>
      </c>
      <c r="H18" s="192">
        <f>Results_exp2_1shot!S96</f>
        <v>0.8214285714285714</v>
      </c>
      <c r="J18" s="192">
        <f>Results_exp2_1shot!Y91</f>
        <v>1</v>
      </c>
      <c r="K18" s="192">
        <f>Results_exp2_1shot!Y92</f>
        <v>0.77777777777777779</v>
      </c>
      <c r="L18" s="192">
        <f>Results_exp2_1shot!Y93</f>
        <v>0.66666666666666663</v>
      </c>
      <c r="M18" s="192">
        <f>Results_exp2_1shot!Y94</f>
        <v>0.88888888888888884</v>
      </c>
      <c r="N18" s="192">
        <f>Results_exp2_1shot!Y95</f>
        <v>0.82352941176470595</v>
      </c>
      <c r="O18" s="192">
        <f>Results_exp2_1shot!Y96</f>
        <v>0.82352941176470595</v>
      </c>
      <c r="Q18" s="192">
        <f>Results_exp2_1shot!AE91</f>
        <v>0.94545454545454544</v>
      </c>
      <c r="R18" s="192">
        <f>Results_exp2_1shot!AE92</f>
        <v>0.81481481481481477</v>
      </c>
      <c r="S18" s="192">
        <f>Results_exp2_1shot!AE93</f>
        <v>0.87272727272727268</v>
      </c>
      <c r="T18" s="192">
        <f>Results_exp2_1shot!AE94</f>
        <v>0.8928571428571429</v>
      </c>
      <c r="U18" s="192">
        <f>Results_exp2_1shot!AE95</f>
        <v>0.8076923076923076</v>
      </c>
      <c r="V18" s="192">
        <f>Results_exp2_1shot!AE96</f>
        <v>0.8076923076923076</v>
      </c>
      <c r="W18" s="224"/>
      <c r="X18" s="192">
        <f>Results_exp2_1shot!AI91</f>
        <v>0.81818181818181823</v>
      </c>
      <c r="Y18" s="192">
        <f>Results_exp2_1shot!AI92</f>
        <v>0.72727272727272729</v>
      </c>
      <c r="Z18" s="192">
        <f>Results_exp2_1shot!AI93</f>
        <v>0.27272727272727271</v>
      </c>
      <c r="AA18" s="192">
        <f>Results_exp2_1shot!AI94</f>
        <v>0.63636363636363635</v>
      </c>
      <c r="AB18" s="192">
        <f>Results_exp2_1shot!AI95</f>
        <v>0.18181818181818182</v>
      </c>
      <c r="AC18" s="192">
        <f>Results_exp2_1shot!AI96</f>
        <v>0.18181818181818182</v>
      </c>
      <c r="AE18" s="192">
        <f>Results_exp2_1shot!AJ91</f>
        <v>1</v>
      </c>
      <c r="AF18" s="192">
        <f>Results_exp2_1shot!AJ92</f>
        <v>0.88888888888888884</v>
      </c>
      <c r="AG18" s="192">
        <f>Results_exp2_1shot!AJ93</f>
        <v>1</v>
      </c>
      <c r="AH18" s="192">
        <f>Results_exp2_1shot!AJ94</f>
        <v>1</v>
      </c>
      <c r="AI18" s="192">
        <f>Results_exp2_1shot!AJ95</f>
        <v>1</v>
      </c>
      <c r="AJ18" s="192">
        <f>Results_exp2_1shot!AJ96</f>
        <v>1</v>
      </c>
      <c r="AL18" s="280">
        <f>Results_exp2_1shot!AQ91</f>
        <v>14</v>
      </c>
      <c r="AM18" s="280">
        <f>Results_exp2_1shot!AQ92</f>
        <v>14</v>
      </c>
      <c r="AN18" s="280">
        <f>Results_exp2_1shot!AQ93</f>
        <v>14</v>
      </c>
      <c r="AO18" s="280">
        <f>Results_exp2_1shot!AQ94</f>
        <v>13</v>
      </c>
      <c r="AP18" s="280">
        <f>Results_exp2_1shot!AQ95</f>
        <v>0</v>
      </c>
      <c r="AQ18" s="280">
        <f>Results_exp2_1shot!AQ96</f>
        <v>0</v>
      </c>
    </row>
    <row r="19" spans="1:43" s="14" customFormat="1">
      <c r="A19" s="14" t="s">
        <v>346</v>
      </c>
      <c r="B19" s="14" t="s">
        <v>161</v>
      </c>
      <c r="C19" s="192">
        <f>Results_exp2_1shot!S99</f>
        <v>0.75</v>
      </c>
      <c r="D19" s="192">
        <f>Results_exp2_1shot!S100</f>
        <v>0.75</v>
      </c>
      <c r="E19" s="192">
        <f>Results_exp2_1shot!S101</f>
        <v>0.7931034482758621</v>
      </c>
      <c r="F19" s="192">
        <f>Results_exp2_1shot!S102</f>
        <v>0.80701754385964919</v>
      </c>
      <c r="G19" s="192">
        <f>Results_exp2_1shot!S103</f>
        <v>0.86666666666666659</v>
      </c>
      <c r="H19" s="192">
        <f>Results_exp2_1shot!S104</f>
        <v>0.75</v>
      </c>
      <c r="J19" s="192">
        <f>Results_exp2_1shot!Y99</f>
        <v>0.77777777777777779</v>
      </c>
      <c r="K19" s="192">
        <f>Results_exp2_1shot!Y100</f>
        <v>0.77777777777777779</v>
      </c>
      <c r="L19" s="192">
        <f>Results_exp2_1shot!Y101</f>
        <v>0.77777777777777779</v>
      </c>
      <c r="M19" s="192">
        <f>Results_exp2_1shot!Y102</f>
        <v>0.77777777777777779</v>
      </c>
      <c r="N19" s="192">
        <f>Results_exp2_1shot!Y103</f>
        <v>0.88888888888888884</v>
      </c>
      <c r="O19" s="192">
        <f>Results_exp2_1shot!Y104</f>
        <v>0.77777777777777779</v>
      </c>
      <c r="Q19" s="192">
        <f>Results_exp2_1shot!AE99</f>
        <v>0.84615384615384603</v>
      </c>
      <c r="R19" s="192">
        <f>Results_exp2_1shot!AE100</f>
        <v>0.84615384615384603</v>
      </c>
      <c r="S19" s="192">
        <f>Results_exp2_1shot!AE101</f>
        <v>0.88888888888888895</v>
      </c>
      <c r="T19" s="192">
        <f>Results_exp2_1shot!AE102</f>
        <v>0.86792452830188693</v>
      </c>
      <c r="U19" s="192">
        <f>Results_exp2_1shot!AE103</f>
        <v>0.78571428571428559</v>
      </c>
      <c r="V19" s="192">
        <f>Results_exp2_1shot!AE104</f>
        <v>0.84615384615384603</v>
      </c>
      <c r="W19" s="224"/>
      <c r="X19" s="192">
        <f>Results_exp2_1shot!AI99</f>
        <v>1</v>
      </c>
      <c r="Y19" s="192">
        <f>Results_exp2_1shot!AI100</f>
        <v>1</v>
      </c>
      <c r="Z19" s="192">
        <f>Results_exp2_1shot!AI101</f>
        <v>0.27272727272727271</v>
      </c>
      <c r="AA19" s="192">
        <f>Results_exp2_1shot!AI102</f>
        <v>0.54545454545454541</v>
      </c>
      <c r="AB19" s="192">
        <f>Results_exp2_1shot!AI103</f>
        <v>0.54545454545454541</v>
      </c>
      <c r="AC19" s="192">
        <f>Results_exp2_1shot!AI104</f>
        <v>0.18181818181818182</v>
      </c>
      <c r="AE19" s="192">
        <f>Results_exp2_1shot!AJ99</f>
        <v>1</v>
      </c>
      <c r="AF19" s="192">
        <f>Results_exp2_1shot!AJ100</f>
        <v>1</v>
      </c>
      <c r="AG19" s="192">
        <f>Results_exp2_1shot!AJ101</f>
        <v>1</v>
      </c>
      <c r="AH19" s="192">
        <f>Results_exp2_1shot!AJ102</f>
        <v>1</v>
      </c>
      <c r="AI19" s="192">
        <f>Results_exp2_1shot!AJ103</f>
        <v>1</v>
      </c>
      <c r="AJ19" s="192">
        <f>Results_exp2_1shot!AJ104</f>
        <v>1</v>
      </c>
      <c r="AL19" s="280">
        <f>Results_exp2_1shot!AQ99</f>
        <v>12</v>
      </c>
      <c r="AM19" s="280">
        <f>Results_exp2_1shot!AQ100</f>
        <v>11</v>
      </c>
      <c r="AN19" s="280">
        <f>Results_exp2_1shot!AQ101</f>
        <v>15</v>
      </c>
      <c r="AO19" s="280">
        <f>Results_exp2_1shot!AQ102</f>
        <v>15</v>
      </c>
      <c r="AP19" s="280">
        <f>Results_exp2_1shot!AQ103</f>
        <v>0</v>
      </c>
      <c r="AQ19" s="280">
        <f>Results_exp2_1shot!AQ104</f>
        <v>0</v>
      </c>
    </row>
    <row r="20" spans="1:43" s="41" customFormat="1">
      <c r="A20" s="41" t="s">
        <v>347</v>
      </c>
      <c r="B20" s="41" t="s">
        <v>148</v>
      </c>
      <c r="C20" s="192">
        <f>Results_exp2_1shot!S107</f>
        <v>0.96969696969696972</v>
      </c>
      <c r="D20" s="192">
        <f>Results_exp2_1shot!S108</f>
        <v>0.96969696969696972</v>
      </c>
      <c r="E20" s="192">
        <f>Results_exp2_1shot!S109</f>
        <v>0.98461538461538467</v>
      </c>
      <c r="F20" s="192">
        <f>Results_exp2_1shot!S110</f>
        <v>0.98461538461538467</v>
      </c>
      <c r="G20" s="192">
        <f>Results_exp2_1shot!S111</f>
        <v>0.98461538461538467</v>
      </c>
      <c r="H20" s="192">
        <f>Results_exp2_1shot!S112</f>
        <v>0.96969696969696972</v>
      </c>
      <c r="J20" s="192">
        <f>Results_exp2_1shot!Y107</f>
        <v>0.875</v>
      </c>
      <c r="K20" s="192">
        <f>Results_exp2_1shot!Y108</f>
        <v>0.875</v>
      </c>
      <c r="L20" s="192">
        <f>Results_exp2_1shot!Y109</f>
        <v>0.93333333333333335</v>
      </c>
      <c r="M20" s="192">
        <f>Results_exp2_1shot!Y110</f>
        <v>0.93333333333333335</v>
      </c>
      <c r="N20" s="192">
        <f>Results_exp2_1shot!Y111</f>
        <v>0.93333333333333335</v>
      </c>
      <c r="O20" s="192">
        <f>Results_exp2_1shot!Y112</f>
        <v>0.875</v>
      </c>
      <c r="Q20" s="192">
        <f>Results_exp2_1shot!AE107</f>
        <v>0.84848484848484862</v>
      </c>
      <c r="R20" s="192">
        <f>Results_exp2_1shot!AE108</f>
        <v>0.84848484848484862</v>
      </c>
      <c r="S20" s="192">
        <f>Results_exp2_1shot!AE109</f>
        <v>0.86153846153846148</v>
      </c>
      <c r="T20" s="192">
        <f>Results_exp2_1shot!AE110</f>
        <v>0.86153846153846148</v>
      </c>
      <c r="U20" s="192">
        <f>Results_exp2_1shot!AE111</f>
        <v>0.86153846153846148</v>
      </c>
      <c r="V20" s="192">
        <f>Results_exp2_1shot!AE112</f>
        <v>0.69696969696969702</v>
      </c>
      <c r="W20" s="224"/>
      <c r="X20" s="192">
        <f>Results_exp2_1shot!AI107</f>
        <v>1.375</v>
      </c>
      <c r="Y20" s="192">
        <f>Results_exp2_1shot!AI108</f>
        <v>1.5</v>
      </c>
      <c r="Z20" s="192">
        <f>Results_exp2_1shot!AI109</f>
        <v>1.625</v>
      </c>
      <c r="AA20" s="192">
        <f>Results_exp2_1shot!AI110</f>
        <v>0.875</v>
      </c>
      <c r="AB20" s="192">
        <f>Results_exp2_1shot!AI111</f>
        <v>1.125</v>
      </c>
      <c r="AC20" s="192">
        <f>Results_exp2_1shot!AI112</f>
        <v>0.75</v>
      </c>
      <c r="AE20" s="192">
        <f>Results_exp2_1shot!AJ107</f>
        <v>0.91666666666666663</v>
      </c>
      <c r="AF20" s="192">
        <f>Results_exp2_1shot!AJ108</f>
        <v>0.92307692307692313</v>
      </c>
      <c r="AG20" s="192">
        <f>Results_exp2_1shot!AJ109</f>
        <v>0.8666666666666667</v>
      </c>
      <c r="AH20" s="192">
        <f>Results_exp2_1shot!AJ110</f>
        <v>1</v>
      </c>
      <c r="AI20" s="192">
        <f>Results_exp2_1shot!AJ111</f>
        <v>0.81818181818181823</v>
      </c>
      <c r="AJ20" s="192">
        <f>Results_exp2_1shot!AJ112</f>
        <v>0.8571428571428571</v>
      </c>
      <c r="AL20" s="280">
        <f>Results_exp2_1shot!AQ107</f>
        <v>9</v>
      </c>
      <c r="AM20" s="280">
        <f>Results_exp2_1shot!AQ108</f>
        <v>8</v>
      </c>
      <c r="AN20" s="280">
        <f>Results_exp2_1shot!AQ109</f>
        <v>8</v>
      </c>
      <c r="AO20" s="280">
        <f>Results_exp2_1shot!AQ110</f>
        <v>8</v>
      </c>
      <c r="AP20" s="280">
        <f>Results_exp2_1shot!AQ111</f>
        <v>0</v>
      </c>
      <c r="AQ20" s="280">
        <f>Results_exp2_1shot!AQ112</f>
        <v>0</v>
      </c>
    </row>
    <row r="21" spans="1:43" s="180" customFormat="1">
      <c r="A21" s="180" t="s">
        <v>400</v>
      </c>
      <c r="B21" s="180" t="s">
        <v>149</v>
      </c>
      <c r="C21" s="193">
        <f>Results_exp2_1shot!S115</f>
        <v>0.98461538461538467</v>
      </c>
      <c r="D21" s="193">
        <f>Results_exp2_1shot!S116</f>
        <v>0.9</v>
      </c>
      <c r="E21" s="193">
        <f>Results_exp2_1shot!S117</f>
        <v>0.93749999999999989</v>
      </c>
      <c r="F21" s="193">
        <f>Results_exp2_1shot!S118</f>
        <v>1</v>
      </c>
      <c r="G21" s="193">
        <f>Results_exp2_1shot!S119</f>
        <v>0.96875</v>
      </c>
      <c r="H21" s="193">
        <f>Results_exp2_1shot!S120</f>
        <v>0.9</v>
      </c>
      <c r="J21" s="193">
        <f>Results_exp2_1shot!Y115</f>
        <v>1</v>
      </c>
      <c r="K21" s="193">
        <f>Results_exp2_1shot!Y116</f>
        <v>1</v>
      </c>
      <c r="L21" s="193">
        <f>Results_exp2_1shot!Y117</f>
        <v>1</v>
      </c>
      <c r="M21" s="193">
        <f>Results_exp2_1shot!Y118</f>
        <v>1</v>
      </c>
      <c r="N21" s="193">
        <f>Results_exp2_1shot!Y119</f>
        <v>1</v>
      </c>
      <c r="O21" s="193">
        <f>Results_exp2_1shot!Y120</f>
        <v>1</v>
      </c>
      <c r="Q21" s="193">
        <f>Results_exp2_1shot!AE115</f>
        <v>0.83636363636363642</v>
      </c>
      <c r="R21" s="193">
        <f>Results_exp2_1shot!AE116</f>
        <v>0.8</v>
      </c>
      <c r="S21" s="193">
        <f>Results_exp2_1shot!AE117</f>
        <v>0.62962962962962965</v>
      </c>
      <c r="T21" s="193">
        <f>Results_exp2_1shot!AE118</f>
        <v>0.8214285714285714</v>
      </c>
      <c r="U21" s="193">
        <f>Results_exp2_1shot!AE119</f>
        <v>0.96296296296296302</v>
      </c>
      <c r="V21" s="193">
        <f>Results_exp2_1shot!AE120</f>
        <v>0.76</v>
      </c>
      <c r="W21" s="225"/>
      <c r="X21" s="193">
        <f>Results_exp2_1shot!AI115</f>
        <v>1.1666666666666667</v>
      </c>
      <c r="Y21" s="193">
        <f>Results_exp2_1shot!AI116</f>
        <v>0.91666666666666663</v>
      </c>
      <c r="Z21" s="193">
        <f>Results_exp2_1shot!AI117</f>
        <v>0.5</v>
      </c>
      <c r="AA21" s="193">
        <f>Results_exp2_1shot!AI118</f>
        <v>0.91666666666666663</v>
      </c>
      <c r="AB21" s="193">
        <f>Results_exp2_1shot!AI119</f>
        <v>0.58333333333333337</v>
      </c>
      <c r="AC21" s="193">
        <f>Results_exp2_1shot!AI120</f>
        <v>0.33333333333333331</v>
      </c>
      <c r="AE21" s="193">
        <f>Results_exp2_1shot!AJ115</f>
        <v>1</v>
      </c>
      <c r="AF21" s="193">
        <f>Results_exp2_1shot!AJ116</f>
        <v>1</v>
      </c>
      <c r="AG21" s="193">
        <f>Results_exp2_1shot!AJ117</f>
        <v>1</v>
      </c>
      <c r="AH21" s="193">
        <f>Results_exp2_1shot!AJ118</f>
        <v>1</v>
      </c>
      <c r="AI21" s="193">
        <f>Results_exp2_1shot!AJ119</f>
        <v>1</v>
      </c>
      <c r="AJ21" s="193">
        <f>Results_exp2_1shot!AJ120</f>
        <v>1</v>
      </c>
      <c r="AL21" s="281">
        <f>Results_exp2_1shot!AQ115</f>
        <v>8</v>
      </c>
      <c r="AM21" s="281">
        <f>Results_exp2_1shot!AQ116</f>
        <v>11</v>
      </c>
      <c r="AN21" s="281">
        <f>Results_exp2_1shot!AQ117</f>
        <v>15</v>
      </c>
      <c r="AO21" s="281">
        <f>Results_exp2_1shot!AQ118</f>
        <v>14</v>
      </c>
      <c r="AP21" s="281">
        <f>Results_exp2_1shot!AQ119</f>
        <v>0</v>
      </c>
      <c r="AQ21" s="281">
        <f>Results_exp2_1shot!AQ120</f>
        <v>0</v>
      </c>
    </row>
    <row r="22" spans="1:43" s="41" customFormat="1">
      <c r="A22" s="25" t="s">
        <v>660</v>
      </c>
      <c r="B22" s="25"/>
      <c r="C22" s="215">
        <f t="shared" ref="C22:H22" si="0">AVERAGE(C7:C21)</f>
        <v>0.93260013450109847</v>
      </c>
      <c r="D22" s="215">
        <f t="shared" si="0"/>
        <v>0.91995358759388501</v>
      </c>
      <c r="E22" s="215">
        <f t="shared" si="0"/>
        <v>0.9215920787476406</v>
      </c>
      <c r="F22" s="215">
        <f t="shared" si="0"/>
        <v>0.93520056165670196</v>
      </c>
      <c r="G22" s="215">
        <f t="shared" si="0"/>
        <v>0.94174585116251786</v>
      </c>
      <c r="H22" s="215">
        <f t="shared" si="0"/>
        <v>0.9093936984133062</v>
      </c>
      <c r="I22" s="168"/>
      <c r="J22" s="215">
        <f t="shared" ref="J22:O22" si="1">AVERAGE(J7:J21)</f>
        <v>0.92609427609427608</v>
      </c>
      <c r="K22" s="215">
        <f t="shared" si="1"/>
        <v>0.91387686387686395</v>
      </c>
      <c r="L22" s="215">
        <f t="shared" si="1"/>
        <v>0.89889709419121189</v>
      </c>
      <c r="M22" s="215">
        <f t="shared" si="1"/>
        <v>0.9202308802308804</v>
      </c>
      <c r="N22" s="215">
        <f t="shared" si="1"/>
        <v>0.92880879469114785</v>
      </c>
      <c r="O22" s="215">
        <f t="shared" si="1"/>
        <v>0.89702187790423094</v>
      </c>
      <c r="P22" s="215"/>
      <c r="Q22" s="215">
        <f t="shared" ref="Q22:V22" si="2">AVERAGE(Q7:Q21)</f>
        <v>0.92046462274491858</v>
      </c>
      <c r="R22" s="215">
        <f t="shared" si="2"/>
        <v>0.91048185859548814</v>
      </c>
      <c r="S22" s="215">
        <f t="shared" si="2"/>
        <v>0.88785072458751757</v>
      </c>
      <c r="T22" s="215">
        <f t="shared" si="2"/>
        <v>0.90818770206793176</v>
      </c>
      <c r="U22" s="215">
        <f t="shared" si="2"/>
        <v>0.90805229124069708</v>
      </c>
      <c r="V22" s="215">
        <f t="shared" si="2"/>
        <v>0.88912126240155864</v>
      </c>
      <c r="W22" s="168"/>
      <c r="X22" s="215">
        <f t="shared" ref="X22:AC22" si="3">AVERAGE(X7:X21)</f>
        <v>0.9114502164502164</v>
      </c>
      <c r="Y22" s="215">
        <f t="shared" si="3"/>
        <v>0.94491341991341982</v>
      </c>
      <c r="Z22" s="215">
        <f t="shared" si="3"/>
        <v>0.77104617604617609</v>
      </c>
      <c r="AA22" s="215">
        <f t="shared" si="3"/>
        <v>0.79807359307359316</v>
      </c>
      <c r="AB22" s="215">
        <f t="shared" si="3"/>
        <v>0.91324675324675331</v>
      </c>
      <c r="AC22" s="215">
        <f t="shared" si="3"/>
        <v>0.78709956709956708</v>
      </c>
      <c r="AD22" s="215"/>
      <c r="AE22" s="215">
        <f t="shared" ref="AE22:AJ22" si="4">AVERAGE(AE7:AE21)</f>
        <v>0.99444444444444435</v>
      </c>
      <c r="AF22" s="215">
        <f t="shared" si="4"/>
        <v>0.98190883190883194</v>
      </c>
      <c r="AG22" s="215">
        <f t="shared" si="4"/>
        <v>0.98444444444444446</v>
      </c>
      <c r="AH22" s="215">
        <f t="shared" si="4"/>
        <v>0.98306878306878309</v>
      </c>
      <c r="AI22" s="215">
        <f t="shared" si="4"/>
        <v>0.98047138047138049</v>
      </c>
      <c r="AJ22" s="215">
        <f t="shared" si="4"/>
        <v>0.98214285714285721</v>
      </c>
      <c r="AL22" s="282">
        <f t="shared" ref="AL22" si="5">AVERAGE(AL7:AL21)</f>
        <v>21.333333333333332</v>
      </c>
      <c r="AM22" s="282">
        <f t="shared" ref="AM22" si="6">AVERAGE(AM7:AM21)</f>
        <v>22.8</v>
      </c>
      <c r="AN22" s="282">
        <f t="shared" ref="AN22" si="7">AVERAGE(AN7:AN21)</f>
        <v>10.066666666666666</v>
      </c>
      <c r="AO22" s="282">
        <f t="shared" ref="AO22" si="8">AVERAGE(AO7:AO21)</f>
        <v>10.733333333333333</v>
      </c>
      <c r="AP22" s="282">
        <f t="shared" ref="AP22" si="9">AVERAGE(AP7:AP21)</f>
        <v>0</v>
      </c>
      <c r="AQ22" s="282">
        <f t="shared" ref="AQ22" si="10">AVERAGE(AQ7:AQ21)</f>
        <v>0</v>
      </c>
    </row>
    <row r="23" spans="1:43" s="41" customFormat="1">
      <c r="A23" s="25" t="s">
        <v>659</v>
      </c>
      <c r="B23" s="25"/>
      <c r="C23" s="347">
        <f>AVERAGE(C7:H21)</f>
        <v>0.92674765201252485</v>
      </c>
      <c r="D23" s="347"/>
      <c r="E23" s="347"/>
      <c r="F23" s="347"/>
      <c r="G23" s="347"/>
      <c r="H23" s="347"/>
      <c r="I23" s="226"/>
      <c r="J23" s="347">
        <f>AVERAGE(J7:O21)</f>
        <v>0.91415496449810152</v>
      </c>
      <c r="K23" s="347"/>
      <c r="L23" s="347"/>
      <c r="M23" s="347"/>
      <c r="N23" s="347"/>
      <c r="O23" s="347"/>
      <c r="P23" s="215"/>
      <c r="Q23" s="347">
        <f>AVERAGE(Q7:V21)</f>
        <v>0.90402641027301811</v>
      </c>
      <c r="R23" s="347"/>
      <c r="S23" s="347"/>
      <c r="T23" s="347"/>
      <c r="U23" s="347"/>
      <c r="V23" s="347"/>
      <c r="W23" s="168"/>
      <c r="X23" s="347">
        <f>AVERAGE(X7:AC21)</f>
        <v>0.85430495430495434</v>
      </c>
      <c r="Y23" s="347"/>
      <c r="Z23" s="347"/>
      <c r="AA23" s="347"/>
      <c r="AB23" s="347"/>
      <c r="AC23" s="347"/>
      <c r="AD23" s="215"/>
      <c r="AE23" s="347">
        <f>AVERAGE(AE7:AJ21)</f>
        <v>0.98441345691345672</v>
      </c>
      <c r="AF23" s="347"/>
      <c r="AG23" s="347"/>
      <c r="AH23" s="347"/>
      <c r="AI23" s="347"/>
      <c r="AJ23" s="347"/>
      <c r="AL23" s="346">
        <f>AVERAGE(AL7:AQ21)</f>
        <v>10.822222222222223</v>
      </c>
      <c r="AM23" s="346"/>
      <c r="AN23" s="346"/>
      <c r="AO23" s="346"/>
      <c r="AP23" s="346"/>
      <c r="AQ23" s="346"/>
    </row>
    <row r="24" spans="1:43" s="41" customFormat="1">
      <c r="A24" s="25" t="s">
        <v>791</v>
      </c>
      <c r="B24" s="25"/>
      <c r="C24" s="348">
        <f>_xlfn.STDEV.P(C7:D21)</f>
        <v>9.2201618630794666E-2</v>
      </c>
      <c r="D24" s="348"/>
      <c r="E24" s="348">
        <f>_xlfn.STDEV.P(E7:F21)</f>
        <v>9.0078018897392698E-2</v>
      </c>
      <c r="F24" s="348"/>
      <c r="G24" s="348">
        <f>_xlfn.STDEV.P(G7:H21)</f>
        <v>9.7350784797618398E-2</v>
      </c>
      <c r="H24" s="348"/>
      <c r="I24" s="166"/>
      <c r="J24" s="348">
        <f>_xlfn.STDEV.P(J7:K21)</f>
        <v>0.1134452113157066</v>
      </c>
      <c r="K24" s="348"/>
      <c r="L24" s="348">
        <f>_xlfn.STDEV.P(L7:M21)</f>
        <v>0.12722976369801983</v>
      </c>
      <c r="M24" s="348"/>
      <c r="N24" s="348">
        <f>_xlfn.STDEV.P(N7:O21)</f>
        <v>0.13128221913532692</v>
      </c>
      <c r="O24" s="348"/>
      <c r="P24" s="218"/>
      <c r="Q24" s="348">
        <f>_xlfn.STDEV.P(Q7:R21)</f>
        <v>7.6454029787890676E-2</v>
      </c>
      <c r="R24" s="348"/>
      <c r="S24" s="348">
        <f>_xlfn.STDEV.P(S7:T21)</f>
        <v>7.7289660118696035E-2</v>
      </c>
      <c r="T24" s="348"/>
      <c r="U24" s="348">
        <f>_xlfn.STDEV.P(U7:V21)</f>
        <v>8.0742332059023619E-2</v>
      </c>
      <c r="V24" s="348"/>
      <c r="W24" s="166"/>
      <c r="X24" s="348">
        <f>_xlfn.STDEV.P(X7:Y21)</f>
        <v>0.37941523146495576</v>
      </c>
      <c r="Y24" s="348"/>
      <c r="Z24" s="348">
        <f>_xlfn.STDEV.P(Z7:AA21)</f>
        <v>0.36873005418835159</v>
      </c>
      <c r="AA24" s="348"/>
      <c r="AB24" s="348">
        <f>_xlfn.STDEV.P(AB7:AC21)</f>
        <v>0.40817685989069935</v>
      </c>
      <c r="AC24" s="348"/>
      <c r="AD24" s="218"/>
      <c r="AE24" s="348"/>
      <c r="AF24" s="348"/>
      <c r="AG24" s="218"/>
      <c r="AH24" s="215"/>
      <c r="AI24" s="218"/>
      <c r="AL24" s="282"/>
      <c r="AM24" s="283"/>
      <c r="AN24" s="283"/>
      <c r="AO24" s="282"/>
      <c r="AP24" s="283"/>
      <c r="AQ24" s="284"/>
    </row>
    <row r="25" spans="1:43" s="41" customFormat="1">
      <c r="A25" s="25" t="s">
        <v>794</v>
      </c>
      <c r="B25" s="25"/>
      <c r="C25" s="341">
        <f>_xlfn.STDEV.P(C7:H21)</f>
        <v>9.326787659392817E-2</v>
      </c>
      <c r="D25" s="341"/>
      <c r="E25" s="341"/>
      <c r="F25" s="341"/>
      <c r="G25" s="341"/>
      <c r="H25" s="341"/>
      <c r="I25" s="166"/>
      <c r="J25" s="341">
        <f>_xlfn.STDEV.P(J7:O21)</f>
        <v>0.12429649970010218</v>
      </c>
      <c r="K25" s="341"/>
      <c r="L25" s="341"/>
      <c r="M25" s="341"/>
      <c r="N25" s="341"/>
      <c r="O25" s="341"/>
      <c r="P25" s="218"/>
      <c r="Q25" s="341">
        <f>_xlfn.STDEV.P(Q7:V21)</f>
        <v>7.8602248423679008E-2</v>
      </c>
      <c r="R25" s="341"/>
      <c r="S25" s="341"/>
      <c r="T25" s="341"/>
      <c r="U25" s="341"/>
      <c r="V25" s="341"/>
      <c r="W25" s="166"/>
      <c r="X25" s="341">
        <f>_xlfn.STDEV.P(X7:AC21)</f>
        <v>0.39024153083799934</v>
      </c>
      <c r="Y25" s="341"/>
      <c r="Z25" s="341"/>
      <c r="AA25" s="341"/>
      <c r="AB25" s="341"/>
      <c r="AC25" s="341"/>
      <c r="AD25" s="218"/>
      <c r="AE25" s="341">
        <f>_xlfn.STDEV.P(AE7:AJ21)</f>
        <v>4.1130606602264128E-2</v>
      </c>
      <c r="AF25" s="341"/>
      <c r="AG25" s="341"/>
      <c r="AH25" s="341"/>
      <c r="AI25" s="341"/>
      <c r="AJ25" s="341"/>
      <c r="AL25" s="282"/>
      <c r="AM25" s="283"/>
      <c r="AN25" s="283"/>
      <c r="AO25" s="282"/>
      <c r="AP25" s="283"/>
      <c r="AQ25" s="284"/>
    </row>
    <row r="26" spans="1:43" s="184" customFormat="1">
      <c r="A26" s="17" t="s">
        <v>657</v>
      </c>
      <c r="C26" s="219"/>
      <c r="D26" s="219"/>
      <c r="E26" s="219"/>
      <c r="F26" s="219"/>
      <c r="G26" s="219"/>
      <c r="H26" s="219"/>
      <c r="I26" s="227"/>
      <c r="J26" s="220"/>
      <c r="K26" s="220"/>
      <c r="L26" s="220"/>
      <c r="M26" s="220"/>
      <c r="N26" s="220"/>
      <c r="O26" s="220"/>
      <c r="P26" s="220"/>
      <c r="Q26" s="219"/>
      <c r="R26" s="219"/>
      <c r="S26" s="219"/>
      <c r="T26" s="219"/>
      <c r="U26" s="219"/>
      <c r="V26" s="219"/>
      <c r="W26" s="227"/>
      <c r="X26" s="219"/>
      <c r="Y26" s="219"/>
      <c r="Z26" s="219"/>
      <c r="AA26" s="219"/>
      <c r="AB26" s="219"/>
      <c r="AC26" s="219"/>
      <c r="AD26" s="219"/>
      <c r="AE26" s="219"/>
      <c r="AF26" s="219"/>
      <c r="AG26" s="219"/>
      <c r="AH26" s="219"/>
      <c r="AI26" s="219"/>
      <c r="AL26" s="285"/>
      <c r="AM26" s="285"/>
      <c r="AN26" s="285"/>
      <c r="AO26" s="285"/>
      <c r="AP26" s="285"/>
      <c r="AQ26" s="286"/>
    </row>
    <row r="27" spans="1:43" s="14" customFormat="1">
      <c r="A27" s="14" t="s">
        <v>322</v>
      </c>
      <c r="B27" s="14" t="s">
        <v>180</v>
      </c>
      <c r="C27" s="192">
        <f>Results_exp2_1shot!S123</f>
        <v>0.94117647058823528</v>
      </c>
      <c r="D27" s="192">
        <f>Results_exp2_1shot!S124</f>
        <v>1</v>
      </c>
      <c r="E27" s="192">
        <f>Results_exp2_1shot!S125</f>
        <v>0.9850746268656716</v>
      </c>
      <c r="F27" s="192">
        <f>Results_exp2_1shot!S126</f>
        <v>0.89230769230769225</v>
      </c>
      <c r="G27" s="192">
        <f>Results_exp2_1shot!S127</f>
        <v>0.94117647058823528</v>
      </c>
      <c r="H27" s="192">
        <f>Results_exp2_1shot!S128</f>
        <v>0.92537313432835833</v>
      </c>
      <c r="J27" s="192">
        <f>Results_exp2_1shot!Y123</f>
        <v>0.83333333333333337</v>
      </c>
      <c r="K27" s="192">
        <f>Results_exp2_1shot!Y124</f>
        <v>1</v>
      </c>
      <c r="L27" s="192">
        <f>Results_exp2_1shot!Y125</f>
        <v>1</v>
      </c>
      <c r="M27" s="192">
        <f>Results_exp2_1shot!Y126</f>
        <v>0.83333333333333337</v>
      </c>
      <c r="N27" s="192">
        <f>Results_exp2_1shot!Y127</f>
        <v>0.83333333333333337</v>
      </c>
      <c r="O27" s="192">
        <f>Results_exp2_1shot!Y128</f>
        <v>0.83333333333333337</v>
      </c>
      <c r="Q27" s="192">
        <f>Results_exp2_1shot!AE123</f>
        <v>0.967741935483871</v>
      </c>
      <c r="R27" s="192">
        <f>Results_exp2_1shot!AE124</f>
        <v>0.967741935483871</v>
      </c>
      <c r="S27" s="192">
        <f>Results_exp2_1shot!AE125</f>
        <v>0.9508196721311476</v>
      </c>
      <c r="T27" s="192">
        <f>Results_exp2_1shot!AE126</f>
        <v>0.94915254237288127</v>
      </c>
      <c r="U27" s="192">
        <f>Results_exp2_1shot!AE127</f>
        <v>1</v>
      </c>
      <c r="V27" s="192">
        <f>Results_exp2_1shot!AE128</f>
        <v>0.98360655737704916</v>
      </c>
      <c r="W27" s="224"/>
      <c r="X27" s="192">
        <f>Results_exp2_1shot!AI123</f>
        <v>0.33333333333333331</v>
      </c>
      <c r="Y27" s="192">
        <f>Results_exp2_1shot!AI124</f>
        <v>0.6</v>
      </c>
      <c r="Z27" s="192">
        <f>Results_exp2_1shot!AI125</f>
        <v>0.53333333333333333</v>
      </c>
      <c r="AA27" s="192">
        <f>Results_exp2_1shot!AI126</f>
        <v>0.4</v>
      </c>
      <c r="AB27" s="192">
        <f>Results_exp2_1shot!AI127</f>
        <v>0.33333333333333331</v>
      </c>
      <c r="AC27" s="192">
        <f>Results_exp2_1shot!AI128</f>
        <v>0.13333333333333333</v>
      </c>
      <c r="AE27" s="192">
        <f>Results_exp2_1shot!AJ123</f>
        <v>1</v>
      </c>
      <c r="AF27" s="192">
        <f>Results_exp2_1shot!AJ124</f>
        <v>1</v>
      </c>
      <c r="AG27" s="192">
        <f>Results_exp2_1shot!AJ125</f>
        <v>1</v>
      </c>
      <c r="AH27" s="192">
        <f>Results_exp2_1shot!AJ126</f>
        <v>1</v>
      </c>
      <c r="AI27" s="192">
        <f>Results_exp2_1shot!AJ127</f>
        <v>1</v>
      </c>
      <c r="AJ27" s="192">
        <f>Results_exp2_1shot!AJ128</f>
        <v>0.66666666666666663</v>
      </c>
      <c r="AL27" s="280">
        <f>Results_exp2_1shot!AQ123</f>
        <v>11</v>
      </c>
      <c r="AM27" s="280">
        <f>Results_exp2_1shot!AQ124</f>
        <v>17</v>
      </c>
      <c r="AN27" s="280">
        <f>Results_exp2_1shot!AQ125</f>
        <v>16</v>
      </c>
      <c r="AO27" s="280">
        <f>Results_exp2_1shot!AQ126</f>
        <v>15</v>
      </c>
      <c r="AP27" s="280">
        <f>Results_exp2_1shot!AQ127</f>
        <v>0</v>
      </c>
      <c r="AQ27" s="280">
        <f>Results_exp2_1shot!AQ128</f>
        <v>0</v>
      </c>
    </row>
    <row r="28" spans="1:43" s="14" customFormat="1">
      <c r="A28" s="14" t="s">
        <v>323</v>
      </c>
      <c r="B28" s="14" t="s">
        <v>142</v>
      </c>
      <c r="C28" s="192">
        <f>Results_exp2_1shot!S131</f>
        <v>0.93939393939393934</v>
      </c>
      <c r="D28" s="192">
        <f>Results_exp2_1shot!S132</f>
        <v>0.67924528301886788</v>
      </c>
      <c r="E28" s="192">
        <f>Results_exp2_1shot!S133</f>
        <v>0.90625</v>
      </c>
      <c r="F28" s="192">
        <f>Results_exp2_1shot!S134</f>
        <v>0.70370370370370372</v>
      </c>
      <c r="G28" s="192">
        <f>Results_exp2_1shot!S135</f>
        <v>0.90625</v>
      </c>
      <c r="H28" s="192">
        <f>Results_exp2_1shot!S136</f>
        <v>0.77192982456140347</v>
      </c>
      <c r="J28" s="192">
        <f>Results_exp2_1shot!Y131</f>
        <v>1</v>
      </c>
      <c r="K28" s="192">
        <f>Results_exp2_1shot!Y132</f>
        <v>0.87500000000000011</v>
      </c>
      <c r="L28" s="192">
        <f>Results_exp2_1shot!Y133</f>
        <v>1</v>
      </c>
      <c r="M28" s="192">
        <f>Results_exp2_1shot!Y134</f>
        <v>1</v>
      </c>
      <c r="N28" s="192">
        <f>Results_exp2_1shot!Y135</f>
        <v>1</v>
      </c>
      <c r="O28" s="192">
        <f>Results_exp2_1shot!Y136</f>
        <v>1</v>
      </c>
      <c r="Q28" s="192">
        <f>Results_exp2_1shot!AE131</f>
        <v>0.8928571428571429</v>
      </c>
      <c r="R28" s="192">
        <f>Results_exp2_1shot!AE132</f>
        <v>0.60465116279069764</v>
      </c>
      <c r="S28" s="192">
        <f>Results_exp2_1shot!AE133</f>
        <v>0.81481481481481477</v>
      </c>
      <c r="T28" s="192">
        <f>Results_exp2_1shot!AE134</f>
        <v>0.54545454545454553</v>
      </c>
      <c r="U28" s="192">
        <f>Results_exp2_1shot!AE135</f>
        <v>0.77777777777777768</v>
      </c>
      <c r="V28" s="192">
        <f>Results_exp2_1shot!AE136</f>
        <v>0.68085106382978722</v>
      </c>
      <c r="W28" s="224"/>
      <c r="X28" s="192">
        <f>Results_exp2_1shot!AI131</f>
        <v>0.875</v>
      </c>
      <c r="Y28" s="192">
        <f>Results_exp2_1shot!AI132</f>
        <v>0.875</v>
      </c>
      <c r="Z28" s="192">
        <f>Results_exp2_1shot!AI133</f>
        <v>0.875</v>
      </c>
      <c r="AA28" s="192">
        <f>Results_exp2_1shot!AI134</f>
        <v>1</v>
      </c>
      <c r="AB28" s="192">
        <f>Results_exp2_1shot!AI135</f>
        <v>1.25</v>
      </c>
      <c r="AC28" s="192">
        <f>Results_exp2_1shot!AI136</f>
        <v>1.5</v>
      </c>
      <c r="AE28" s="192">
        <f>Results_exp2_1shot!AJ131</f>
        <v>1</v>
      </c>
      <c r="AF28" s="192">
        <f>Results_exp2_1shot!AJ132</f>
        <v>1</v>
      </c>
      <c r="AG28" s="192">
        <f>Results_exp2_1shot!AJ133</f>
        <v>1</v>
      </c>
      <c r="AH28" s="192">
        <f>Results_exp2_1shot!AJ134</f>
        <v>1</v>
      </c>
      <c r="AI28" s="192">
        <f>Results_exp2_1shot!AJ135</f>
        <v>1</v>
      </c>
      <c r="AJ28" s="192">
        <f>Results_exp2_1shot!AJ136</f>
        <v>1</v>
      </c>
      <c r="AL28" s="280">
        <f>Results_exp2_1shot!AQ131</f>
        <v>8</v>
      </c>
      <c r="AM28" s="280">
        <f>Results_exp2_1shot!AQ132</f>
        <v>9</v>
      </c>
      <c r="AN28" s="280">
        <f>Results_exp2_1shot!AQ133</f>
        <v>10</v>
      </c>
      <c r="AO28" s="280">
        <f>Results_exp2_1shot!AQ134</f>
        <v>10</v>
      </c>
      <c r="AP28" s="280">
        <f>Results_exp2_1shot!AQ135</f>
        <v>0</v>
      </c>
      <c r="AQ28" s="280">
        <f>Results_exp2_1shot!AQ136</f>
        <v>0</v>
      </c>
    </row>
    <row r="29" spans="1:43" s="41" customFormat="1">
      <c r="A29" s="14" t="s">
        <v>324</v>
      </c>
      <c r="B29" s="14" t="s">
        <v>153</v>
      </c>
      <c r="C29" s="192">
        <f>Results_exp2_1shot!S139</f>
        <v>1</v>
      </c>
      <c r="D29" s="192">
        <f>Results_exp2_1shot!S140</f>
        <v>0.93939393939393945</v>
      </c>
      <c r="E29" s="192">
        <f>Results_exp2_1shot!S141</f>
        <v>0.93939393939393945</v>
      </c>
      <c r="F29" s="192">
        <f>Results_exp2_1shot!S142</f>
        <v>1</v>
      </c>
      <c r="G29" s="192">
        <f>Results_exp2_1shot!S143</f>
        <v>1</v>
      </c>
      <c r="H29" s="192">
        <f>Results_exp2_1shot!S144</f>
        <v>1</v>
      </c>
      <c r="J29" s="192">
        <f>Results_exp2_1shot!Y139</f>
        <v>1</v>
      </c>
      <c r="K29" s="192">
        <f>Results_exp2_1shot!Y140</f>
        <v>0.83333333333333337</v>
      </c>
      <c r="L29" s="192">
        <f>Results_exp2_1shot!Y141</f>
        <v>0.83333333333333337</v>
      </c>
      <c r="M29" s="192">
        <f>Results_exp2_1shot!Y142</f>
        <v>1</v>
      </c>
      <c r="N29" s="192">
        <f>Results_exp2_1shot!Y143</f>
        <v>1</v>
      </c>
      <c r="O29" s="192">
        <f>Results_exp2_1shot!Y144</f>
        <v>1</v>
      </c>
      <c r="Q29" s="192">
        <f>Results_exp2_1shot!AE139</f>
        <v>1</v>
      </c>
      <c r="R29" s="192">
        <f>Results_exp2_1shot!AE140</f>
        <v>0.93103448275862066</v>
      </c>
      <c r="S29" s="192">
        <f>Results_exp2_1shot!AE141</f>
        <v>0.89655172413793105</v>
      </c>
      <c r="T29" s="192">
        <f>Results_exp2_1shot!AE142</f>
        <v>1</v>
      </c>
      <c r="U29" s="192">
        <f>Results_exp2_1shot!AE143</f>
        <v>1</v>
      </c>
      <c r="V29" s="192">
        <f>Results_exp2_1shot!AE144</f>
        <v>0.96551724137931039</v>
      </c>
      <c r="W29" s="224"/>
      <c r="X29" s="192">
        <f>Results_exp2_1shot!AI139</f>
        <v>0.46666666666666667</v>
      </c>
      <c r="Y29" s="192">
        <f>Results_exp2_1shot!AI140</f>
        <v>0.46666666666666667</v>
      </c>
      <c r="Z29" s="192">
        <f>Results_exp2_1shot!AI141</f>
        <v>0.4</v>
      </c>
      <c r="AA29" s="192">
        <f>Results_exp2_1shot!AI142</f>
        <v>0.46666666666666667</v>
      </c>
      <c r="AB29" s="192">
        <f>Results_exp2_1shot!AI143</f>
        <v>0.46666666666666667</v>
      </c>
      <c r="AC29" s="192">
        <f>Results_exp2_1shot!AI144</f>
        <v>0.4</v>
      </c>
      <c r="AE29" s="192">
        <f>Results_exp2_1shot!AJ139</f>
        <v>1</v>
      </c>
      <c r="AF29" s="192">
        <f>Results_exp2_1shot!AJ140</f>
        <v>1</v>
      </c>
      <c r="AG29" s="192">
        <f>Results_exp2_1shot!AJ141</f>
        <v>1</v>
      </c>
      <c r="AH29" s="192">
        <f>Results_exp2_1shot!AJ142</f>
        <v>1</v>
      </c>
      <c r="AI29" s="192">
        <f>Results_exp2_1shot!AJ143</f>
        <v>1</v>
      </c>
      <c r="AJ29" s="192">
        <f>Results_exp2_1shot!AJ144</f>
        <v>0.75</v>
      </c>
      <c r="AL29" s="280">
        <f>Results_exp2_1shot!AQ139</f>
        <v>15</v>
      </c>
      <c r="AM29" s="280">
        <f>Results_exp2_1shot!AQ140</f>
        <v>14</v>
      </c>
      <c r="AN29" s="280">
        <f>Results_exp2_1shot!AQ141</f>
        <v>14</v>
      </c>
      <c r="AO29" s="280">
        <f>Results_exp2_1shot!AQ142</f>
        <v>18</v>
      </c>
      <c r="AP29" s="280">
        <f>Results_exp2_1shot!AQ143</f>
        <v>0</v>
      </c>
      <c r="AQ29" s="280">
        <f>Results_exp2_1shot!AQ144</f>
        <v>0</v>
      </c>
    </row>
    <row r="30" spans="1:43" s="14" customFormat="1">
      <c r="A30" s="41" t="s">
        <v>321</v>
      </c>
      <c r="B30" s="14" t="s">
        <v>165</v>
      </c>
      <c r="C30" s="192">
        <f>Results_exp2_1shot!S147</f>
        <v>0.70769230769230762</v>
      </c>
      <c r="D30" s="192">
        <f>Results_exp2_1shot!S148</f>
        <v>0.77611940298507465</v>
      </c>
      <c r="E30" s="192">
        <f>Results_exp2_1shot!S149</f>
        <v>0.76470588235294112</v>
      </c>
      <c r="F30" s="192">
        <f>Results_exp2_1shot!S150</f>
        <v>0.77611940298507465</v>
      </c>
      <c r="G30" s="192">
        <f>Results_exp2_1shot!S151</f>
        <v>0.70769230769230762</v>
      </c>
      <c r="H30" s="192">
        <f>Results_exp2_1shot!S152</f>
        <v>0.71641791044776115</v>
      </c>
      <c r="J30" s="192">
        <f>Results_exp2_1shot!Y147</f>
        <v>0.66666666666666663</v>
      </c>
      <c r="K30" s="192">
        <f>Results_exp2_1shot!Y148</f>
        <v>0.81818181818181823</v>
      </c>
      <c r="L30" s="192">
        <f>Results_exp2_1shot!Y149</f>
        <v>0.72727272727272729</v>
      </c>
      <c r="M30" s="192">
        <f>Results_exp2_1shot!Y150</f>
        <v>0.72727272727272729</v>
      </c>
      <c r="N30" s="192">
        <f>Results_exp2_1shot!Y151</f>
        <v>0.66666666666666663</v>
      </c>
      <c r="O30" s="192">
        <f>Results_exp2_1shot!Y152</f>
        <v>0.72727272727272729</v>
      </c>
      <c r="Q30" s="192">
        <f>Results_exp2_1shot!AE147</f>
        <v>0.80701754385964919</v>
      </c>
      <c r="R30" s="192">
        <f>Results_exp2_1shot!AE148</f>
        <v>0.81355932203389825</v>
      </c>
      <c r="S30" s="192">
        <f>Results_exp2_1shot!AE149</f>
        <v>0.83333333333333337</v>
      </c>
      <c r="T30" s="192">
        <f>Results_exp2_1shot!AE150</f>
        <v>0.74576271186440668</v>
      </c>
      <c r="U30" s="192">
        <f>Results_exp2_1shot!AE151</f>
        <v>0.80701754385964919</v>
      </c>
      <c r="V30" s="192">
        <f>Results_exp2_1shot!AE152</f>
        <v>0.84745762711864403</v>
      </c>
      <c r="W30" s="224"/>
      <c r="X30" s="192">
        <f>Results_exp2_1shot!AI147</f>
        <v>0.4375</v>
      </c>
      <c r="Y30" s="192">
        <f>Results_exp2_1shot!AI148</f>
        <v>0.5</v>
      </c>
      <c r="Z30" s="192">
        <f>Results_exp2_1shot!AI149</f>
        <v>0.25</v>
      </c>
      <c r="AA30" s="192">
        <f>Results_exp2_1shot!AI150</f>
        <v>0.3125</v>
      </c>
      <c r="AB30" s="192">
        <f>Results_exp2_1shot!AI151</f>
        <v>0.25</v>
      </c>
      <c r="AC30" s="192">
        <f>Results_exp2_1shot!AI152</f>
        <v>0.25</v>
      </c>
      <c r="AE30" s="192">
        <f>Results_exp2_1shot!AJ147</f>
        <v>1</v>
      </c>
      <c r="AF30" s="192">
        <f>Results_exp2_1shot!AJ148</f>
        <v>1</v>
      </c>
      <c r="AG30" s="192">
        <f>Results_exp2_1shot!AJ149</f>
        <v>1</v>
      </c>
      <c r="AH30" s="192">
        <f>Results_exp2_1shot!AJ150</f>
        <v>1</v>
      </c>
      <c r="AI30" s="192">
        <f>Results_exp2_1shot!AJ151</f>
        <v>1</v>
      </c>
      <c r="AJ30" s="192">
        <f>Results_exp2_1shot!AJ152</f>
        <v>1</v>
      </c>
      <c r="AL30" s="280">
        <f>Results_exp2_1shot!AQ147</f>
        <v>7</v>
      </c>
      <c r="AM30" s="280">
        <f>Results_exp2_1shot!AQ148</f>
        <v>8</v>
      </c>
      <c r="AN30" s="280">
        <f>Results_exp2_1shot!AQ149</f>
        <v>12</v>
      </c>
      <c r="AO30" s="280">
        <f>Results_exp2_1shot!AQ150</f>
        <v>13</v>
      </c>
      <c r="AP30" s="280">
        <f>Results_exp2_1shot!AQ151</f>
        <v>0</v>
      </c>
      <c r="AQ30" s="280">
        <f>Results_exp2_1shot!AQ152</f>
        <v>0</v>
      </c>
    </row>
    <row r="31" spans="1:43" s="14" customFormat="1">
      <c r="A31" s="14" t="s">
        <v>325</v>
      </c>
      <c r="B31" s="14" t="s">
        <v>136</v>
      </c>
      <c r="C31" s="192">
        <f>Results_exp2_1shot!S155</f>
        <v>0.93670886075949367</v>
      </c>
      <c r="D31" s="192">
        <f>Results_exp2_1shot!S156</f>
        <v>0.92307692307692302</v>
      </c>
      <c r="E31" s="192">
        <f>Results_exp2_1shot!S157</f>
        <v>0.93670886075949367</v>
      </c>
      <c r="F31" s="192">
        <f>Results_exp2_1shot!S158</f>
        <v>0.95000000000000007</v>
      </c>
      <c r="G31" s="192">
        <f>Results_exp2_1shot!S159</f>
        <v>0.95000000000000007</v>
      </c>
      <c r="H31" s="192">
        <f>Results_exp2_1shot!S160</f>
        <v>0.95000000000000007</v>
      </c>
      <c r="J31" s="192">
        <f>Results_exp2_1shot!Y155</f>
        <v>1</v>
      </c>
      <c r="K31" s="192">
        <f>Results_exp2_1shot!Y156</f>
        <v>0.8571428571428571</v>
      </c>
      <c r="L31" s="192">
        <f>Results_exp2_1shot!Y157</f>
        <v>0.93333333333333335</v>
      </c>
      <c r="M31" s="192">
        <f>Results_exp2_1shot!Y158</f>
        <v>0.93333333333333335</v>
      </c>
      <c r="N31" s="192">
        <f>Results_exp2_1shot!Y159</f>
        <v>1</v>
      </c>
      <c r="O31" s="192">
        <f>Results_exp2_1shot!Y160</f>
        <v>0.93333333333333335</v>
      </c>
      <c r="Q31" s="192">
        <f>Results_exp2_1shot!AE155</f>
        <v>0.81690140845070425</v>
      </c>
      <c r="R31" s="192">
        <f>Results_exp2_1shot!AE156</f>
        <v>0.78873239436619724</v>
      </c>
      <c r="S31" s="192">
        <f>Results_exp2_1shot!AE157</f>
        <v>0.70422535211267601</v>
      </c>
      <c r="T31" s="192">
        <f>Results_exp2_1shot!AE158</f>
        <v>0.83333333333333326</v>
      </c>
      <c r="U31" s="192">
        <f>Results_exp2_1shot!AE159</f>
        <v>0.83333333333333326</v>
      </c>
      <c r="V31" s="192">
        <f>Results_exp2_1shot!AE160</f>
        <v>0.83333333333333326</v>
      </c>
      <c r="W31" s="224"/>
      <c r="X31" s="192">
        <f>Results_exp2_1shot!AI155</f>
        <v>0.61111111111111116</v>
      </c>
      <c r="Y31" s="192">
        <f>Results_exp2_1shot!AI156</f>
        <v>0</v>
      </c>
      <c r="Z31" s="192">
        <f>Results_exp2_1shot!AI157</f>
        <v>0.27777777777777779</v>
      </c>
      <c r="AA31" s="192">
        <f>Results_exp2_1shot!AI158</f>
        <v>0.44444444444444442</v>
      </c>
      <c r="AB31" s="192">
        <f>Results_exp2_1shot!AI159</f>
        <v>0.5</v>
      </c>
      <c r="AC31" s="192">
        <f>Results_exp2_1shot!AI160</f>
        <v>0.27777777777777779</v>
      </c>
      <c r="AE31" s="192">
        <f>Results_exp2_1shot!AJ155</f>
        <v>1</v>
      </c>
      <c r="AF31" s="192">
        <f>Results_exp2_1shot!AJ156</f>
        <v>0</v>
      </c>
      <c r="AG31" s="192">
        <f>Results_exp2_1shot!AJ157</f>
        <v>1</v>
      </c>
      <c r="AH31" s="192">
        <f>Results_exp2_1shot!AJ158</f>
        <v>1</v>
      </c>
      <c r="AI31" s="192">
        <f>Results_exp2_1shot!AJ159</f>
        <v>1</v>
      </c>
      <c r="AJ31" s="192">
        <f>Results_exp2_1shot!AJ160</f>
        <v>1</v>
      </c>
      <c r="AL31" s="280">
        <f>Results_exp2_1shot!AQ155</f>
        <v>11</v>
      </c>
      <c r="AM31" s="280">
        <f>Results_exp2_1shot!AQ156</f>
        <v>13</v>
      </c>
      <c r="AN31" s="280">
        <f>Results_exp2_1shot!AQ157</f>
        <v>15</v>
      </c>
      <c r="AO31" s="280">
        <f>Results_exp2_1shot!AQ158</f>
        <v>18</v>
      </c>
      <c r="AP31" s="280">
        <f>Results_exp2_1shot!AQ159</f>
        <v>0</v>
      </c>
      <c r="AQ31" s="280">
        <f>Results_exp2_1shot!AQ160</f>
        <v>0</v>
      </c>
    </row>
    <row r="32" spans="1:43" s="14" customFormat="1">
      <c r="A32" s="14" t="s">
        <v>326</v>
      </c>
      <c r="B32" s="14" t="s">
        <v>166</v>
      </c>
      <c r="C32" s="192">
        <f>Results_exp2_1shot!S163</f>
        <v>0.83783783783783783</v>
      </c>
      <c r="D32" s="192">
        <f>Results_exp2_1shot!S164</f>
        <v>0.81081081081081074</v>
      </c>
      <c r="E32" s="192">
        <f>Results_exp2_1shot!S165</f>
        <v>0.85714285714285721</v>
      </c>
      <c r="F32" s="192">
        <f>Results_exp2_1shot!S166</f>
        <v>0.83783783783783783</v>
      </c>
      <c r="G32" s="192">
        <f>Results_exp2_1shot!S167</f>
        <v>0.82666666666666666</v>
      </c>
      <c r="H32" s="192">
        <f>Results_exp2_1shot!S168</f>
        <v>0.93333333333333335</v>
      </c>
      <c r="J32" s="192">
        <f>Results_exp2_1shot!Y163</f>
        <v>0.75000000000000011</v>
      </c>
      <c r="K32" s="192">
        <f>Results_exp2_1shot!Y164</f>
        <v>0.66666666666666674</v>
      </c>
      <c r="L32" s="192">
        <f>Results_exp2_1shot!Y165</f>
        <v>0.78260869565217384</v>
      </c>
      <c r="M32" s="192">
        <f>Results_exp2_1shot!Y166</f>
        <v>0.75000000000000011</v>
      </c>
      <c r="N32" s="192">
        <f>Results_exp2_1shot!Y167</f>
        <v>0.78260869565217384</v>
      </c>
      <c r="O32" s="192">
        <f>Results_exp2_1shot!Y168</f>
        <v>0.87999999999999989</v>
      </c>
      <c r="Q32" s="192">
        <f>Results_exp2_1shot!AE163</f>
        <v>0.65671641791044777</v>
      </c>
      <c r="R32" s="192">
        <f>Results_exp2_1shot!AE164</f>
        <v>0.65671641791044777</v>
      </c>
      <c r="S32" s="192">
        <f>Results_exp2_1shot!AE165</f>
        <v>0.84057971014492761</v>
      </c>
      <c r="T32" s="192">
        <f>Results_exp2_1shot!AE166</f>
        <v>0.65671641791044777</v>
      </c>
      <c r="U32" s="192">
        <f>Results_exp2_1shot!AE167</f>
        <v>0.86567164179104472</v>
      </c>
      <c r="V32" s="192">
        <f>Results_exp2_1shot!AE168</f>
        <v>0.86567164179104472</v>
      </c>
      <c r="W32" s="224"/>
      <c r="X32" s="192">
        <f>Results_exp2_1shot!AI163</f>
        <v>0.29411764705882354</v>
      </c>
      <c r="Y32" s="192">
        <f>Results_exp2_1shot!AI164</f>
        <v>0.35294117647058826</v>
      </c>
      <c r="Z32" s="192">
        <f>Results_exp2_1shot!AI165</f>
        <v>0.47058823529411764</v>
      </c>
      <c r="AA32" s="192">
        <f>Results_exp2_1shot!AI166</f>
        <v>0.17647058823529413</v>
      </c>
      <c r="AB32" s="192">
        <f>Results_exp2_1shot!AI167</f>
        <v>0.29411764705882354</v>
      </c>
      <c r="AC32" s="192">
        <f>Results_exp2_1shot!AI168</f>
        <v>5.8823529411764705E-2</v>
      </c>
      <c r="AE32" s="192">
        <f>Results_exp2_1shot!AJ163</f>
        <v>0.83333333333333337</v>
      </c>
      <c r="AF32" s="192">
        <f>Results_exp2_1shot!AJ164</f>
        <v>0.8571428571428571</v>
      </c>
      <c r="AG32" s="192">
        <f>Results_exp2_1shot!AJ165</f>
        <v>0.88888888888888884</v>
      </c>
      <c r="AH32" s="192">
        <f>Results_exp2_1shot!AJ166</f>
        <v>0.75</v>
      </c>
      <c r="AI32" s="192">
        <f>Results_exp2_1shot!AJ167</f>
        <v>0.83333333333333337</v>
      </c>
      <c r="AJ32" s="192">
        <f>Results_exp2_1shot!AJ168</f>
        <v>0.5</v>
      </c>
      <c r="AL32" s="280">
        <f>Results_exp2_1shot!AQ163</f>
        <v>10</v>
      </c>
      <c r="AM32" s="280">
        <f>Results_exp2_1shot!AQ164</f>
        <v>12</v>
      </c>
      <c r="AN32" s="280">
        <f>Results_exp2_1shot!AQ165</f>
        <v>14</v>
      </c>
      <c r="AO32" s="280">
        <f>Results_exp2_1shot!AQ166</f>
        <v>15</v>
      </c>
      <c r="AP32" s="280">
        <f>Results_exp2_1shot!AQ167</f>
        <v>0</v>
      </c>
      <c r="AQ32" s="280">
        <f>Results_exp2_1shot!AQ168</f>
        <v>0</v>
      </c>
    </row>
    <row r="33" spans="1:43" s="14" customFormat="1">
      <c r="A33" s="14" t="s">
        <v>327</v>
      </c>
      <c r="B33" s="14" t="s">
        <v>164</v>
      </c>
      <c r="C33" s="192">
        <f>Results_exp2_1shot!S171</f>
        <v>0.76056338028169024</v>
      </c>
      <c r="D33" s="192">
        <f>Results_exp2_1shot!S172</f>
        <v>0.76056338028169024</v>
      </c>
      <c r="E33" s="192">
        <f>Results_exp2_1shot!S173</f>
        <v>0.72727272727272718</v>
      </c>
      <c r="F33" s="192">
        <f>Results_exp2_1shot!S174</f>
        <v>0.84507042253521125</v>
      </c>
      <c r="G33" s="192">
        <f>Results_exp2_1shot!S175</f>
        <v>0.87323943661971837</v>
      </c>
      <c r="H33" s="192">
        <f>Results_exp2_1shot!S176</f>
        <v>0.81690140845070436</v>
      </c>
      <c r="J33" s="192">
        <f>Results_exp2_1shot!Y171</f>
        <v>0.57142857142857151</v>
      </c>
      <c r="K33" s="192">
        <f>Results_exp2_1shot!Y172</f>
        <v>0.66666666666666652</v>
      </c>
      <c r="L33" s="192">
        <f>Results_exp2_1shot!Y173</f>
        <v>0.69230769230769229</v>
      </c>
      <c r="M33" s="192">
        <f>Results_exp2_1shot!Y174</f>
        <v>0.78571428571428559</v>
      </c>
      <c r="N33" s="192">
        <f>Results_exp2_1shot!Y175</f>
        <v>0.88888888888888895</v>
      </c>
      <c r="O33" s="192">
        <f>Results_exp2_1shot!Y176</f>
        <v>0.76923076923076916</v>
      </c>
      <c r="Q33" s="192">
        <f>Results_exp2_1shot!AE171</f>
        <v>0.86153846153846148</v>
      </c>
      <c r="R33" s="192">
        <f>Results_exp2_1shot!AE172</f>
        <v>0.8</v>
      </c>
      <c r="S33" s="192">
        <f>Results_exp2_1shot!AE173</f>
        <v>0.83333333333333337</v>
      </c>
      <c r="T33" s="192">
        <f>Results_exp2_1shot!AE174</f>
        <v>0.89230769230769225</v>
      </c>
      <c r="U33" s="192">
        <f>Results_exp2_1shot!AE175</f>
        <v>0.93749999999999989</v>
      </c>
      <c r="V33" s="192">
        <f>Results_exp2_1shot!AE176</f>
        <v>0.89230769230769225</v>
      </c>
      <c r="W33" s="224"/>
      <c r="X33" s="192">
        <f>Results_exp2_1shot!AI171</f>
        <v>0.1875</v>
      </c>
      <c r="Y33" s="192">
        <f>Results_exp2_1shot!AI172</f>
        <v>0.375</v>
      </c>
      <c r="Z33" s="192">
        <f>Results_exp2_1shot!AI173</f>
        <v>0.375</v>
      </c>
      <c r="AA33" s="192">
        <f>Results_exp2_1shot!AI174</f>
        <v>0.25</v>
      </c>
      <c r="AB33" s="192">
        <f>Results_exp2_1shot!AI175</f>
        <v>0.375</v>
      </c>
      <c r="AC33" s="192">
        <f>Results_exp2_1shot!AI176</f>
        <v>0.375</v>
      </c>
      <c r="AE33" s="192">
        <f>Results_exp2_1shot!AJ171</f>
        <v>1</v>
      </c>
      <c r="AF33" s="192">
        <f>Results_exp2_1shot!AJ172</f>
        <v>1</v>
      </c>
      <c r="AG33" s="192">
        <f>Results_exp2_1shot!AJ173</f>
        <v>1</v>
      </c>
      <c r="AH33" s="192">
        <f>Results_exp2_1shot!AJ174</f>
        <v>1</v>
      </c>
      <c r="AI33" s="192">
        <f>Results_exp2_1shot!AJ175</f>
        <v>1</v>
      </c>
      <c r="AJ33" s="192">
        <f>Results_exp2_1shot!AJ176</f>
        <v>1</v>
      </c>
      <c r="AL33" s="280">
        <f>Results_exp2_1shot!AQ171</f>
        <v>16</v>
      </c>
      <c r="AM33" s="280">
        <f>Results_exp2_1shot!AQ172</f>
        <v>11</v>
      </c>
      <c r="AN33" s="280">
        <f>Results_exp2_1shot!AQ173</f>
        <v>15</v>
      </c>
      <c r="AO33" s="280">
        <f>Results_exp2_1shot!AQ174</f>
        <v>13</v>
      </c>
      <c r="AP33" s="280">
        <f>Results_exp2_1shot!AQ175</f>
        <v>0</v>
      </c>
      <c r="AQ33" s="280">
        <f>Results_exp2_1shot!AQ176</f>
        <v>0</v>
      </c>
    </row>
    <row r="34" spans="1:43" s="14" customFormat="1">
      <c r="A34" s="14" t="s">
        <v>328</v>
      </c>
      <c r="B34" s="14" t="s">
        <v>137</v>
      </c>
      <c r="C34" s="192">
        <f>Results_exp2_1shot!S179</f>
        <v>0.7435897435897435</v>
      </c>
      <c r="D34" s="192">
        <f>Results_exp2_1shot!S180</f>
        <v>0.77647058823529413</v>
      </c>
      <c r="E34" s="192">
        <f>Results_exp2_1shot!S181</f>
        <v>0.74074074074074059</v>
      </c>
      <c r="F34" s="192">
        <f>Results_exp2_1shot!S182</f>
        <v>0.64</v>
      </c>
      <c r="G34" s="192">
        <f>Results_exp2_1shot!S183</f>
        <v>0.68493150684931503</v>
      </c>
      <c r="H34" s="192">
        <f>Results_exp2_1shot!S184</f>
        <v>0.80952380952380965</v>
      </c>
      <c r="J34" s="192">
        <f>Results_exp2_1shot!Y179</f>
        <v>0.76190476190476197</v>
      </c>
      <c r="K34" s="192">
        <f>Results_exp2_1shot!Y180</f>
        <v>0.81818181818181823</v>
      </c>
      <c r="L34" s="192">
        <f>Results_exp2_1shot!Y181</f>
        <v>0.81818181818181823</v>
      </c>
      <c r="M34" s="192">
        <f>Results_exp2_1shot!Y182</f>
        <v>0.76190476190476197</v>
      </c>
      <c r="N34" s="192">
        <f>Results_exp2_1shot!Y183</f>
        <v>0.8571428571428571</v>
      </c>
      <c r="O34" s="192">
        <f>Results_exp2_1shot!Y184</f>
        <v>0.83333333333333337</v>
      </c>
      <c r="Q34" s="192">
        <f>Results_exp2_1shot!AE179</f>
        <v>0.48648648648648651</v>
      </c>
      <c r="R34" s="192">
        <f>Results_exp2_1shot!AE180</f>
        <v>0.7407407407407407</v>
      </c>
      <c r="S34" s="192">
        <f>Results_exp2_1shot!AE181</f>
        <v>0.54545454545454541</v>
      </c>
      <c r="T34" s="192">
        <f>Results_exp2_1shot!AE182</f>
        <v>0.56338028169014087</v>
      </c>
      <c r="U34" s="192">
        <f>Results_exp2_1shot!AE183</f>
        <v>0.52173913043478259</v>
      </c>
      <c r="V34" s="192">
        <f>Results_exp2_1shot!AE184</f>
        <v>0.65</v>
      </c>
      <c r="W34" s="224"/>
      <c r="X34" s="192">
        <f>Results_exp2_1shot!AI179</f>
        <v>0.40909090909090912</v>
      </c>
      <c r="Y34" s="192">
        <f>Results_exp2_1shot!AI180</f>
        <v>0.31818181818181818</v>
      </c>
      <c r="Z34" s="192">
        <f>Results_exp2_1shot!AI181</f>
        <v>0.31818181818181818</v>
      </c>
      <c r="AA34" s="192">
        <f>Results_exp2_1shot!AI182</f>
        <v>0.40909090909090912</v>
      </c>
      <c r="AB34" s="192">
        <f>Results_exp2_1shot!AI183</f>
        <v>0.13636363636363635</v>
      </c>
      <c r="AC34" s="192">
        <f>Results_exp2_1shot!AI184</f>
        <v>0.59090909090909094</v>
      </c>
      <c r="AE34" s="192">
        <f>Results_exp2_1shot!AJ179</f>
        <v>1</v>
      </c>
      <c r="AF34" s="192">
        <f>Results_exp2_1shot!AJ180</f>
        <v>1</v>
      </c>
      <c r="AG34" s="192">
        <f>Results_exp2_1shot!AJ181</f>
        <v>1</v>
      </c>
      <c r="AH34" s="192">
        <f>Results_exp2_1shot!AJ182</f>
        <v>0.81818181818181823</v>
      </c>
      <c r="AI34" s="192">
        <f>Results_exp2_1shot!AJ183</f>
        <v>1</v>
      </c>
      <c r="AJ34" s="192">
        <f>Results_exp2_1shot!AJ184</f>
        <v>1</v>
      </c>
      <c r="AL34" s="280">
        <f>Results_exp2_1shot!AQ179</f>
        <v>12</v>
      </c>
      <c r="AM34" s="280">
        <f>Results_exp2_1shot!AQ180</f>
        <v>12</v>
      </c>
      <c r="AN34" s="280">
        <f>Results_exp2_1shot!AQ181</f>
        <v>14</v>
      </c>
      <c r="AO34" s="280">
        <f>Results_exp2_1shot!AQ182</f>
        <v>13</v>
      </c>
      <c r="AP34" s="280">
        <f>Results_exp2_1shot!AQ183</f>
        <v>0</v>
      </c>
      <c r="AQ34" s="280">
        <f>Results_exp2_1shot!AQ184</f>
        <v>0</v>
      </c>
    </row>
    <row r="35" spans="1:43" s="14" customFormat="1">
      <c r="A35" s="14" t="s">
        <v>329</v>
      </c>
      <c r="B35" s="14" t="s">
        <v>139</v>
      </c>
      <c r="C35" s="192">
        <f>Results_exp2_1shot!S187</f>
        <v>0.72972972972972983</v>
      </c>
      <c r="D35" s="192">
        <f>Results_exp2_1shot!S188</f>
        <v>0.90109890109890123</v>
      </c>
      <c r="E35" s="192">
        <f>Results_exp2_1shot!S189</f>
        <v>0.69230769230769251</v>
      </c>
      <c r="F35" s="192">
        <f>Results_exp2_1shot!S190</f>
        <v>0.63157894736842102</v>
      </c>
      <c r="G35" s="192">
        <f>Results_exp2_1shot!S191</f>
        <v>0.65753424657534243</v>
      </c>
      <c r="H35" s="192">
        <f>Results_exp2_1shot!S192</f>
        <v>0.86666666666666659</v>
      </c>
      <c r="J35" s="192">
        <f>Results_exp2_1shot!Y187</f>
        <v>0.86956521739130443</v>
      </c>
      <c r="K35" s="192">
        <f>Results_exp2_1shot!Y188</f>
        <v>0.8</v>
      </c>
      <c r="L35" s="192">
        <f>Results_exp2_1shot!Y189</f>
        <v>0.71999999999999986</v>
      </c>
      <c r="M35" s="192">
        <f>Results_exp2_1shot!Y190</f>
        <v>0.64</v>
      </c>
      <c r="N35" s="192">
        <f>Results_exp2_1shot!Y191</f>
        <v>0.78260869565217384</v>
      </c>
      <c r="O35" s="192">
        <f>Results_exp2_1shot!Y192</f>
        <v>0.66666666666666674</v>
      </c>
      <c r="Q35" s="192">
        <f>Results_exp2_1shot!AE187</f>
        <v>0.5</v>
      </c>
      <c r="R35" s="192">
        <f>Results_exp2_1shot!AE188</f>
        <v>0.92134831460674171</v>
      </c>
      <c r="S35" s="192">
        <f>Results_exp2_1shot!AE189</f>
        <v>0.5</v>
      </c>
      <c r="T35" s="192">
        <f>Results_exp2_1shot!AE190</f>
        <v>0.59459459459459463</v>
      </c>
      <c r="U35" s="192">
        <f>Results_exp2_1shot!AE191</f>
        <v>0.47887323943661969</v>
      </c>
      <c r="V35" s="192">
        <f>Results_exp2_1shot!AE192</f>
        <v>0.81818181818181823</v>
      </c>
      <c r="W35" s="224"/>
      <c r="X35" s="192">
        <f>Results_exp2_1shot!AI187</f>
        <v>0.2608695652173913</v>
      </c>
      <c r="Y35" s="192">
        <f>Results_exp2_1shot!AI188</f>
        <v>0.2608695652173913</v>
      </c>
      <c r="Z35" s="192">
        <f>Results_exp2_1shot!AI189</f>
        <v>0.56521739130434778</v>
      </c>
      <c r="AA35" s="192">
        <f>Results_exp2_1shot!AI190</f>
        <v>0.39130434782608697</v>
      </c>
      <c r="AB35" s="192">
        <f>Results_exp2_1shot!AI191</f>
        <v>0.47826086956521741</v>
      </c>
      <c r="AC35" s="192">
        <f>Results_exp2_1shot!AI192</f>
        <v>0.43478260869565216</v>
      </c>
      <c r="AE35" s="192">
        <f>Results_exp2_1shot!AJ187</f>
        <v>1</v>
      </c>
      <c r="AF35" s="192">
        <f>Results_exp2_1shot!AJ188</f>
        <v>1</v>
      </c>
      <c r="AG35" s="192">
        <f>Results_exp2_1shot!AJ189</f>
        <v>1</v>
      </c>
      <c r="AH35" s="192">
        <f>Results_exp2_1shot!AJ190</f>
        <v>1</v>
      </c>
      <c r="AI35" s="192">
        <f>Results_exp2_1shot!AJ191</f>
        <v>1</v>
      </c>
      <c r="AJ35" s="192">
        <f>Results_exp2_1shot!AJ192</f>
        <v>1</v>
      </c>
      <c r="AL35" s="280">
        <f>Results_exp2_1shot!AQ187</f>
        <v>19</v>
      </c>
      <c r="AM35" s="280">
        <f>Results_exp2_1shot!AQ188</f>
        <v>0</v>
      </c>
      <c r="AN35" s="280">
        <f>Results_exp2_1shot!AQ189</f>
        <v>0</v>
      </c>
      <c r="AO35" s="280">
        <f>Results_exp2_1shot!AQ190</f>
        <v>0</v>
      </c>
      <c r="AP35" s="280">
        <f>Results_exp2_1shot!AQ191</f>
        <v>0</v>
      </c>
      <c r="AQ35" s="280">
        <f>Results_exp2_1shot!AQ192</f>
        <v>0</v>
      </c>
    </row>
    <row r="36" spans="1:43" s="14" customFormat="1">
      <c r="A36" s="14" t="s">
        <v>330</v>
      </c>
      <c r="B36" s="14" t="s">
        <v>163</v>
      </c>
      <c r="C36" s="192">
        <f>Results_exp2_1shot!S195</f>
        <v>0.87128712871287128</v>
      </c>
      <c r="D36" s="192">
        <f>Results_exp2_1shot!S196</f>
        <v>0.72727272727272718</v>
      </c>
      <c r="E36" s="192">
        <f>Results_exp2_1shot!S197</f>
        <v>0.74999999999999989</v>
      </c>
      <c r="F36" s="192">
        <f>Results_exp2_1shot!S198</f>
        <v>0.72727272727272718</v>
      </c>
      <c r="G36" s="192">
        <f>Results_exp2_1shot!S199</f>
        <v>0.82474226804123707</v>
      </c>
      <c r="H36" s="192">
        <f>Results_exp2_1shot!S200</f>
        <v>0.73333333333333339</v>
      </c>
      <c r="J36" s="192">
        <f>Results_exp2_1shot!Y195</f>
        <v>0.80000000000000016</v>
      </c>
      <c r="K36" s="192">
        <f>Results_exp2_1shot!Y196</f>
        <v>0.8421052631578948</v>
      </c>
      <c r="L36" s="192">
        <f>Results_exp2_1shot!Y197</f>
        <v>0.94736842105263164</v>
      </c>
      <c r="M36" s="192">
        <f>Results_exp2_1shot!Y198</f>
        <v>0.8421052631578948</v>
      </c>
      <c r="N36" s="192">
        <f>Results_exp2_1shot!Y199</f>
        <v>0.80000000000000016</v>
      </c>
      <c r="O36" s="192">
        <f>Results_exp2_1shot!Y200</f>
        <v>0.8421052631578948</v>
      </c>
      <c r="Q36" s="192">
        <f>Results_exp2_1shot!AE195</f>
        <v>0.8910891089108911</v>
      </c>
      <c r="R36" s="192">
        <f>Results_exp2_1shot!AE196</f>
        <v>0.72727272727272718</v>
      </c>
      <c r="S36" s="192">
        <f>Results_exp2_1shot!AE197</f>
        <v>0.74999999999999989</v>
      </c>
      <c r="T36" s="192">
        <f>Results_exp2_1shot!AE198</f>
        <v>0.74999999999999989</v>
      </c>
      <c r="U36" s="192">
        <f>Results_exp2_1shot!AE199</f>
        <v>0.82474226804123707</v>
      </c>
      <c r="V36" s="192">
        <f>Results_exp2_1shot!AE200</f>
        <v>0.77777777777777779</v>
      </c>
      <c r="W36" s="224"/>
      <c r="X36" s="192">
        <f>Results_exp2_1shot!AI195</f>
        <v>0.23333333333333334</v>
      </c>
      <c r="Y36" s="192">
        <f>Results_exp2_1shot!AI196</f>
        <v>0.16666666666666666</v>
      </c>
      <c r="Z36" s="192">
        <f>Results_exp2_1shot!AI197</f>
        <v>0.3</v>
      </c>
      <c r="AA36" s="192">
        <f>Results_exp2_1shot!AI190</f>
        <v>0.39130434782608697</v>
      </c>
      <c r="AB36" s="192">
        <f>Results_exp2_1shot!AI199</f>
        <v>0.2</v>
      </c>
      <c r="AC36" s="192">
        <f>Results_exp2_1shot!AI200</f>
        <v>0.3</v>
      </c>
      <c r="AE36" s="192">
        <f>Results_exp2_1shot!AJ195</f>
        <v>1</v>
      </c>
      <c r="AF36" s="192">
        <f>Results_exp2_1shot!AJ196</f>
        <v>1</v>
      </c>
      <c r="AG36" s="192">
        <f>Results_exp2_1shot!AJ197</f>
        <v>1</v>
      </c>
      <c r="AH36" s="192">
        <f>Results_exp2_1shot!AJ190</f>
        <v>1</v>
      </c>
      <c r="AI36" s="192">
        <f>Results_exp2_1shot!AJ199</f>
        <v>1</v>
      </c>
      <c r="AJ36" s="192">
        <f>Results_exp2_1shot!AJ200</f>
        <v>1</v>
      </c>
      <c r="AL36" s="280">
        <f>Results_exp2_1shot!AQ195</f>
        <v>0</v>
      </c>
      <c r="AM36" s="280">
        <f>Results_exp2_1shot!AQ196</f>
        <v>0</v>
      </c>
      <c r="AN36" s="280">
        <f>Results_exp2_1shot!AQ197</f>
        <v>0</v>
      </c>
      <c r="AO36" s="280">
        <f>Results_exp2_1shot!AQ190</f>
        <v>0</v>
      </c>
      <c r="AP36" s="280">
        <f>Results_exp2_1shot!AQ199</f>
        <v>0</v>
      </c>
      <c r="AQ36" s="280">
        <f>Results_exp2_1shot!AQ200</f>
        <v>0</v>
      </c>
    </row>
    <row r="37" spans="1:43" s="14" customFormat="1">
      <c r="A37" s="14" t="s">
        <v>331</v>
      </c>
      <c r="B37" s="14" t="s">
        <v>138</v>
      </c>
      <c r="C37" s="192">
        <f>Results_exp2_1shot!S203</f>
        <v>0.82828282828282818</v>
      </c>
      <c r="D37" s="192">
        <f>Results_exp2_1shot!S204</f>
        <v>0.83999999999999986</v>
      </c>
      <c r="E37" s="192">
        <f>Results_exp2_1shot!S205</f>
        <v>0.86792452830188682</v>
      </c>
      <c r="F37" s="192">
        <f>Results_exp2_1shot!S206</f>
        <v>0.8431372549019609</v>
      </c>
      <c r="G37" s="192">
        <f>Results_exp2_1shot!S207</f>
        <v>0.85436893203883491</v>
      </c>
      <c r="H37" s="192">
        <f>Results_exp2_1shot!S208</f>
        <v>0.87619047619047619</v>
      </c>
      <c r="J37" s="192">
        <f>Results_exp2_1shot!Y203</f>
        <v>0.70588235294117641</v>
      </c>
      <c r="K37" s="192">
        <f>Results_exp2_1shot!Y204</f>
        <v>0.77777777777777768</v>
      </c>
      <c r="L37" s="192">
        <f>Results_exp2_1shot!Y205</f>
        <v>0.73684210526315774</v>
      </c>
      <c r="M37" s="192">
        <f>Results_exp2_1shot!Y206</f>
        <v>0.73684210526315774</v>
      </c>
      <c r="N37" s="192">
        <f>Results_exp2_1shot!Y207</f>
        <v>0.80000000000000016</v>
      </c>
      <c r="O37" s="192">
        <f>Results_exp2_1shot!Y208</f>
        <v>0.80000000000000016</v>
      </c>
      <c r="Q37" s="192">
        <f>Results_exp2_1shot!AE203</f>
        <v>0.57777777777777783</v>
      </c>
      <c r="R37" s="192">
        <f>Results_exp2_1shot!AE204</f>
        <v>0.68131868131868134</v>
      </c>
      <c r="S37" s="192">
        <f>Results_exp2_1shot!AE205</f>
        <v>0.81632653061224492</v>
      </c>
      <c r="T37" s="192">
        <f>Results_exp2_1shot!AE206</f>
        <v>0.67391304347826086</v>
      </c>
      <c r="U37" s="192">
        <f>Results_exp2_1shot!AE207</f>
        <v>0.75268817204301075</v>
      </c>
      <c r="V37" s="192">
        <f>Results_exp2_1shot!AE208</f>
        <v>0.77894736842105272</v>
      </c>
      <c r="W37" s="224"/>
      <c r="X37" s="192">
        <f>Results_exp2_1shot!AI203</f>
        <v>4.3478260869565216E-2</v>
      </c>
      <c r="Y37" s="192">
        <f>Results_exp2_1shot!AI204</f>
        <v>4.3478260869565216E-2</v>
      </c>
      <c r="Z37" s="192">
        <f>Results_exp2_1shot!AI205</f>
        <v>8.6956521739130432E-2</v>
      </c>
      <c r="AA37" s="192">
        <f>Results_exp2_1shot!AI206</f>
        <v>0.13043478260869565</v>
      </c>
      <c r="AB37" s="192">
        <f>Results_exp2_1shot!AI207</f>
        <v>0.21739130434782608</v>
      </c>
      <c r="AC37" s="192">
        <f>Results_exp2_1shot!AI208</f>
        <v>0.17391304347826086</v>
      </c>
      <c r="AE37" s="192">
        <f>Results_exp2_1shot!AJ203</f>
        <v>1</v>
      </c>
      <c r="AF37" s="192">
        <f>Results_exp2_1shot!AJ204</f>
        <v>1</v>
      </c>
      <c r="AG37" s="192">
        <f>Results_exp2_1shot!AJ205</f>
        <v>1</v>
      </c>
      <c r="AH37" s="192">
        <f>Results_exp2_1shot!AJ206</f>
        <v>1</v>
      </c>
      <c r="AI37" s="192">
        <f>Results_exp2_1shot!AJ207</f>
        <v>1</v>
      </c>
      <c r="AJ37" s="192">
        <f>Results_exp2_1shot!AJ208</f>
        <v>1</v>
      </c>
      <c r="AL37" s="280">
        <f>Results_exp2_1shot!AQ203</f>
        <v>0</v>
      </c>
      <c r="AM37" s="280">
        <f>Results_exp2_1shot!AQ204</f>
        <v>0</v>
      </c>
      <c r="AN37" s="280">
        <f>Results_exp2_1shot!AQ205</f>
        <v>0</v>
      </c>
      <c r="AO37" s="280">
        <f>Results_exp2_1shot!AQ206</f>
        <v>0</v>
      </c>
      <c r="AP37" s="280">
        <f>Results_exp2_1shot!AQ207</f>
        <v>0</v>
      </c>
      <c r="AQ37" s="280">
        <f>Results_exp2_1shot!AQ208</f>
        <v>0</v>
      </c>
    </row>
    <row r="38" spans="1:43" s="180" customFormat="1">
      <c r="A38" s="180" t="s">
        <v>332</v>
      </c>
      <c r="B38" s="180" t="s">
        <v>171</v>
      </c>
      <c r="C38" s="193">
        <f>Results_exp2_1shot!S211</f>
        <v>0.65979381443298968</v>
      </c>
      <c r="D38" s="193">
        <f>Results_exp2_1shot!S212</f>
        <v>0.76785714285714279</v>
      </c>
      <c r="E38" s="193">
        <f>Results_exp2_1shot!S213</f>
        <v>0.74074074074074059</v>
      </c>
      <c r="F38" s="193">
        <f>Results_exp2_1shot!S214</f>
        <v>0.71844660194174759</v>
      </c>
      <c r="G38" s="193">
        <f>Results_exp2_1shot!S215</f>
        <v>0.69306930693069291</v>
      </c>
      <c r="H38" s="193">
        <f>Results_exp2_1shot!S216</f>
        <v>0.73786407766990281</v>
      </c>
      <c r="J38" s="193">
        <f>Results_exp2_1shot!Y211</f>
        <v>0.66666666666666663</v>
      </c>
      <c r="K38" s="193">
        <f>Results_exp2_1shot!Y212</f>
        <v>0.63636363636363646</v>
      </c>
      <c r="L38" s="193">
        <f>Results_exp2_1shot!Y213</f>
        <v>0.72727272727272718</v>
      </c>
      <c r="M38" s="193">
        <f>Results_exp2_1shot!Y214</f>
        <v>0.73684210526315785</v>
      </c>
      <c r="N38" s="193">
        <f>Results_exp2_1shot!Y215</f>
        <v>0.73684210526315785</v>
      </c>
      <c r="O38" s="193">
        <f>Results_exp2_1shot!Y216</f>
        <v>0.73684210526315785</v>
      </c>
      <c r="Q38" s="193">
        <f>Results_exp2_1shot!AE211</f>
        <v>0.42696629213483145</v>
      </c>
      <c r="R38" s="193">
        <f>Results_exp2_1shot!AE212</f>
        <v>0.75</v>
      </c>
      <c r="S38" s="193">
        <f>Results_exp2_1shot!AE213</f>
        <v>0.68</v>
      </c>
      <c r="T38" s="193">
        <f>Results_exp2_1shot!AE214</f>
        <v>0.48421052631578942</v>
      </c>
      <c r="U38" s="193">
        <f>Results_exp2_1shot!AE215</f>
        <v>0.55913978494623651</v>
      </c>
      <c r="V38" s="193">
        <f>Results_exp2_1shot!AE216</f>
        <v>0.56842105263157894</v>
      </c>
      <c r="W38" s="225"/>
      <c r="X38" s="193">
        <f>Results_exp2_1shot!AI211</f>
        <v>0.1111111111111111</v>
      </c>
      <c r="Y38" s="193">
        <f>Results_exp2_1shot!AI212</f>
        <v>0.25925925925925924</v>
      </c>
      <c r="Z38" s="193">
        <f>Results_exp2_1shot!AI213</f>
        <v>0.14814814814814814</v>
      </c>
      <c r="AA38" s="193">
        <f>Results_exp2_1shot!AI214</f>
        <v>7.407407407407407E-2</v>
      </c>
      <c r="AB38" s="193">
        <f>Results_exp2_1shot!AI215</f>
        <v>0.37037037037037035</v>
      </c>
      <c r="AC38" s="193">
        <f>Results_exp2_1shot!AI216</f>
        <v>0.14814814814814814</v>
      </c>
      <c r="AE38" s="193">
        <f>Results_exp2_1shot!AJ211</f>
        <v>0.75</v>
      </c>
      <c r="AF38" s="193">
        <f>Results_exp2_1shot!AJ212</f>
        <v>1</v>
      </c>
      <c r="AG38" s="193">
        <f>Results_exp2_1shot!AJ213</f>
        <v>0.8</v>
      </c>
      <c r="AH38" s="193">
        <f>Results_exp2_1shot!AJ214</f>
        <v>1</v>
      </c>
      <c r="AI38" s="193">
        <f>Results_exp2_1shot!AJ215</f>
        <v>1</v>
      </c>
      <c r="AJ38" s="193">
        <f>Results_exp2_1shot!AJ216</f>
        <v>1</v>
      </c>
      <c r="AL38" s="281">
        <f>Results_exp2_1shot!AQ211</f>
        <v>0</v>
      </c>
      <c r="AM38" s="281">
        <f>Results_exp2_1shot!AQ212</f>
        <v>0</v>
      </c>
      <c r="AN38" s="281">
        <f>Results_exp2_1shot!AQ213</f>
        <v>0</v>
      </c>
      <c r="AO38" s="281">
        <f>Results_exp2_1shot!AQ214</f>
        <v>0</v>
      </c>
      <c r="AP38" s="281">
        <f>Results_exp2_1shot!AQ215</f>
        <v>0</v>
      </c>
      <c r="AQ38" s="281">
        <f>Results_exp2_1shot!AQ216</f>
        <v>0</v>
      </c>
    </row>
    <row r="39" spans="1:43" s="41" customFormat="1">
      <c r="A39" s="25" t="s">
        <v>660</v>
      </c>
      <c r="B39" s="25"/>
      <c r="C39" s="215">
        <f t="shared" ref="C39:H39" si="11">AVERAGE(C27:C38)</f>
        <v>0.82967133677513882</v>
      </c>
      <c r="D39" s="215">
        <f t="shared" si="11"/>
        <v>0.82515909158594747</v>
      </c>
      <c r="E39" s="215">
        <f t="shared" si="11"/>
        <v>0.82568854965655747</v>
      </c>
      <c r="F39" s="215">
        <f t="shared" si="11"/>
        <v>0.79712288257119812</v>
      </c>
      <c r="G39" s="215">
        <f t="shared" si="11"/>
        <v>0.8266392618335292</v>
      </c>
      <c r="H39" s="215">
        <f t="shared" si="11"/>
        <v>0.844794497875479</v>
      </c>
      <c r="I39" s="168"/>
      <c r="J39" s="215">
        <f>AVERAGE(J27:J38)</f>
        <v>0.80212063086103991</v>
      </c>
      <c r="K39" s="215">
        <f t="shared" ref="K39:O39" si="12">AVERAGE(K27:K38)</f>
        <v>0.79928498645603907</v>
      </c>
      <c r="L39" s="215">
        <f t="shared" si="12"/>
        <v>0.82654340447246621</v>
      </c>
      <c r="M39" s="215">
        <f t="shared" si="12"/>
        <v>0.81227899293688755</v>
      </c>
      <c r="N39" s="215">
        <f t="shared" si="12"/>
        <v>0.84567427021660435</v>
      </c>
      <c r="O39" s="215">
        <f t="shared" si="12"/>
        <v>0.83517646096593479</v>
      </c>
      <c r="P39" s="215"/>
      <c r="Q39" s="215">
        <f t="shared" ref="Q39:V39" si="13">AVERAGE(Q27:Q38)</f>
        <v>0.74042438128418864</v>
      </c>
      <c r="R39" s="215">
        <f t="shared" si="13"/>
        <v>0.78192634827355201</v>
      </c>
      <c r="S39" s="215">
        <f t="shared" si="13"/>
        <v>0.76378658467291294</v>
      </c>
      <c r="T39" s="215">
        <f t="shared" si="13"/>
        <v>0.72406880744350788</v>
      </c>
      <c r="U39" s="215">
        <f t="shared" si="13"/>
        <v>0.77987357430530757</v>
      </c>
      <c r="V39" s="215">
        <f t="shared" si="13"/>
        <v>0.80517276451242414</v>
      </c>
      <c r="W39" s="168"/>
      <c r="X39" s="215">
        <f t="shared" ref="X39:AC39" si="14">AVERAGE(X27:X38)</f>
        <v>0.35525932814935368</v>
      </c>
      <c r="Y39" s="215">
        <f t="shared" si="14"/>
        <v>0.35150528444432966</v>
      </c>
      <c r="Z39" s="215">
        <f t="shared" si="14"/>
        <v>0.38335026881488948</v>
      </c>
      <c r="AA39" s="215">
        <f t="shared" si="14"/>
        <v>0.37052418006435484</v>
      </c>
      <c r="AB39" s="215">
        <f t="shared" si="14"/>
        <v>0.40595865230882278</v>
      </c>
      <c r="AC39" s="215">
        <f t="shared" si="14"/>
        <v>0.38689062764616894</v>
      </c>
      <c r="AD39" s="215"/>
      <c r="AE39" s="215">
        <f>AVERAGE(AE27:AE38)</f>
        <v>0.96527777777777768</v>
      </c>
      <c r="AF39" s="215">
        <f>AVERAGE(AF27:AF30,AF32:AF38)</f>
        <v>0.98701298701298701</v>
      </c>
      <c r="AG39" s="215">
        <f>AVERAGE(AG27:AG38)</f>
        <v>0.9740740740740742</v>
      </c>
      <c r="AH39" s="215">
        <f>AVERAGE(AH27:AH38)</f>
        <v>0.96401515151515149</v>
      </c>
      <c r="AI39" s="215">
        <f>AVERAGE(AI27:AI38)</f>
        <v>0.98611111111111105</v>
      </c>
      <c r="AJ39" s="215">
        <f t="shared" ref="AJ39" si="15">AVERAGE(AJ27:AJ38)</f>
        <v>0.90972222222222221</v>
      </c>
      <c r="AL39" s="282">
        <f>AVERAGE(AL27:AL38)</f>
        <v>9.0833333333333339</v>
      </c>
      <c r="AM39" s="282">
        <f>AVERAGE(AM27:AM30,AM32:AM38)</f>
        <v>7.5454545454545459</v>
      </c>
      <c r="AN39" s="282">
        <f>AVERAGE(AN27:AN38)</f>
        <v>9.1666666666666661</v>
      </c>
      <c r="AO39" s="282">
        <f>AVERAGE(AO27:AO38)</f>
        <v>9.5833333333333339</v>
      </c>
      <c r="AP39" s="282">
        <f>AVERAGE(AP27:AP38)</f>
        <v>0</v>
      </c>
      <c r="AQ39" s="282">
        <f t="shared" ref="AQ39" si="16">AVERAGE(AQ27:AQ38)</f>
        <v>0</v>
      </c>
    </row>
    <row r="40" spans="1:43" s="41" customFormat="1">
      <c r="A40" s="25" t="s">
        <v>659</v>
      </c>
      <c r="B40" s="25"/>
      <c r="C40" s="347">
        <f>AVERAGE(C27:H38)</f>
        <v>0.82484593671630857</v>
      </c>
      <c r="D40" s="347"/>
      <c r="E40" s="347"/>
      <c r="F40" s="347"/>
      <c r="G40" s="347"/>
      <c r="H40" s="347"/>
      <c r="I40" s="226"/>
      <c r="J40" s="347">
        <f>AVERAGE(J27:O38)</f>
        <v>0.82017979098482818</v>
      </c>
      <c r="K40" s="347"/>
      <c r="L40" s="347"/>
      <c r="M40" s="347"/>
      <c r="N40" s="347"/>
      <c r="O40" s="347"/>
      <c r="P40" s="215"/>
      <c r="Q40" s="347">
        <f>AVERAGE(Q27:V38)</f>
        <v>0.76587541008198179</v>
      </c>
      <c r="R40" s="347"/>
      <c r="S40" s="347"/>
      <c r="T40" s="347"/>
      <c r="U40" s="347"/>
      <c r="V40" s="347"/>
      <c r="W40" s="168"/>
      <c r="X40" s="347">
        <f>AVERAGE(X27:AC38)</f>
        <v>0.37558139023798653</v>
      </c>
      <c r="Y40" s="347"/>
      <c r="Z40" s="347"/>
      <c r="AA40" s="347"/>
      <c r="AB40" s="347"/>
      <c r="AC40" s="347"/>
      <c r="AD40" s="215"/>
      <c r="AE40" s="347">
        <f>AVERAGE(AE27:AJ30,AE31,AG31:AJ31,AE32:AJ38)</f>
        <v>0.96404995630347745</v>
      </c>
      <c r="AF40" s="347"/>
      <c r="AG40" s="347"/>
      <c r="AH40" s="347"/>
      <c r="AI40" s="347"/>
      <c r="AJ40" s="347"/>
      <c r="AL40" s="346">
        <f>AVERAGE(AL27:AQ30,AL31,AN31:AQ31,AL32:AQ38)</f>
        <v>5.873239436619718</v>
      </c>
      <c r="AM40" s="346"/>
      <c r="AN40" s="346"/>
      <c r="AO40" s="346"/>
      <c r="AP40" s="346"/>
      <c r="AQ40" s="346"/>
    </row>
    <row r="41" spans="1:43" s="7" customFormat="1">
      <c r="A41" s="25" t="s">
        <v>791</v>
      </c>
      <c r="B41" s="1"/>
      <c r="C41" s="342">
        <f>_xlfn.STDEV.P(C27:D38)</f>
        <v>9.9011679245553139E-2</v>
      </c>
      <c r="D41" s="342"/>
      <c r="E41" s="342">
        <f>_xlfn.STDEV.P(E27:F38)</f>
        <v>0.10570559094175812</v>
      </c>
      <c r="F41" s="342"/>
      <c r="G41" s="342">
        <f>_xlfn.STDEV.P(G27:H38)</f>
        <v>0.10184542968674186</v>
      </c>
      <c r="H41" s="342"/>
      <c r="I41" s="228"/>
      <c r="J41" s="342">
        <f>_xlfn.STDEV.P(J27:K38)</f>
        <v>0.11934021357967968</v>
      </c>
      <c r="K41" s="342"/>
      <c r="L41" s="342">
        <f>_xlfn.STDEV.P(L27:M38)</f>
        <v>0.10962921157905076</v>
      </c>
      <c r="M41" s="342"/>
      <c r="N41" s="342">
        <f>_xlfn.STDEV.P(N27:O38)</f>
        <v>0.1023889178930837</v>
      </c>
      <c r="O41" s="342"/>
      <c r="P41" s="149"/>
      <c r="Q41" s="342">
        <f>_xlfn.STDEV.P(Q27:R38)</f>
        <v>0.15742476751469511</v>
      </c>
      <c r="R41" s="342"/>
      <c r="S41" s="342">
        <f>_xlfn.STDEV.P(S27:T38)</f>
        <v>0.14695183653883581</v>
      </c>
      <c r="T41" s="342"/>
      <c r="U41" s="342">
        <f>_xlfn.STDEV.P(U27:V38)</f>
        <v>0.14632217603759076</v>
      </c>
      <c r="V41" s="342"/>
      <c r="W41" s="228"/>
      <c r="X41" s="343">
        <v>0.1057</v>
      </c>
      <c r="Y41" s="343"/>
      <c r="Z41" s="343">
        <v>0.1057</v>
      </c>
      <c r="AA41" s="343"/>
      <c r="AB41" s="343">
        <v>0.1057</v>
      </c>
      <c r="AC41" s="343"/>
      <c r="AD41" s="149"/>
      <c r="AE41" s="151"/>
      <c r="AF41" s="151"/>
      <c r="AG41" s="149"/>
      <c r="AH41" s="149"/>
      <c r="AI41" s="149"/>
      <c r="AL41" s="282"/>
      <c r="AM41" s="282"/>
      <c r="AN41" s="283"/>
      <c r="AO41" s="283"/>
      <c r="AP41" s="283"/>
      <c r="AQ41" s="284"/>
    </row>
    <row r="42" spans="1:43" s="7" customFormat="1">
      <c r="A42" s="25" t="s">
        <v>794</v>
      </c>
      <c r="B42" s="1"/>
      <c r="C42" s="338">
        <f>_xlfn.STDEV.P(C27:H38)</f>
        <v>0.10272113423031974</v>
      </c>
      <c r="D42" s="338"/>
      <c r="E42" s="338"/>
      <c r="F42" s="338"/>
      <c r="G42" s="338"/>
      <c r="H42" s="338"/>
      <c r="I42" s="228"/>
      <c r="J42" s="338">
        <f>_xlfn.STDEV.P(J27:O38)</f>
        <v>0.11185402389093679</v>
      </c>
      <c r="K42" s="338"/>
      <c r="L42" s="338"/>
      <c r="M42" s="338"/>
      <c r="N42" s="338"/>
      <c r="O42" s="338"/>
      <c r="P42" s="149"/>
      <c r="Q42" s="338">
        <f>_xlfn.STDEV.P(Q27:V38)</f>
        <v>0.15165912934762038</v>
      </c>
      <c r="R42" s="338"/>
      <c r="S42" s="338"/>
      <c r="T42" s="338"/>
      <c r="U42" s="338"/>
      <c r="V42" s="338"/>
      <c r="W42" s="228"/>
      <c r="X42" s="338">
        <f>_xlfn.STDEV.P(X27:AC38)</f>
        <v>0.25988552126516562</v>
      </c>
      <c r="Y42" s="338"/>
      <c r="Z42" s="338"/>
      <c r="AA42" s="338"/>
      <c r="AB42" s="338"/>
      <c r="AC42" s="338"/>
      <c r="AD42" s="149"/>
      <c r="AE42" s="338">
        <f>_xlfn.STDEV.P(AE27:AJ30,AE31,AG31:AJ31,AE32:AJ38)</f>
        <v>9.3312858556991549E-2</v>
      </c>
      <c r="AF42" s="338"/>
      <c r="AG42" s="338"/>
      <c r="AH42" s="338"/>
      <c r="AI42" s="338"/>
      <c r="AJ42" s="338"/>
      <c r="AL42" s="282"/>
      <c r="AM42" s="282"/>
      <c r="AN42" s="283"/>
      <c r="AO42" s="283"/>
      <c r="AP42" s="283"/>
      <c r="AQ42" s="284"/>
    </row>
    <row r="43" spans="1:43" s="24" customFormat="1">
      <c r="A43" s="4" t="s">
        <v>658</v>
      </c>
      <c r="B43" s="4"/>
      <c r="C43" s="186"/>
      <c r="D43" s="186"/>
      <c r="E43" s="186"/>
      <c r="F43" s="186"/>
      <c r="G43" s="186"/>
      <c r="H43" s="186"/>
      <c r="I43" s="187"/>
      <c r="J43" s="186"/>
      <c r="K43" s="187"/>
      <c r="L43" s="186"/>
      <c r="M43" s="186"/>
      <c r="N43" s="186"/>
      <c r="O43" s="186"/>
      <c r="P43" s="186"/>
      <c r="Q43" s="186"/>
      <c r="R43" s="186"/>
      <c r="S43" s="186"/>
      <c r="T43" s="187"/>
      <c r="U43" s="187"/>
      <c r="V43" s="187"/>
      <c r="W43" s="229"/>
      <c r="X43" s="186"/>
      <c r="Y43" s="187"/>
      <c r="Z43" s="186"/>
      <c r="AA43" s="186"/>
      <c r="AB43" s="186"/>
      <c r="AC43" s="186"/>
      <c r="AD43" s="186"/>
      <c r="AE43" s="186"/>
      <c r="AF43" s="187"/>
      <c r="AG43" s="186"/>
      <c r="AH43" s="186"/>
      <c r="AI43" s="186"/>
      <c r="AL43" s="287"/>
      <c r="AM43" s="288"/>
      <c r="AN43" s="287"/>
      <c r="AO43" s="287"/>
      <c r="AP43" s="287"/>
      <c r="AQ43" s="286"/>
    </row>
    <row r="44" spans="1:43">
      <c r="A44" t="s">
        <v>334</v>
      </c>
      <c r="B44" t="s">
        <v>158</v>
      </c>
      <c r="C44" s="192">
        <f>Results_exp2_1shot!S219</f>
        <v>0.81889763779527558</v>
      </c>
      <c r="D44" s="192">
        <f>Results_exp2_1shot!S220</f>
        <v>0.74782608695652175</v>
      </c>
      <c r="E44" s="192">
        <f>Results_exp2_1shot!S221</f>
        <v>0.89922480620155032</v>
      </c>
      <c r="F44" s="192">
        <f>Results_exp2_1shot!S222</f>
        <v>0.75409836065573776</v>
      </c>
      <c r="G44" s="192">
        <f>Results_exp2_1shot!S223</f>
        <v>0.82926829268292668</v>
      </c>
      <c r="H44" s="192">
        <f>Results_exp2_1shot!S224</f>
        <v>0.63793103448275867</v>
      </c>
      <c r="J44" s="192">
        <f>Results_exp2_1shot!Y219</f>
        <v>0.76923076923076916</v>
      </c>
      <c r="K44" s="192">
        <f>Results_exp2_1shot!Y220</f>
        <v>0.8</v>
      </c>
      <c r="L44" s="192">
        <f>Results_exp2_1shot!Y221</f>
        <v>0.88888888888888895</v>
      </c>
      <c r="M44" s="192">
        <f>Results_exp2_1shot!Y222</f>
        <v>0.74999999999999989</v>
      </c>
      <c r="N44" s="192">
        <f>Results_exp2_1shot!Y223</f>
        <v>0.78571428571428559</v>
      </c>
      <c r="O44" s="192">
        <f>Results_exp2_1shot!Y224</f>
        <v>0.69565217391304357</v>
      </c>
      <c r="Q44" s="192">
        <f>Results_exp2_1shot!AE219</f>
        <v>0.79310344827586199</v>
      </c>
      <c r="R44" s="192">
        <f>Results_exp2_1shot!AE220</f>
        <v>0.63461538461538469</v>
      </c>
      <c r="S44" s="192">
        <f>Results_exp2_1shot!AE221</f>
        <v>0.81355932203389825</v>
      </c>
      <c r="T44" s="192">
        <f>Results_exp2_1shot!AE222</f>
        <v>0.63063063063063063</v>
      </c>
      <c r="U44" s="192">
        <f>Results_exp2_1shot!AE223</f>
        <v>0.6964285714285714</v>
      </c>
      <c r="V44" s="192">
        <f>Results_exp2_1shot!AE224</f>
        <v>0.5904761904761906</v>
      </c>
      <c r="W44" s="224"/>
      <c r="X44" s="192">
        <f>Results_exp2_1shot!AI219</f>
        <v>3.3333333333333333E-2</v>
      </c>
      <c r="Y44" s="192">
        <f>Results_exp2_1shot!AI220</f>
        <v>0.16666666666666666</v>
      </c>
      <c r="Z44" s="192">
        <f>Results_exp2_1shot!AI221</f>
        <v>3.3333333333333333E-2</v>
      </c>
      <c r="AA44" s="192">
        <f>Results_exp2_1shot!AI222</f>
        <v>0.13333333333333333</v>
      </c>
      <c r="AB44" s="192">
        <f>Results_exp2_1shot!AI223</f>
        <v>3.3333333333333333E-2</v>
      </c>
      <c r="AC44" s="192">
        <f>Results_exp2_1shot!AI224</f>
        <v>3.3333333333333333E-2</v>
      </c>
      <c r="AE44" s="192">
        <f>Results_exp2_1shot!AJ219</f>
        <v>1</v>
      </c>
      <c r="AF44" s="192">
        <f>Results_exp2_1shot!AJ220</f>
        <v>1</v>
      </c>
      <c r="AG44" s="192">
        <f>Results_exp2_1shot!AJ221</f>
        <v>1</v>
      </c>
      <c r="AH44" s="192">
        <f>Results_exp2_1shot!AJ222</f>
        <v>1</v>
      </c>
      <c r="AI44" s="192">
        <f>Results_exp2_1shot!AJ223</f>
        <v>1</v>
      </c>
      <c r="AJ44" s="192">
        <f>Results_exp2_1shot!AJ224</f>
        <v>1</v>
      </c>
      <c r="AL44" s="280">
        <f>Results_exp2_1shot!AQ219</f>
        <v>0</v>
      </c>
      <c r="AM44" s="280">
        <f>Results_exp2_1shot!AQ220</f>
        <v>0</v>
      </c>
      <c r="AN44" s="280">
        <f>Results_exp2_1shot!AQ221</f>
        <v>0</v>
      </c>
      <c r="AO44" s="280">
        <f>Results_exp2_1shot!AQ222</f>
        <v>0</v>
      </c>
      <c r="AP44" s="280">
        <f>Results_exp2_1shot!AQ223</f>
        <v>0</v>
      </c>
      <c r="AQ44" s="280">
        <f>Results_exp2_1shot!AQ224</f>
        <v>0</v>
      </c>
    </row>
    <row r="45" spans="1:43" s="213" customFormat="1">
      <c r="A45" s="213" t="s">
        <v>333</v>
      </c>
      <c r="B45" s="213" t="s">
        <v>155</v>
      </c>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L45" s="214"/>
      <c r="AM45" s="214"/>
      <c r="AN45" s="214"/>
      <c r="AO45" s="214"/>
      <c r="AP45" s="214"/>
    </row>
    <row r="46" spans="1:43" s="50" customFormat="1">
      <c r="A46" s="50" t="s">
        <v>335</v>
      </c>
      <c r="B46" s="50" t="s">
        <v>150</v>
      </c>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c r="AE46" s="214"/>
      <c r="AF46" s="214"/>
      <c r="AG46" s="214"/>
      <c r="AH46" s="214"/>
      <c r="AI46" s="214"/>
      <c r="AL46" s="214"/>
      <c r="AM46" s="214"/>
      <c r="AN46" s="214"/>
      <c r="AO46" s="214"/>
      <c r="AP46" s="214"/>
    </row>
    <row r="47" spans="1:43" s="50" customFormat="1">
      <c r="A47" s="50" t="s">
        <v>336</v>
      </c>
      <c r="B47" s="50" t="s">
        <v>398</v>
      </c>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c r="AA47" s="214"/>
      <c r="AB47" s="214"/>
      <c r="AC47" s="214"/>
      <c r="AD47" s="214"/>
      <c r="AE47" s="214"/>
      <c r="AF47" s="214"/>
      <c r="AG47" s="214"/>
      <c r="AH47" s="214"/>
      <c r="AI47" s="214"/>
      <c r="AL47" s="214"/>
      <c r="AM47" s="214"/>
      <c r="AN47" s="214"/>
      <c r="AO47" s="214"/>
      <c r="AP47" s="214"/>
    </row>
    <row r="48" spans="1:43" s="50" customFormat="1">
      <c r="A48" s="50" t="s">
        <v>337</v>
      </c>
      <c r="B48" s="50" t="s">
        <v>284</v>
      </c>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L48" s="214"/>
      <c r="AM48" s="214"/>
      <c r="AN48" s="214"/>
      <c r="AO48" s="214"/>
      <c r="AP48" s="214"/>
    </row>
    <row r="49" spans="1:43" s="50" customFormat="1">
      <c r="A49" s="50" t="s">
        <v>338</v>
      </c>
      <c r="B49" s="50" t="s">
        <v>170</v>
      </c>
      <c r="C49" s="214"/>
      <c r="D49" s="214"/>
      <c r="E49" s="214"/>
      <c r="F49" s="214"/>
      <c r="G49" s="214"/>
      <c r="H49" s="214"/>
      <c r="I49" s="214"/>
      <c r="J49" s="214"/>
      <c r="K49" s="214"/>
      <c r="L49" s="214"/>
      <c r="M49" s="214"/>
      <c r="N49" s="214"/>
      <c r="O49" s="214"/>
      <c r="P49" s="214"/>
      <c r="Q49" s="214"/>
      <c r="R49" s="214"/>
      <c r="S49" s="214"/>
      <c r="T49" s="214"/>
      <c r="U49" s="214"/>
      <c r="V49" s="214"/>
      <c r="W49" s="214"/>
      <c r="X49" s="214"/>
      <c r="Y49" s="214"/>
      <c r="Z49" s="214"/>
      <c r="AA49" s="214"/>
      <c r="AB49" s="214"/>
      <c r="AC49" s="214"/>
      <c r="AD49" s="214"/>
      <c r="AE49" s="214"/>
      <c r="AF49" s="214"/>
      <c r="AG49" s="214"/>
      <c r="AH49" s="214"/>
      <c r="AI49" s="214"/>
      <c r="AL49" s="214"/>
      <c r="AM49" s="214"/>
      <c r="AN49" s="214"/>
      <c r="AO49" s="214"/>
      <c r="AP49" s="214"/>
    </row>
    <row r="50" spans="1:43" s="50" customFormat="1">
      <c r="A50" s="50" t="s">
        <v>340</v>
      </c>
      <c r="B50" s="50" t="s">
        <v>286</v>
      </c>
      <c r="C50" s="148"/>
      <c r="D50" s="148"/>
      <c r="E50" s="148"/>
      <c r="F50" s="148"/>
      <c r="G50" s="148"/>
      <c r="H50" s="148"/>
      <c r="I50" s="148"/>
      <c r="T50" s="49"/>
      <c r="U50" s="49"/>
      <c r="V50" s="49"/>
      <c r="W50" s="49"/>
    </row>
    <row r="51" spans="1:43" s="50" customFormat="1">
      <c r="A51" s="50" t="s">
        <v>341</v>
      </c>
      <c r="B51" s="50" t="s">
        <v>283</v>
      </c>
      <c r="C51" s="148"/>
      <c r="D51" s="148"/>
      <c r="E51" s="148"/>
      <c r="F51" s="148"/>
      <c r="G51" s="148"/>
      <c r="H51" s="148"/>
      <c r="I51" s="148"/>
    </row>
    <row r="52" spans="1:43" s="50" customFormat="1">
      <c r="A52" s="50" t="s">
        <v>339</v>
      </c>
      <c r="B52" s="50" t="s">
        <v>141</v>
      </c>
      <c r="C52" s="148"/>
      <c r="D52" s="148"/>
      <c r="E52" s="148"/>
      <c r="F52" s="148"/>
      <c r="G52" s="148"/>
      <c r="H52" s="148"/>
      <c r="I52" s="148"/>
    </row>
    <row r="53" spans="1:43" s="152" customFormat="1">
      <c r="A53" s="152" t="s">
        <v>342</v>
      </c>
      <c r="B53" s="152" t="s">
        <v>140</v>
      </c>
      <c r="C53" s="153"/>
      <c r="D53" s="153"/>
      <c r="E53" s="153"/>
      <c r="F53" s="153"/>
      <c r="G53" s="153"/>
      <c r="H53" s="153"/>
      <c r="I53" s="153"/>
    </row>
    <row r="54" spans="1:43" s="14" customFormat="1">
      <c r="A54" s="25" t="s">
        <v>660</v>
      </c>
      <c r="B54" s="25"/>
      <c r="C54" s="215">
        <f t="shared" ref="C54:H54" si="17">AVERAGE(C44)</f>
        <v>0.81889763779527558</v>
      </c>
      <c r="D54" s="215">
        <f t="shared" si="17"/>
        <v>0.74782608695652175</v>
      </c>
      <c r="E54" s="215">
        <f t="shared" si="17"/>
        <v>0.89922480620155032</v>
      </c>
      <c r="F54" s="215">
        <f t="shared" si="17"/>
        <v>0.75409836065573776</v>
      </c>
      <c r="G54" s="215">
        <f t="shared" si="17"/>
        <v>0.82926829268292668</v>
      </c>
      <c r="H54" s="215">
        <f t="shared" si="17"/>
        <v>0.63793103448275867</v>
      </c>
      <c r="I54" s="215"/>
      <c r="J54" s="215">
        <f t="shared" ref="J54:O54" si="18">AVERAGE(J44)</f>
        <v>0.76923076923076916</v>
      </c>
      <c r="K54" s="215">
        <f t="shared" si="18"/>
        <v>0.8</v>
      </c>
      <c r="L54" s="215">
        <f t="shared" si="18"/>
        <v>0.88888888888888895</v>
      </c>
      <c r="M54" s="215">
        <f t="shared" si="18"/>
        <v>0.74999999999999989</v>
      </c>
      <c r="N54" s="215">
        <f t="shared" si="18"/>
        <v>0.78571428571428559</v>
      </c>
      <c r="O54" s="215">
        <f t="shared" si="18"/>
        <v>0.69565217391304357</v>
      </c>
      <c r="P54" s="215"/>
      <c r="Q54" s="215">
        <f t="shared" ref="Q54:V54" si="19">AVERAGE(Q44)</f>
        <v>0.79310344827586199</v>
      </c>
      <c r="R54" s="215">
        <f t="shared" si="19"/>
        <v>0.63461538461538469</v>
      </c>
      <c r="S54" s="215">
        <f t="shared" si="19"/>
        <v>0.81355932203389825</v>
      </c>
      <c r="T54" s="215">
        <f t="shared" si="19"/>
        <v>0.63063063063063063</v>
      </c>
      <c r="U54" s="215">
        <f t="shared" si="19"/>
        <v>0.6964285714285714</v>
      </c>
      <c r="V54" s="215">
        <f t="shared" si="19"/>
        <v>0.5904761904761906</v>
      </c>
      <c r="W54" s="215"/>
      <c r="X54" s="215">
        <f t="shared" ref="X54:AC54" si="20">AVERAGE(X44)</f>
        <v>3.3333333333333333E-2</v>
      </c>
      <c r="Y54" s="215">
        <f t="shared" si="20"/>
        <v>0.16666666666666666</v>
      </c>
      <c r="Z54" s="215">
        <f t="shared" si="20"/>
        <v>3.3333333333333333E-2</v>
      </c>
      <c r="AA54" s="215">
        <f t="shared" si="20"/>
        <v>0.13333333333333333</v>
      </c>
      <c r="AB54" s="215">
        <f t="shared" si="20"/>
        <v>3.3333333333333333E-2</v>
      </c>
      <c r="AC54" s="215">
        <f t="shared" si="20"/>
        <v>3.3333333333333333E-2</v>
      </c>
      <c r="AD54" s="215"/>
      <c r="AE54" s="215">
        <f t="shared" ref="AE54:AJ54" si="21">AVERAGE(AE44)</f>
        <v>1</v>
      </c>
      <c r="AF54" s="215">
        <f t="shared" si="21"/>
        <v>1</v>
      </c>
      <c r="AG54" s="215">
        <f t="shared" si="21"/>
        <v>1</v>
      </c>
      <c r="AH54" s="215">
        <f t="shared" si="21"/>
        <v>1</v>
      </c>
      <c r="AI54" s="215">
        <f t="shared" si="21"/>
        <v>1</v>
      </c>
      <c r="AJ54" s="215">
        <f t="shared" si="21"/>
        <v>1</v>
      </c>
      <c r="AL54" s="216">
        <f t="shared" ref="AL54:AQ54" si="22">AVERAGE(AL44)</f>
        <v>0</v>
      </c>
      <c r="AM54" s="216">
        <f t="shared" si="22"/>
        <v>0</v>
      </c>
      <c r="AN54" s="216">
        <f t="shared" si="22"/>
        <v>0</v>
      </c>
      <c r="AO54" s="216">
        <f t="shared" si="22"/>
        <v>0</v>
      </c>
      <c r="AP54" s="216">
        <f t="shared" si="22"/>
        <v>0</v>
      </c>
      <c r="AQ54" s="216">
        <f t="shared" si="22"/>
        <v>0</v>
      </c>
    </row>
    <row r="55" spans="1:43" s="14" customFormat="1">
      <c r="A55" s="25" t="s">
        <v>659</v>
      </c>
      <c r="B55" s="25"/>
      <c r="C55" s="347">
        <f>AVERAGE(C44:H44)</f>
        <v>0.78120770312912846</v>
      </c>
      <c r="D55" s="347"/>
      <c r="E55" s="347"/>
      <c r="F55" s="347"/>
      <c r="G55" s="347"/>
      <c r="H55" s="347"/>
      <c r="I55" s="217"/>
      <c r="J55" s="347">
        <f>AVERAGE(J44:O44)</f>
        <v>0.781581019624498</v>
      </c>
      <c r="K55" s="347"/>
      <c r="L55" s="347"/>
      <c r="M55" s="347"/>
      <c r="N55" s="347"/>
      <c r="O55" s="347"/>
      <c r="P55" s="215"/>
      <c r="Q55" s="347">
        <f>AVERAGE(Q44:V44)</f>
        <v>0.69313559124342294</v>
      </c>
      <c r="R55" s="347"/>
      <c r="S55" s="347"/>
      <c r="T55" s="347"/>
      <c r="U55" s="347"/>
      <c r="V55" s="347"/>
      <c r="W55" s="215"/>
      <c r="X55" s="347">
        <f>AVERAGE(X44:AC44)</f>
        <v>7.2222222222222215E-2</v>
      </c>
      <c r="Y55" s="347"/>
      <c r="Z55" s="347"/>
      <c r="AA55" s="347"/>
      <c r="AB55" s="347"/>
      <c r="AC55" s="347"/>
      <c r="AD55" s="215"/>
      <c r="AE55" s="347">
        <f>AVERAGE(AE44:AJ44)</f>
        <v>1</v>
      </c>
      <c r="AF55" s="347"/>
      <c r="AG55" s="347"/>
      <c r="AH55" s="347"/>
      <c r="AI55" s="347"/>
      <c r="AJ55" s="347"/>
      <c r="AL55" s="347">
        <f>AVERAGE(AL44:AQ44)</f>
        <v>0</v>
      </c>
      <c r="AM55" s="347"/>
      <c r="AN55" s="347"/>
      <c r="AO55" s="347"/>
      <c r="AP55" s="347"/>
      <c r="AQ55" s="347"/>
    </row>
    <row r="56" spans="1:43" s="14" customFormat="1">
      <c r="C56" s="14">
        <f>_xlfn.STDEV.P(C44:H44)</f>
        <v>8.1686229548437517E-2</v>
      </c>
      <c r="J56" s="14">
        <f>_xlfn.STDEV.P(J44:O44)</f>
        <v>5.8316632194882756E-2</v>
      </c>
      <c r="Q56" s="14">
        <f>_xlfn.STDEV.P(Q44:V44)</f>
        <v>8.4040395392669276E-2</v>
      </c>
      <c r="X56" s="14">
        <f>_xlfn.STDEV.P(X44:AC44)</f>
        <v>5.5832642339560527E-2</v>
      </c>
      <c r="AE56" s="14">
        <f>_xlfn.STDEV.P(AE44:AJ44)</f>
        <v>0</v>
      </c>
    </row>
    <row r="57" spans="1:43" s="223" customFormat="1" ht="16" thickBot="1">
      <c r="A57" s="221" t="s">
        <v>664</v>
      </c>
      <c r="B57" s="221"/>
      <c r="C57" s="222">
        <f t="shared" ref="C57:H57" si="23">AVERAGE(C7:C21,C27:C38,C44)</f>
        <v>0.88442698916476525</v>
      </c>
      <c r="D57" s="222">
        <f t="shared" si="23"/>
        <v>0.87317996428200606</v>
      </c>
      <c r="E57" s="222">
        <f t="shared" si="23"/>
        <v>0.87969173511767351</v>
      </c>
      <c r="F57" s="222">
        <f t="shared" si="23"/>
        <v>0.86955647772716582</v>
      </c>
      <c r="G57" s="222">
        <f t="shared" si="23"/>
        <v>0.88839740007582291</v>
      </c>
      <c r="H57" s="222">
        <f t="shared" si="23"/>
        <v>0.8720132316138608</v>
      </c>
      <c r="I57" s="222"/>
      <c r="J57" s="222">
        <f t="shared" ref="J57:O57" si="24">AVERAGE(J7:J21,J27:J38,J44)</f>
        <v>0.8673604457491928</v>
      </c>
      <c r="K57" s="222">
        <f t="shared" si="24"/>
        <v>0.86069902841519397</v>
      </c>
      <c r="L57" s="222">
        <f t="shared" si="24"/>
        <v>0.86753093412238058</v>
      </c>
      <c r="M57" s="222">
        <f t="shared" si="24"/>
        <v>0.86788611138235194</v>
      </c>
      <c r="N57" s="222">
        <f t="shared" si="24"/>
        <v>0.88806919459574118</v>
      </c>
      <c r="O57" s="222">
        <f t="shared" si="24"/>
        <v>0.8633249240738472</v>
      </c>
      <c r="P57" s="222"/>
      <c r="Q57" s="222">
        <f t="shared" ref="Q57:V57" si="25">AVERAGE(Q7:Q21,Q27:Q38,Q44)</f>
        <v>0.83875590588785387</v>
      </c>
      <c r="R57" s="222">
        <f t="shared" si="25"/>
        <v>0.84553426581536895</v>
      </c>
      <c r="S57" s="222">
        <f t="shared" si="25"/>
        <v>0.83202711453291478</v>
      </c>
      <c r="T57" s="222">
        <f t="shared" si="25"/>
        <v>0.81936685182041769</v>
      </c>
      <c r="U57" s="222">
        <f t="shared" si="25"/>
        <v>0.84556056541795432</v>
      </c>
      <c r="V57" s="222">
        <f t="shared" si="25"/>
        <v>0.84247743930888064</v>
      </c>
      <c r="W57" s="222"/>
      <c r="X57" s="222">
        <f t="shared" ref="X57:AC57" si="26">AVERAGE(X7:X21,X27:X38,X44)</f>
        <v>0.6417213756385296</v>
      </c>
      <c r="Y57" s="222">
        <f t="shared" si="26"/>
        <v>0.66280112066785424</v>
      </c>
      <c r="Z57" s="222">
        <f t="shared" si="26"/>
        <v>0.57854389999302325</v>
      </c>
      <c r="AA57" s="222">
        <f t="shared" si="26"/>
        <v>0.591097406793196</v>
      </c>
      <c r="AB57" s="222">
        <f t="shared" si="26"/>
        <v>0.6644120878478752</v>
      </c>
      <c r="AC57" s="222">
        <f t="shared" si="26"/>
        <v>0.58866122755645978</v>
      </c>
      <c r="AD57" s="222"/>
      <c r="AE57" s="222">
        <f>AVERAGE(AE7:AE21,AE27:AE38,AE44)</f>
        <v>0.98214285714285698</v>
      </c>
      <c r="AF57" s="222">
        <f>AVERAGE(AF7:AF21,AF27:AF38,AF44)</f>
        <v>0.94949197627769055</v>
      </c>
      <c r="AG57" s="222">
        <f t="shared" ref="AG57:AJ57" si="27">AVERAGE(AG7:AG21,AG27:AG38,AG44)</f>
        <v>0.98055555555555551</v>
      </c>
      <c r="AH57" s="222">
        <f t="shared" si="27"/>
        <v>0.97550762729334151</v>
      </c>
      <c r="AI57" s="222">
        <f t="shared" si="27"/>
        <v>0.98358585858585845</v>
      </c>
      <c r="AJ57" s="222">
        <f t="shared" si="27"/>
        <v>0.95174319727891166</v>
      </c>
      <c r="AL57" s="222">
        <f>AVERAGE(AL7:AL21,AL27:AL38,AL44)</f>
        <v>15.321428571428571</v>
      </c>
      <c r="AM57" s="222">
        <f>AVERAGE(AM7:AM21,AM27:AM38,AM44)</f>
        <v>15.642857142857142</v>
      </c>
      <c r="AN57" s="222">
        <f t="shared" ref="AN57:AQ57" si="28">AVERAGE(AN7:AN21,AN27:AN38,AN44)</f>
        <v>9.3214285714285712</v>
      </c>
      <c r="AO57" s="222">
        <f t="shared" si="28"/>
        <v>9.8571428571428577</v>
      </c>
      <c r="AP57" s="222">
        <f t="shared" si="28"/>
        <v>0</v>
      </c>
      <c r="AQ57" s="222">
        <f t="shared" si="28"/>
        <v>0</v>
      </c>
    </row>
    <row r="58" spans="1:43" ht="16" thickTop="1">
      <c r="A58" s="33" t="s">
        <v>676</v>
      </c>
      <c r="C58" s="344">
        <f>AVERAGE(C7:H21,C27:H38,C44:H44)</f>
        <v>0.87787763299688226</v>
      </c>
      <c r="D58" s="345"/>
      <c r="E58" s="345"/>
      <c r="F58" s="345"/>
      <c r="G58" s="345"/>
      <c r="H58" s="345"/>
      <c r="J58" s="344">
        <f>AVERAGE(J7:O21,J27:O38,J44:O44)</f>
        <v>0.86914510638978426</v>
      </c>
      <c r="K58" s="345"/>
      <c r="L58" s="345"/>
      <c r="M58" s="345"/>
      <c r="N58" s="345"/>
      <c r="O58" s="345"/>
      <c r="Q58" s="344">
        <f>AVERAGE(Q7:V21,Q27:V38,Q44:V44)</f>
        <v>0.83728702379723163</v>
      </c>
      <c r="R58" s="345"/>
      <c r="S58" s="345"/>
      <c r="T58" s="345"/>
      <c r="U58" s="345"/>
      <c r="V58" s="345"/>
      <c r="X58" s="344">
        <f>AVERAGE(X7:AC21,X27:AC38,X44:AC44)</f>
        <v>0.62120618641615644</v>
      </c>
      <c r="Y58" s="345"/>
      <c r="Z58" s="345"/>
      <c r="AA58" s="345"/>
      <c r="AB58" s="345"/>
      <c r="AC58" s="345"/>
      <c r="AE58" s="344">
        <f>AVERAGE(AE7:AJ21,AE27:AJ30,AE31,AG31:AJ31,AE32:AJ38,AE44:AJ44)</f>
        <v>0.97631591628597614</v>
      </c>
      <c r="AF58" s="345"/>
      <c r="AG58" s="345"/>
      <c r="AH58" s="345"/>
      <c r="AI58" s="345"/>
      <c r="AJ58" s="345"/>
      <c r="AL58" s="344">
        <f>AVERAGE(AL7:AQ21,AL27:AQ30,AL31,AN31:AQ31,AL32:AQ38,AL44:AQ44)</f>
        <v>8.3293413173652695</v>
      </c>
      <c r="AM58" s="345"/>
      <c r="AN58" s="345"/>
      <c r="AO58" s="345"/>
      <c r="AP58" s="345"/>
      <c r="AQ58" s="345"/>
    </row>
    <row r="59" spans="1:43">
      <c r="Q59" s="46">
        <f>AVERAGE(Q7:R21,Q27:R38,Q44,R44)</f>
        <v>0.84214508585161096</v>
      </c>
      <c r="S59" s="46">
        <f>AVERAGE(S7:T21,S27:T38,S44,T44)</f>
        <v>0.82569698317666662</v>
      </c>
      <c r="U59" s="46">
        <f>AVERAGE(U7:V21,U27:V38,U44,V44)</f>
        <v>0.84401900236341731</v>
      </c>
    </row>
    <row r="60" spans="1:43">
      <c r="A60" s="33" t="s">
        <v>791</v>
      </c>
      <c r="C60">
        <f>_xlfn.STDEV.P(C7:D21,C27:D38,C44,D44)</f>
        <v>0.10707534019727163</v>
      </c>
      <c r="E60">
        <f>_xlfn.STDEV.P(E7:F21,E27:F38,E44,F44)</f>
        <v>0.1125501751306827</v>
      </c>
      <c r="G60">
        <f>_xlfn.STDEV.P(G7:H21,G27:H38,G44,H44)</f>
        <v>0.11210532280389282</v>
      </c>
      <c r="J60">
        <f>_xlfn.STDEV.P(J7:K21,J27:K38,J44,K44)</f>
        <v>0.12894974535422293</v>
      </c>
      <c r="L60">
        <f>_xlfn.STDEV.P(L7:M21,L27:M38,L44,M44)</f>
        <v>0.12655542105480566</v>
      </c>
      <c r="N60">
        <f>_xlfn.STDEV.P(N7:O21,N27:O38,N44,O44)</f>
        <v>0.12539805803028806</v>
      </c>
      <c r="Q60">
        <f>_xlfn.STDEV.P(Q7:R21,Q27:R38,Q44,R44)</f>
        <v>0.14231933683572728</v>
      </c>
      <c r="S60">
        <f>_xlfn.STDEV.P(S7:T21,S27:T38,S44,T44)</f>
        <v>0.13713064069946268</v>
      </c>
      <c r="U60">
        <f>_xlfn.STDEV.P(U7:V21,U27:V38,U44,V44)</f>
        <v>0.13014167272908306</v>
      </c>
      <c r="X60">
        <f>_xlfn.STDEV.P(X7:Y21,X27:Y38,X44,Y44)</f>
        <v>0.43462225699681961</v>
      </c>
      <c r="Z60">
        <f>_xlfn.STDEV.P(Z7:AA21,Z27:AA38,Z44,AA44)</f>
        <v>0.37620397821041662</v>
      </c>
    </row>
    <row r="61" spans="1:43">
      <c r="A61" s="33" t="s">
        <v>792</v>
      </c>
      <c r="C61" s="340">
        <f>_xlfn.STDEV.P(C7:H21,C27:H38,C44:H44)</f>
        <v>0.11063021668376793</v>
      </c>
      <c r="D61" s="340"/>
      <c r="E61" s="340"/>
      <c r="F61" s="340"/>
      <c r="G61" s="340"/>
      <c r="H61" s="340"/>
      <c r="J61" s="340">
        <f>_xlfn.STDEV.P(J7:O21,J27:O38,J44:O44)</f>
        <v>0.12706972265405872</v>
      </c>
      <c r="K61" s="340"/>
      <c r="L61" s="340"/>
      <c r="M61" s="340"/>
      <c r="N61" s="340"/>
      <c r="O61" s="340"/>
      <c r="Q61" s="340">
        <f>_xlfn.STDEV.P(Q7:V21,Q27:V38,Q44:V44)</f>
        <v>0.13686941535719091</v>
      </c>
      <c r="R61" s="340"/>
      <c r="S61" s="340"/>
      <c r="T61" s="340"/>
      <c r="U61" s="340"/>
      <c r="V61" s="340"/>
      <c r="X61" s="340">
        <f>_xlfn.STDEV.P(X7:AC21,X27:AC38,X44:AC44)</f>
        <v>0.41996246824455452</v>
      </c>
      <c r="Y61" s="340"/>
      <c r="Z61" s="340"/>
      <c r="AA61" s="340"/>
      <c r="AB61" s="340"/>
      <c r="AC61" s="340"/>
      <c r="AE61" s="340">
        <f>_xlfn.STDEV.P(AE7:AJ21,AE27:AJ30,AE31,AG31:AJ31,AE32:AJ38,AE44:AJ44)</f>
        <v>6.8797286155395543E-2</v>
      </c>
      <c r="AF61" s="340"/>
      <c r="AG61" s="340"/>
      <c r="AH61" s="340"/>
      <c r="AI61" s="340"/>
      <c r="AJ61" s="340"/>
    </row>
  </sheetData>
  <mergeCells count="70">
    <mergeCell ref="AE4:AJ4"/>
    <mergeCell ref="C55:H55"/>
    <mergeCell ref="J55:O55"/>
    <mergeCell ref="Q55:V55"/>
    <mergeCell ref="X55:AC55"/>
    <mergeCell ref="Q4:V4"/>
    <mergeCell ref="J4:O4"/>
    <mergeCell ref="C4:H4"/>
    <mergeCell ref="X23:AC23"/>
    <mergeCell ref="X40:AC40"/>
    <mergeCell ref="X4:AC4"/>
    <mergeCell ref="C23:H23"/>
    <mergeCell ref="J23:O23"/>
    <mergeCell ref="C40:H40"/>
    <mergeCell ref="J40:O40"/>
    <mergeCell ref="Q23:V23"/>
    <mergeCell ref="Q40:V40"/>
    <mergeCell ref="C58:H58"/>
    <mergeCell ref="J58:O58"/>
    <mergeCell ref="Q58:V58"/>
    <mergeCell ref="C24:D24"/>
    <mergeCell ref="E24:F24"/>
    <mergeCell ref="G24:H24"/>
    <mergeCell ref="J24:K24"/>
    <mergeCell ref="L24:M24"/>
    <mergeCell ref="N24:O24"/>
    <mergeCell ref="Q24:R24"/>
    <mergeCell ref="S24:T24"/>
    <mergeCell ref="U24:V24"/>
    <mergeCell ref="X58:AC58"/>
    <mergeCell ref="AE58:AJ58"/>
    <mergeCell ref="AL4:AQ4"/>
    <mergeCell ref="AL23:AQ23"/>
    <mergeCell ref="AL40:AQ40"/>
    <mergeCell ref="AL55:AQ55"/>
    <mergeCell ref="AL58:AQ58"/>
    <mergeCell ref="X24:Y24"/>
    <mergeCell ref="Z24:AA24"/>
    <mergeCell ref="AB24:AC24"/>
    <mergeCell ref="AE24:AF24"/>
    <mergeCell ref="AB41:AC41"/>
    <mergeCell ref="AE42:AJ42"/>
    <mergeCell ref="AE23:AJ23"/>
    <mergeCell ref="AE40:AJ40"/>
    <mergeCell ref="AE55:AJ55"/>
    <mergeCell ref="S41:T41"/>
    <mergeCell ref="U41:V41"/>
    <mergeCell ref="X41:Y41"/>
    <mergeCell ref="Z41:AA41"/>
    <mergeCell ref="C41:D41"/>
    <mergeCell ref="E41:F41"/>
    <mergeCell ref="G41:H41"/>
    <mergeCell ref="J41:K41"/>
    <mergeCell ref="L41:M41"/>
    <mergeCell ref="AE61:AJ61"/>
    <mergeCell ref="AE25:AJ25"/>
    <mergeCell ref="C61:H61"/>
    <mergeCell ref="J61:O61"/>
    <mergeCell ref="Q61:V61"/>
    <mergeCell ref="X61:AC61"/>
    <mergeCell ref="C25:H25"/>
    <mergeCell ref="J25:O25"/>
    <mergeCell ref="Q25:V25"/>
    <mergeCell ref="X25:AC25"/>
    <mergeCell ref="C42:H42"/>
    <mergeCell ref="J42:O42"/>
    <mergeCell ref="Q42:V42"/>
    <mergeCell ref="X42:AC42"/>
    <mergeCell ref="N41:O41"/>
    <mergeCell ref="Q41:R41"/>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47646-6930-8E40-AB92-8E1696A85DAB}">
  <dimension ref="A1:M26"/>
  <sheetViews>
    <sheetView tabSelected="1" workbookViewId="0">
      <selection activeCell="I29" sqref="I29"/>
    </sheetView>
  </sheetViews>
  <sheetFormatPr baseColWidth="10" defaultRowHeight="15"/>
  <cols>
    <col min="1" max="1" width="22" bestFit="1" customWidth="1"/>
    <col min="2" max="2" width="10.5" bestFit="1" customWidth="1"/>
    <col min="3" max="3" width="14.83203125" bestFit="1" customWidth="1"/>
    <col min="4" max="7" width="11.6640625" bestFit="1" customWidth="1"/>
    <col min="10" max="10" width="15.33203125" customWidth="1"/>
  </cols>
  <sheetData>
    <row r="1" spans="1:13">
      <c r="A1" s="73" t="s">
        <v>726</v>
      </c>
      <c r="B1" s="75"/>
      <c r="C1" s="75"/>
      <c r="D1" s="75"/>
      <c r="E1" s="75"/>
      <c r="F1" s="75"/>
      <c r="G1" s="75"/>
    </row>
    <row r="2" spans="1:13">
      <c r="B2" s="1" t="s">
        <v>590</v>
      </c>
      <c r="C2" s="1" t="s">
        <v>719</v>
      </c>
      <c r="D2" s="1" t="s">
        <v>720</v>
      </c>
      <c r="E2" s="1" t="s">
        <v>724</v>
      </c>
      <c r="F2" s="1" t="s">
        <v>725</v>
      </c>
      <c r="G2" s="1" t="s">
        <v>773</v>
      </c>
    </row>
    <row r="3" spans="1:13">
      <c r="A3" t="s">
        <v>782</v>
      </c>
      <c r="B3" s="247">
        <f>AVERAGE(Analysis_exp1_1shot!F11:G25,Analysis_exp1_1shot!F31:G42,Analysis_exp1_1shot!F48:G48)</f>
        <v>0.87138568561557606</v>
      </c>
      <c r="C3" s="247">
        <f>AVERAGE(Analysis_exp1_1shot!L11:M25,Analysis_exp1_1shot!L31:M42,Analysis_exp1_1shot!L48:M48)</f>
        <v>0.87896434018089609</v>
      </c>
      <c r="D3" s="247">
        <f>AVERAGE(Analysis_exp1_1shot!R11:S25,Analysis_exp1_1shot!R31:S42,Analysis_exp1_1shot!R48,Analysis_exp1_1shot!S48)</f>
        <v>0.78855990284025368</v>
      </c>
      <c r="E3" s="247">
        <f>AVERAGE(Analysis_exp1_1shot!X11:Y25,Analysis_exp1_1shot!X31:Y42,Analysis_exp1_1shot!X48:Y48)</f>
        <v>0.80575018929398745</v>
      </c>
      <c r="F3" s="247">
        <f>AVERAGE(Analysis_exp1_1shot!AD11:AE25,Analysis_exp1_1shot!AD31:AE42,Analysis_exp1_1shot!AD48:AE48)</f>
        <v>0.98673772140435112</v>
      </c>
      <c r="G3" s="1"/>
      <c r="H3" t="s">
        <v>788</v>
      </c>
    </row>
    <row r="4" spans="1:13">
      <c r="A4" s="268" t="s">
        <v>796</v>
      </c>
      <c r="B4" s="269">
        <f>_xlfn.STDEV.P(Analysis_exp1_1shot!F11:G25,Analysis_exp1_1shot!F31:G42,Analysis_exp1_1shot!F48,Analysis_exp1_1shot!G48)</f>
        <v>0.12015422982026337</v>
      </c>
      <c r="C4" s="269">
        <f>_xlfn.STDEV.P(Analysis_exp1_1shot!L11:M25,Analysis_exp1_1shot!L31:M42,Analysis_exp1_1shot!L48:M48)</f>
        <v>0.12682921978724693</v>
      </c>
      <c r="D4" s="269">
        <f>_xlfn.STDEV.P(Analysis_exp1_1shot!R11:S25,Analysis_exp1_1shot!R31:S42,Analysis_exp1_1shot!R48:S48)</f>
        <v>0.17546054883255191</v>
      </c>
      <c r="E4" s="269">
        <f>_xlfn.STDEV.P(Analysis_exp1_1shot!X11:Y25,Analysis_exp1_1shot!X31:Y42,Analysis_exp1_1shot!X48:Y48)</f>
        <v>0.44445241257000517</v>
      </c>
      <c r="F4" s="269">
        <f>_xlfn.STDEV.P(Analysis_exp1_1shot!AD11:AE25,Analysis_exp1_1shot!AD31:AE42,Analysis_exp1_1shot!AD48:AE48)</f>
        <v>4.4386725872046284E-2</v>
      </c>
      <c r="G4" s="1"/>
    </row>
    <row r="5" spans="1:13">
      <c r="A5" s="266" t="s">
        <v>778</v>
      </c>
      <c r="B5" s="298">
        <f>Analysis_exp2_1shot!B2</f>
        <v>0.87787763299688226</v>
      </c>
      <c r="C5" s="298">
        <f>Analysis_exp2_1shot!C2</f>
        <v>0.86914510638978426</v>
      </c>
      <c r="D5" s="298">
        <f>Analysis_exp2_1shot!D2</f>
        <v>0.83728702379723163</v>
      </c>
      <c r="E5" s="298">
        <f>Analysis_exp2_1shot!E2</f>
        <v>0.6204642954568742</v>
      </c>
      <c r="F5" s="298">
        <f>Analysis_exp2_1shot!F2</f>
        <v>0.97631591628597614</v>
      </c>
      <c r="G5" s="299"/>
    </row>
    <row r="6" spans="1:13">
      <c r="A6" t="s">
        <v>796</v>
      </c>
      <c r="B6" s="242">
        <f>Analysis_exp2_1shot!C61</f>
        <v>0.11063021668376793</v>
      </c>
      <c r="C6" s="242">
        <f>Analysis_exp2_1shot!J61</f>
        <v>0.12706972265405872</v>
      </c>
      <c r="D6" s="242">
        <f>Analysis_exp2_1shot!Q61</f>
        <v>0.13686941535719091</v>
      </c>
      <c r="E6" s="242">
        <f>Analysis_exp2_1shot!X61</f>
        <v>0.41996246824455452</v>
      </c>
      <c r="F6" s="242">
        <f>Analysis_exp2_1shot!AE61</f>
        <v>6.8797286155395543E-2</v>
      </c>
      <c r="G6" s="298"/>
    </row>
    <row r="7" spans="1:13">
      <c r="A7" s="230" t="s">
        <v>780</v>
      </c>
      <c r="B7" s="289">
        <f>B5-B3</f>
        <v>6.4919473813062067E-3</v>
      </c>
      <c r="C7" s="290">
        <f t="shared" ref="C7:F7" si="0">C5-C3</f>
        <v>-9.8192337911118255E-3</v>
      </c>
      <c r="D7" s="279">
        <f t="shared" si="0"/>
        <v>4.8727120956977954E-2</v>
      </c>
      <c r="E7" s="290">
        <f t="shared" si="0"/>
        <v>-0.18528589383711325</v>
      </c>
      <c r="F7" s="290">
        <f t="shared" si="0"/>
        <v>-1.0421805118374983E-2</v>
      </c>
      <c r="G7" s="252"/>
    </row>
    <row r="9" spans="1:13">
      <c r="A9" s="265"/>
      <c r="B9" s="14"/>
      <c r="C9" s="14"/>
      <c r="D9" s="14"/>
      <c r="E9" s="14"/>
      <c r="F9" s="14"/>
      <c r="G9" s="14"/>
      <c r="H9" s="14"/>
      <c r="I9" s="14"/>
    </row>
    <row r="10" spans="1:13">
      <c r="A10" s="73" t="s">
        <v>727</v>
      </c>
      <c r="B10" s="73" t="s">
        <v>590</v>
      </c>
      <c r="C10" s="73" t="s">
        <v>719</v>
      </c>
      <c r="D10" s="73" t="s">
        <v>720</v>
      </c>
      <c r="E10" s="73" t="s">
        <v>724</v>
      </c>
      <c r="F10" s="73" t="s">
        <v>725</v>
      </c>
      <c r="G10" s="73" t="s">
        <v>773</v>
      </c>
      <c r="I10" s="41"/>
    </row>
    <row r="11" spans="1:13">
      <c r="I11" s="14"/>
    </row>
    <row r="12" spans="1:13">
      <c r="A12" s="235" t="s">
        <v>779</v>
      </c>
      <c r="B12" s="236">
        <f>B3</f>
        <v>0.87138568561557606</v>
      </c>
      <c r="C12" s="236">
        <f t="shared" ref="C12:F12" si="1">C3</f>
        <v>0.87896434018089609</v>
      </c>
      <c r="D12" s="236">
        <f t="shared" si="1"/>
        <v>0.78855990284025368</v>
      </c>
      <c r="E12" s="236">
        <f t="shared" si="1"/>
        <v>0.80575018929398745</v>
      </c>
      <c r="F12" s="236">
        <f t="shared" si="1"/>
        <v>0.98673772140435112</v>
      </c>
      <c r="G12" s="251"/>
      <c r="I12" s="14"/>
      <c r="K12" s="1"/>
      <c r="L12" s="1"/>
      <c r="M12" s="1"/>
    </row>
    <row r="13" spans="1:13">
      <c r="A13" t="s">
        <v>710</v>
      </c>
      <c r="B13" s="247">
        <f>AVERAGE(Analysis_exp1_1shot!F11:G25)</f>
        <v>0.93780965920593373</v>
      </c>
      <c r="C13" s="247">
        <f>AVERAGE(Analysis_exp1_1shot!L11:M25)</f>
        <v>0.93747820262526149</v>
      </c>
      <c r="D13" s="247">
        <f>AVERAGE(Analysis_exp1_1shot!R11:S25)</f>
        <v>0.88243152645017819</v>
      </c>
      <c r="E13" s="247">
        <f>AVERAGE(Analysis_exp1_1shot!X11:Y25)</f>
        <v>1.0501515151515151</v>
      </c>
      <c r="F13" s="247">
        <f>AVERAGE(Analysis_exp1_1shot!AD11:AE25)</f>
        <v>0.99095238095238092</v>
      </c>
      <c r="G13" s="234"/>
      <c r="H13" t="str">
        <f>_xlfn.CONCAT(A13," &amp; ",B13," &amp; ",C13," &amp; ",D13," &amp; ",E13," &amp; ",F13," \\ \hline ",)</f>
        <v xml:space="preserve">low &amp; 0.937809659205934 &amp; 0.937478202625261 &amp; 0.882431526450178 &amp; 1.05015151515152 &amp; 0.990952380952381 \\ \hline </v>
      </c>
      <c r="I13" s="14"/>
      <c r="J13" s="1"/>
      <c r="K13" s="234"/>
      <c r="L13" s="234"/>
      <c r="M13" s="234"/>
    </row>
    <row r="14" spans="1:13">
      <c r="A14" t="s">
        <v>711</v>
      </c>
      <c r="B14" s="247">
        <f>AVERAGE(Analysis_exp1_1shot!F31:G42)</f>
        <v>0.79296256634508078</v>
      </c>
      <c r="C14" s="247">
        <f>AVERAGE(Analysis_exp1_1shot!L31:M42)</f>
        <v>0.81253499980187627</v>
      </c>
      <c r="D14" s="247">
        <f>AVERAGE(Analysis_exp1_1shot!R31:S42)</f>
        <v>0.67854535973065289</v>
      </c>
      <c r="E14" s="247">
        <f>AVERAGE(Analysis_exp1_1shot!X31:Y42)</f>
        <v>0.53683882552435391</v>
      </c>
      <c r="F14" s="247">
        <f>AVERAGE(Analysis_exp1_1shot!AD31:AE42)</f>
        <v>0.98036420708634342</v>
      </c>
      <c r="G14" s="234"/>
      <c r="H14" t="str">
        <f t="shared" ref="H14:H15" si="2">_xlfn.CONCAT(A14," &amp; ",B14," &amp; ",C14," &amp; ",D14," &amp; ",E14," &amp; ",F14," \\ \hline ",)</f>
        <v xml:space="preserve">medium &amp; 0.792962566345081 &amp; 0.812534999801876 &amp; 0.678545359730653 &amp; 0.536838825524354 &amp; 0.980364207086343 \\ \hline </v>
      </c>
      <c r="I14" s="14"/>
      <c r="J14" s="1"/>
      <c r="K14" s="234"/>
      <c r="L14" s="234"/>
      <c r="M14" s="234"/>
    </row>
    <row r="15" spans="1:13">
      <c r="A15" s="291" t="s">
        <v>781</v>
      </c>
      <c r="B15" s="247">
        <f>AVERAGE(Analysis_exp1_1shot!F48:G48)</f>
        <v>0.8161035130061679</v>
      </c>
      <c r="C15" s="247">
        <f>AVERAGE(Analysis_exp1_1shot!L48:M48)</f>
        <v>0.79840848806366049</v>
      </c>
      <c r="D15" s="247">
        <f>AVERAGE(Analysis_exp1_1shot!R48:S48)</f>
        <v>0.70066006600660058</v>
      </c>
      <c r="E15" s="247">
        <f>AVERAGE(Analysis_exp1_1shot!X48:Y48)</f>
        <v>0.3666666666666667</v>
      </c>
      <c r="F15" s="247">
        <f>AVERAGE(Analysis_exp1_1shot!AD48:AE48)</f>
        <v>1</v>
      </c>
      <c r="G15" s="267"/>
      <c r="H15" t="str">
        <f t="shared" si="2"/>
        <v xml:space="preserve">high/6-4 &amp; 0.816103513006168 &amp; 0.79840848806366 &amp; 0.700660066006601 &amp; 0.366666666666667 &amp; 1 \\ \hline </v>
      </c>
      <c r="I15" s="14"/>
      <c r="J15" s="1"/>
      <c r="K15" s="234"/>
      <c r="L15" s="234"/>
      <c r="M15" s="234"/>
    </row>
    <row r="16" spans="1:13">
      <c r="A16" s="239"/>
      <c r="B16" s="71"/>
      <c r="C16" s="71"/>
      <c r="D16" s="71"/>
      <c r="E16" s="71"/>
      <c r="F16" s="71"/>
      <c r="G16" s="14"/>
      <c r="H16" s="14"/>
      <c r="I16" s="14"/>
    </row>
    <row r="17" spans="1:12">
      <c r="A17" s="235" t="s">
        <v>778</v>
      </c>
      <c r="B17" s="236">
        <f>B5</f>
        <v>0.87787763299688226</v>
      </c>
      <c r="C17" s="236">
        <f t="shared" ref="C17:F17" si="3">C5</f>
        <v>0.86914510638978426</v>
      </c>
      <c r="D17" s="236">
        <f t="shared" si="3"/>
        <v>0.83728702379723163</v>
      </c>
      <c r="E17" s="236">
        <f t="shared" si="3"/>
        <v>0.6204642954568742</v>
      </c>
      <c r="F17" s="236">
        <f t="shared" si="3"/>
        <v>0.97631591628597614</v>
      </c>
      <c r="G17" s="251"/>
      <c r="H17" s="14"/>
      <c r="I17" s="14"/>
    </row>
    <row r="18" spans="1:12">
      <c r="A18" s="1" t="s">
        <v>710</v>
      </c>
      <c r="B18" s="237">
        <f>Analysis_exp2_1shot!C23</f>
        <v>0.92674765201252485</v>
      </c>
      <c r="C18" s="237">
        <f>Analysis_exp2_1shot!J23</f>
        <v>0.91415496449810152</v>
      </c>
      <c r="D18" s="237">
        <f>Analysis_exp2_1shot!Q23</f>
        <v>0.90402641027301811</v>
      </c>
      <c r="E18" s="237">
        <f>Analysis_exp2_1shot!X23</f>
        <v>0.85430495430495434</v>
      </c>
      <c r="F18" s="237">
        <f>Analysis_exp2_1shot!AE23</f>
        <v>0.98441345691345672</v>
      </c>
      <c r="G18" s="234"/>
      <c r="H18" t="str">
        <f>_xlfn.CONCAT(A18," &amp; ",B18," &amp; ",C18," &amp; ",D18," &amp; ",E18," &amp; ",F18," \\ \hline ",)</f>
        <v xml:space="preserve">low &amp; 0.926747652012525 &amp; 0.914154964498102 &amp; 0.904026410273018 &amp; 0.854304954304954 &amp; 0.984413456913457 \\ \hline </v>
      </c>
      <c r="I18" s="14"/>
      <c r="L18" s="178"/>
    </row>
    <row r="19" spans="1:12">
      <c r="A19" s="272" t="s">
        <v>780</v>
      </c>
      <c r="B19" s="273">
        <f>B18-B13</f>
        <v>-1.1062007193408885E-2</v>
      </c>
      <c r="C19" s="273">
        <f>C18-C13</f>
        <v>-2.3323238127159973E-2</v>
      </c>
      <c r="D19" s="278">
        <f>D18-D13</f>
        <v>2.1594883822839916E-2</v>
      </c>
      <c r="E19" s="277">
        <f>E18-E13</f>
        <v>-0.19584656084656071</v>
      </c>
      <c r="F19" s="277">
        <f>F18-F13</f>
        <v>-6.5389240389241987E-3</v>
      </c>
      <c r="G19" s="270"/>
      <c r="I19" s="14"/>
      <c r="L19" s="178"/>
    </row>
    <row r="20" spans="1:12">
      <c r="A20" s="1" t="s">
        <v>711</v>
      </c>
      <c r="B20" s="237">
        <f>Analysis_exp2_1shot!C40</f>
        <v>0.82484593671630857</v>
      </c>
      <c r="C20" s="237">
        <f>Analysis_exp2_1shot!J40</f>
        <v>0.82017979098482818</v>
      </c>
      <c r="D20" s="237">
        <f>Analysis_exp2_1shot!Q40</f>
        <v>0.76587541008198179</v>
      </c>
      <c r="E20" s="237">
        <f>Analysis_exp2_1shot!X40</f>
        <v>0.37558139023798653</v>
      </c>
      <c r="F20" s="237">
        <f>Analysis_exp2_1shot!AE40</f>
        <v>0.96404995630347745</v>
      </c>
      <c r="G20" s="234"/>
      <c r="H20" t="str">
        <f t="shared" ref="H20:H22" si="4">_xlfn.CONCAT(A20," &amp; ",B20," &amp; ",C20," &amp; ",D20," &amp; ",E20," &amp; ",F20," \\ \hline ",)</f>
        <v xml:space="preserve">medium &amp; 0.824845936716309 &amp; 0.820179790984828 &amp; 0.765875410081982 &amp; 0.375581390237987 &amp; 0.964049956303477 \\ \hline </v>
      </c>
      <c r="I20" s="14"/>
      <c r="L20" s="178"/>
    </row>
    <row r="21" spans="1:12">
      <c r="A21" s="272" t="s">
        <v>780</v>
      </c>
      <c r="B21" s="278">
        <f>B20-B14</f>
        <v>3.1883370371227793E-2</v>
      </c>
      <c r="C21" s="278">
        <f>C20-C14</f>
        <v>7.6447911829519155E-3</v>
      </c>
      <c r="D21" s="278">
        <f>D20-D14</f>
        <v>8.7330050351328903E-2</v>
      </c>
      <c r="E21" s="277">
        <f>E20-E14</f>
        <v>-0.16125743528636738</v>
      </c>
      <c r="F21" s="277">
        <f>F20-F14</f>
        <v>-1.6314250782865969E-2</v>
      </c>
      <c r="G21" s="270"/>
      <c r="I21" s="14"/>
      <c r="L21" s="178"/>
    </row>
    <row r="22" spans="1:12">
      <c r="A22" s="11" t="s">
        <v>712</v>
      </c>
      <c r="B22" s="203">
        <f>Analysis_exp2_1shot!C55</f>
        <v>0.78120770312912846</v>
      </c>
      <c r="C22" s="203">
        <f>Analysis_exp2_1shot!J55</f>
        <v>0.781581019624498</v>
      </c>
      <c r="D22" s="203">
        <f>Analysis_exp2_1shot!Q55</f>
        <v>0.69313559124342294</v>
      </c>
      <c r="E22" s="203">
        <f>Analysis_exp2_1shot!X55</f>
        <v>7.2222222222222215E-2</v>
      </c>
      <c r="F22" s="203">
        <f>Analysis_exp2_1shot!AE55</f>
        <v>1</v>
      </c>
      <c r="G22" s="267"/>
      <c r="H22" t="str">
        <f t="shared" si="4"/>
        <v xml:space="preserve">high &amp; 0.781207703129128 &amp; 0.781581019624498 &amp; 0.693135591243423 &amp; 0.0722222222222222 &amp; 1 \\ \hline </v>
      </c>
      <c r="I22" s="14"/>
      <c r="L22" s="178"/>
    </row>
    <row r="23" spans="1:12">
      <c r="A23" s="274" t="s">
        <v>780</v>
      </c>
      <c r="B23" s="275">
        <f>B22-B15</f>
        <v>-3.4895809877039441E-2</v>
      </c>
      <c r="C23" s="276">
        <f>C22-C15</f>
        <v>-1.6827468439162496E-2</v>
      </c>
      <c r="D23" s="276">
        <f>D22-D15</f>
        <v>-7.5244747631776354E-3</v>
      </c>
      <c r="E23" s="276">
        <f>E22-E15</f>
        <v>-0.29444444444444451</v>
      </c>
      <c r="F23" s="275">
        <f>F22-F15</f>
        <v>0</v>
      </c>
      <c r="G23" s="267"/>
      <c r="H23" s="14"/>
      <c r="I23" s="14"/>
      <c r="L23" s="178"/>
    </row>
    <row r="24" spans="1:12">
      <c r="A24" s="14"/>
      <c r="B24" s="14"/>
      <c r="C24" s="297"/>
      <c r="D24" s="14"/>
      <c r="E24" s="14"/>
      <c r="F24" s="14"/>
      <c r="G24" s="14"/>
      <c r="H24" s="14"/>
      <c r="I24" s="14"/>
    </row>
    <row r="25" spans="1:12">
      <c r="A25" s="14"/>
      <c r="B25" s="14"/>
      <c r="C25" s="14"/>
      <c r="D25" s="14"/>
      <c r="E25" s="14"/>
      <c r="F25" s="14"/>
      <c r="G25" s="14"/>
      <c r="H25" s="14"/>
      <c r="I25" s="14"/>
    </row>
    <row r="26" spans="1:12">
      <c r="A26" s="14"/>
      <c r="B26" s="14"/>
      <c r="C26" s="14"/>
      <c r="D26" s="14"/>
      <c r="E26" s="14"/>
      <c r="F26" s="14"/>
      <c r="G26" s="14"/>
      <c r="H26" s="14"/>
      <c r="I26"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76A2D-A9DF-FD40-8633-979503031DAC}">
  <dimension ref="A1:M87"/>
  <sheetViews>
    <sheetView zoomScale="110" zoomScaleNormal="110" workbookViewId="0">
      <selection activeCell="K43" sqref="K43"/>
    </sheetView>
  </sheetViews>
  <sheetFormatPr baseColWidth="10" defaultRowHeight="15"/>
  <cols>
    <col min="3" max="3" width="12.6640625" bestFit="1" customWidth="1"/>
    <col min="5" max="5" width="16.1640625" customWidth="1"/>
    <col min="6" max="6" width="13.6640625" bestFit="1" customWidth="1"/>
    <col min="8" max="8" width="11.6640625" bestFit="1" customWidth="1"/>
    <col min="9" max="9" width="15.6640625" customWidth="1"/>
    <col min="10" max="10" width="21" customWidth="1"/>
    <col min="11" max="11" width="21.33203125" customWidth="1"/>
  </cols>
  <sheetData>
    <row r="1" spans="1:12">
      <c r="A1" t="s">
        <v>653</v>
      </c>
      <c r="B1" t="s">
        <v>124</v>
      </c>
      <c r="C1" t="s">
        <v>709</v>
      </c>
      <c r="F1" s="1" t="s">
        <v>710</v>
      </c>
      <c r="G1" s="1" t="s">
        <v>711</v>
      </c>
      <c r="H1" s="1" t="s">
        <v>712</v>
      </c>
      <c r="I1" s="1" t="s">
        <v>729</v>
      </c>
      <c r="K1" s="1" t="s">
        <v>716</v>
      </c>
      <c r="L1">
        <v>48</v>
      </c>
    </row>
    <row r="2" spans="1:12">
      <c r="A2">
        <v>1</v>
      </c>
      <c r="B2" s="169" t="s">
        <v>156</v>
      </c>
      <c r="C2" s="46">
        <v>0.12292202212885882</v>
      </c>
      <c r="E2" s="1" t="s">
        <v>714</v>
      </c>
      <c r="F2" s="234">
        <f>AVERAGE(Overview!AC11:AC17,Overview!AC21:AC22,Overview!AC27:AC28,Overview!AC31,Overview!AC33:AC35,Overview!AC50,Overview!AC54)</f>
        <v>20.352941176470587</v>
      </c>
      <c r="G2" s="234">
        <f>AVERAGE(Overview!AC2:AC5,Overview!AC10,Overview!AC23,Overview!AC43:AC46,Overview!AC52,Overview!AC61)</f>
        <v>43.833333333333336</v>
      </c>
      <c r="H2">
        <f>AVERAGE(Overview!AC7,Overview!AC8,Overview!AC19,Overview!AC26,Overview!AC37:AC40,Overview!AC51)</f>
        <v>104</v>
      </c>
      <c r="I2">
        <v>38</v>
      </c>
    </row>
    <row r="3" spans="1:12">
      <c r="A3">
        <v>2</v>
      </c>
      <c r="B3" s="169" t="s">
        <v>151</v>
      </c>
      <c r="C3" s="46">
        <v>0.13120617911568944</v>
      </c>
      <c r="E3" s="1" t="s">
        <v>715</v>
      </c>
      <c r="F3" s="234">
        <f>AVERAGE(Overview!AF11:AF17,Overview!AF21:AF22,Overview!AF27:AF28,Overview!AF31,Overview!AF33:AF35,Overview!AF50,Overview!AF54)</f>
        <v>6.7647058823529411</v>
      </c>
      <c r="G3" s="234">
        <f>AVERAGE(Overview!AF2:AF5,Overview!AF10,Overview!AF23,Overview!AF43:AF46,Overview!AF52,Overview!AF61)</f>
        <v>11.416666666666666</v>
      </c>
      <c r="H3" s="234">
        <f>AVERAGE(Overview!AF7:AF8,Overview!AF19,Overview!AF26,Overview!AF29,Overview!AF37:AF40,Overview!AF51)</f>
        <v>13.4</v>
      </c>
      <c r="I3">
        <v>8</v>
      </c>
    </row>
    <row r="4" spans="1:12">
      <c r="A4">
        <v>3</v>
      </c>
      <c r="B4" s="169" t="s">
        <v>145</v>
      </c>
      <c r="C4" s="46">
        <v>0.15260081704428866</v>
      </c>
      <c r="E4" s="1" t="s">
        <v>713</v>
      </c>
      <c r="F4" s="234">
        <f>AVERAGE(Overview!AH11:AH17,Overview!AH21:AH22,Overview!AH27:AH28,Overview!AH31,Overview!AH33:AH35,Overview!AH50,Overview!AH54)</f>
        <v>8.0588235294117645</v>
      </c>
      <c r="G4" s="234">
        <f>AVERAGE(Overview!AH2:AH5,Overview!AH10,Overview!AH23,Overview!AH43:AH46,Overview!AH52,Overview!AH61)</f>
        <v>19.166666666666668</v>
      </c>
      <c r="H4" s="234">
        <f>AVERAGE(Overview!AH7:AH8,Overview!AH19,Overview!AH26,Overview!AH29,Overview!AH37:AH40,Overview!AH51)</f>
        <v>40.700000000000003</v>
      </c>
      <c r="I4">
        <v>21</v>
      </c>
    </row>
    <row r="5" spans="1:12">
      <c r="A5">
        <v>4</v>
      </c>
      <c r="B5" s="169" t="s">
        <v>143</v>
      </c>
      <c r="C5" s="46">
        <v>0.22139142043935031</v>
      </c>
      <c r="E5" s="1" t="s">
        <v>728</v>
      </c>
      <c r="F5" s="248">
        <f>AVERAGE(Overview!AJ11,Overview!AJ13,Overview!AJ15:AJ17,Overview!AJ21,Overview!AJ22,Overview!AJ27,Overview!AJ28,Overview!AJ31,Overview!AJ33:AJ35,Overview!AJ50,Overview!AJ54)</f>
        <v>1632.7333333333333</v>
      </c>
      <c r="G5" s="234">
        <f>AVERAGE(Overview!AJ2:AJ5,Overview!AJ10,Overview!AJ23,Overview!AJ43:AJ46,Overview!AJ52,Overview!AJ61)</f>
        <v>3047.25</v>
      </c>
      <c r="H5" s="234">
        <f>AVERAGE(Overview!AJ7,Overview!AJ8,Overview!AJ19,Overview!AJ26,Overview!AJ29,Overview!AJ37:AJ40,Overview!AJ51)</f>
        <v>7080.4</v>
      </c>
      <c r="I5">
        <v>3564</v>
      </c>
    </row>
    <row r="6" spans="1:12">
      <c r="A6">
        <v>5</v>
      </c>
      <c r="B6" s="169" t="s">
        <v>173</v>
      </c>
      <c r="C6" s="46">
        <v>0.22174621438236208</v>
      </c>
    </row>
    <row r="7" spans="1:12">
      <c r="A7">
        <v>6</v>
      </c>
      <c r="B7" s="169" t="s">
        <v>152</v>
      </c>
      <c r="C7" s="46">
        <v>0.27932983449816279</v>
      </c>
    </row>
    <row r="8" spans="1:12">
      <c r="A8">
        <v>7</v>
      </c>
      <c r="B8" s="169" t="s">
        <v>147</v>
      </c>
      <c r="C8" s="46">
        <v>0.27975502406478803</v>
      </c>
    </row>
    <row r="9" spans="1:12">
      <c r="A9">
        <v>8</v>
      </c>
      <c r="B9" s="169" t="s">
        <v>160</v>
      </c>
      <c r="C9" s="46">
        <v>0.30059494447931323</v>
      </c>
    </row>
    <row r="10" spans="1:12">
      <c r="A10">
        <v>9</v>
      </c>
      <c r="B10" s="169" t="s">
        <v>159</v>
      </c>
      <c r="C10" s="46">
        <v>0.33146201752133803</v>
      </c>
    </row>
    <row r="11" spans="1:12">
      <c r="A11">
        <v>10</v>
      </c>
      <c r="B11" s="169" t="s">
        <v>157</v>
      </c>
      <c r="C11" s="46">
        <v>0.37587884019647938</v>
      </c>
    </row>
    <row r="12" spans="1:12">
      <c r="A12">
        <v>11</v>
      </c>
      <c r="B12" s="169" t="s">
        <v>169</v>
      </c>
      <c r="C12" s="46">
        <v>0.42209497501118037</v>
      </c>
    </row>
    <row r="13" spans="1:12">
      <c r="A13">
        <v>12</v>
      </c>
      <c r="B13" s="169" t="s">
        <v>162</v>
      </c>
      <c r="C13" s="46">
        <v>0.50647961694909305</v>
      </c>
    </row>
    <row r="14" spans="1:12">
      <c r="A14">
        <v>13</v>
      </c>
      <c r="B14" s="169" t="s">
        <v>161</v>
      </c>
      <c r="C14" s="46">
        <v>0.52196102249416265</v>
      </c>
    </row>
    <row r="15" spans="1:12">
      <c r="A15">
        <v>14</v>
      </c>
      <c r="B15" s="169" t="s">
        <v>148</v>
      </c>
      <c r="C15" s="46">
        <v>0.56209497542866182</v>
      </c>
    </row>
    <row r="16" spans="1:12">
      <c r="A16">
        <v>15</v>
      </c>
      <c r="B16" s="169" t="s">
        <v>149</v>
      </c>
      <c r="C16" s="46">
        <v>0.58718397568449476</v>
      </c>
    </row>
    <row r="17" spans="1:3">
      <c r="A17">
        <v>16</v>
      </c>
      <c r="B17" s="169" t="s">
        <v>180</v>
      </c>
      <c r="C17" s="46">
        <v>0.61878316321209947</v>
      </c>
    </row>
    <row r="18" spans="1:3">
      <c r="A18">
        <v>17</v>
      </c>
      <c r="B18" s="169" t="s">
        <v>142</v>
      </c>
      <c r="C18" s="46">
        <v>0.68720770936437103</v>
      </c>
    </row>
    <row r="19" spans="1:3">
      <c r="A19">
        <v>18</v>
      </c>
      <c r="B19" s="169" t="s">
        <v>153</v>
      </c>
      <c r="C19" s="46">
        <v>0.71717371842414368</v>
      </c>
    </row>
    <row r="20" spans="1:3">
      <c r="A20">
        <v>19</v>
      </c>
      <c r="B20" s="169" t="s">
        <v>165</v>
      </c>
      <c r="C20" s="46">
        <v>0.76872020985885514</v>
      </c>
    </row>
    <row r="21" spans="1:3">
      <c r="A21">
        <v>20</v>
      </c>
      <c r="B21" s="169" t="s">
        <v>136</v>
      </c>
      <c r="C21" s="46">
        <v>0.95277379153363251</v>
      </c>
    </row>
    <row r="22" spans="1:3">
      <c r="A22">
        <v>21</v>
      </c>
      <c r="B22" s="169" t="s">
        <v>166</v>
      </c>
      <c r="C22" s="46">
        <v>0.97550594631088738</v>
      </c>
    </row>
    <row r="23" spans="1:3">
      <c r="A23">
        <v>22</v>
      </c>
      <c r="B23" s="169" t="s">
        <v>164</v>
      </c>
      <c r="C23" s="46">
        <v>1.0044976799398497</v>
      </c>
    </row>
    <row r="24" spans="1:3">
      <c r="A24">
        <v>23</v>
      </c>
      <c r="B24" s="169" t="s">
        <v>137</v>
      </c>
      <c r="C24" s="46">
        <v>1.1046593890420084</v>
      </c>
    </row>
    <row r="25" spans="1:3">
      <c r="A25">
        <v>24</v>
      </c>
      <c r="B25" s="169" t="s">
        <v>139</v>
      </c>
      <c r="C25" s="46">
        <v>1.1684547189854599</v>
      </c>
    </row>
    <row r="26" spans="1:3">
      <c r="A26">
        <v>25</v>
      </c>
      <c r="B26" s="169" t="s">
        <v>163</v>
      </c>
      <c r="C26" s="46">
        <v>1.3324483637553488</v>
      </c>
    </row>
    <row r="27" spans="1:3">
      <c r="A27">
        <v>26</v>
      </c>
      <c r="B27" s="169" t="s">
        <v>138</v>
      </c>
      <c r="C27" s="46">
        <v>1.7630217876745329</v>
      </c>
    </row>
    <row r="28" spans="1:3">
      <c r="A28">
        <v>27</v>
      </c>
      <c r="B28" s="169" t="s">
        <v>171</v>
      </c>
      <c r="C28" s="46">
        <v>1.7908421381265678</v>
      </c>
    </row>
    <row r="29" spans="1:3">
      <c r="A29">
        <v>28</v>
      </c>
      <c r="B29" s="169" t="s">
        <v>158</v>
      </c>
      <c r="C29" s="46">
        <v>2.4616955362130621</v>
      </c>
    </row>
    <row r="30" spans="1:3">
      <c r="A30">
        <v>29</v>
      </c>
      <c r="B30" s="169" t="s">
        <v>155</v>
      </c>
      <c r="C30" s="46">
        <v>2.4984842891134509</v>
      </c>
    </row>
    <row r="31" spans="1:3">
      <c r="A31">
        <v>30</v>
      </c>
      <c r="B31" s="169" t="s">
        <v>150</v>
      </c>
      <c r="C31" s="46">
        <v>2.7952187375938022</v>
      </c>
    </row>
    <row r="32" spans="1:3">
      <c r="A32">
        <v>31</v>
      </c>
      <c r="B32" s="169" t="s">
        <v>398</v>
      </c>
      <c r="C32" s="46">
        <v>3.2146443105575608</v>
      </c>
    </row>
    <row r="33" spans="1:13">
      <c r="A33">
        <v>32</v>
      </c>
      <c r="B33" s="169" t="s">
        <v>284</v>
      </c>
      <c r="C33" s="46">
        <v>3.2881626840345022</v>
      </c>
    </row>
    <row r="34" spans="1:13">
      <c r="A34">
        <v>33</v>
      </c>
      <c r="B34" s="169" t="s">
        <v>170</v>
      </c>
      <c r="C34" s="46">
        <v>5.4739242706325149</v>
      </c>
    </row>
    <row r="35" spans="1:13">
      <c r="A35">
        <v>34</v>
      </c>
      <c r="B35" s="169" t="s">
        <v>286</v>
      </c>
      <c r="C35" s="46">
        <v>6.1022699753562648</v>
      </c>
    </row>
    <row r="36" spans="1:13">
      <c r="A36">
        <v>35</v>
      </c>
      <c r="B36" s="169" t="s">
        <v>283</v>
      </c>
      <c r="C36" s="46">
        <v>6.2770735720882342</v>
      </c>
    </row>
    <row r="37" spans="1:13">
      <c r="A37">
        <v>36</v>
      </c>
      <c r="B37" s="169" t="s">
        <v>141</v>
      </c>
      <c r="C37" s="46">
        <v>7.1446038950758703</v>
      </c>
    </row>
    <row r="38" spans="1:13">
      <c r="A38">
        <v>37</v>
      </c>
      <c r="B38" s="169" t="s">
        <v>140</v>
      </c>
      <c r="C38" s="46">
        <v>12.016003575726049</v>
      </c>
    </row>
    <row r="39" spans="1:13">
      <c r="B39" s="26"/>
    </row>
    <row r="42" spans="1:13">
      <c r="B42" s="1" t="s">
        <v>135</v>
      </c>
      <c r="C42" s="1" t="s">
        <v>35</v>
      </c>
      <c r="D42" s="1" t="s">
        <v>270</v>
      </c>
      <c r="E42" s="1" t="s">
        <v>271</v>
      </c>
      <c r="F42" s="1" t="s">
        <v>359</v>
      </c>
      <c r="G42" s="1" t="s">
        <v>272</v>
      </c>
      <c r="H42" s="1" t="s">
        <v>258</v>
      </c>
      <c r="I42" s="1" t="s">
        <v>261</v>
      </c>
    </row>
    <row r="43" spans="1:13">
      <c r="B43" t="s">
        <v>156</v>
      </c>
      <c r="C43" t="s">
        <v>54</v>
      </c>
      <c r="D43">
        <v>14</v>
      </c>
      <c r="E43">
        <v>6</v>
      </c>
      <c r="F43">
        <v>6</v>
      </c>
      <c r="G43">
        <v>949</v>
      </c>
      <c r="H43" s="46">
        <v>0.12287169416637536</v>
      </c>
      <c r="I43" t="s">
        <v>710</v>
      </c>
      <c r="K43" t="str">
        <f t="shared" ref="K43:K79" si="0">_xlfn.CONCAT(B43," &amp; ",C43," &amp; ",D43," &amp; ",E43," &amp; ",F43," &amp; ",G43," &amp; ",H43," &amp; ",I43," \\ ", "\hline")</f>
        <v>6-2 &amp; Help - Tutorial &amp; 14 &amp; 6 &amp; 6 &amp; 949 &amp; 0.122871694166375 &amp; low \\ \hline</v>
      </c>
      <c r="M43" t="s">
        <v>730</v>
      </c>
    </row>
    <row r="44" spans="1:13">
      <c r="B44" t="s">
        <v>151</v>
      </c>
      <c r="C44" t="s">
        <v>8</v>
      </c>
      <c r="D44">
        <v>13</v>
      </c>
      <c r="E44">
        <v>6</v>
      </c>
      <c r="F44">
        <v>7</v>
      </c>
      <c r="G44">
        <v>1059</v>
      </c>
      <c r="H44" s="46">
        <v>0.13115245937088071</v>
      </c>
      <c r="I44" t="s">
        <v>710</v>
      </c>
      <c r="K44" t="str">
        <f t="shared" si="0"/>
        <v>5-1 &amp; Active VOS &amp; 13 &amp; 6 &amp; 7 &amp; 1059 &amp; 0.131152459370881 &amp; low \\ \hline</v>
      </c>
      <c r="M44" t="s">
        <v>731</v>
      </c>
    </row>
    <row r="45" spans="1:13">
      <c r="B45" t="s">
        <v>145</v>
      </c>
      <c r="C45" t="s">
        <v>38</v>
      </c>
      <c r="D45">
        <v>14</v>
      </c>
      <c r="E45">
        <v>7</v>
      </c>
      <c r="F45">
        <v>7</v>
      </c>
      <c r="G45">
        <v>1106</v>
      </c>
      <c r="H45" s="46">
        <v>0.15253833769305328</v>
      </c>
      <c r="I45" t="s">
        <v>710</v>
      </c>
      <c r="K45" t="str">
        <f t="shared" si="0"/>
        <v>3-4 &amp; 2009-4 event-based gateways &amp; 14 &amp; 7 &amp; 7 &amp; 1106 &amp; 0.152538337693053 &amp; low \\ \hline</v>
      </c>
      <c r="M45" t="s">
        <v>732</v>
      </c>
    </row>
    <row r="46" spans="1:13">
      <c r="B46" s="33" t="s">
        <v>143</v>
      </c>
      <c r="C46" t="s">
        <v>37</v>
      </c>
      <c r="D46">
        <v>21</v>
      </c>
      <c r="E46">
        <v>4</v>
      </c>
      <c r="F46">
        <v>10</v>
      </c>
      <c r="G46">
        <v>1456</v>
      </c>
      <c r="H46" s="46">
        <v>0.22130077615194707</v>
      </c>
      <c r="I46" t="s">
        <v>710</v>
      </c>
      <c r="K46" t="str">
        <f t="shared" si="0"/>
        <v>3-2 &amp; 2009-2 Conduct Directiosn Hearings &amp; 21 &amp; 4 &amp; 10 &amp; 1456 &amp; 0.221300776151947 &amp; low \\ \hline</v>
      </c>
      <c r="M46" t="s">
        <v>733</v>
      </c>
    </row>
    <row r="47" spans="1:13">
      <c r="B47" t="s">
        <v>173</v>
      </c>
      <c r="C47" t="s">
        <v>25</v>
      </c>
      <c r="D47">
        <v>19</v>
      </c>
      <c r="E47">
        <v>9</v>
      </c>
      <c r="F47">
        <v>8</v>
      </c>
      <c r="G47">
        <v>1250</v>
      </c>
      <c r="H47" s="46">
        <v>0.22869210498506434</v>
      </c>
      <c r="I47" t="s">
        <v>710</v>
      </c>
      <c r="K47" t="str">
        <f t="shared" si="0"/>
        <v>10-5 &amp; B5.2 &amp; 19 &amp; 9 &amp; 8 &amp; 1250 &amp; 0.228692104985064 &amp; low \\ \hline</v>
      </c>
      <c r="M47" t="s">
        <v>734</v>
      </c>
    </row>
    <row r="48" spans="1:13">
      <c r="B48" t="s">
        <v>152</v>
      </c>
      <c r="C48" t="s">
        <v>10</v>
      </c>
      <c r="D48">
        <v>20</v>
      </c>
      <c r="E48">
        <v>8</v>
      </c>
      <c r="F48">
        <v>8</v>
      </c>
      <c r="G48">
        <v>1550</v>
      </c>
      <c r="H48" s="46">
        <v>0.27921546848638013</v>
      </c>
      <c r="I48" t="s">
        <v>710</v>
      </c>
      <c r="K48" t="str">
        <f t="shared" si="0"/>
        <v>5-2 &amp; BizAgi 1 &amp; 20 &amp; 8 &amp; 8 &amp; 1550 &amp; 0.27921546848638 &amp; low \\ \hline</v>
      </c>
      <c r="M48" t="s">
        <v>735</v>
      </c>
    </row>
    <row r="49" spans="2:13">
      <c r="B49" t="s">
        <v>147</v>
      </c>
      <c r="C49" t="s">
        <v>39</v>
      </c>
      <c r="D49">
        <v>24</v>
      </c>
      <c r="E49">
        <v>5</v>
      </c>
      <c r="F49">
        <v>12</v>
      </c>
      <c r="G49">
        <v>1577</v>
      </c>
      <c r="H49" s="46">
        <v>0.27964048396764468</v>
      </c>
      <c r="I49" t="s">
        <v>710</v>
      </c>
      <c r="K49" t="str">
        <f t="shared" si="0"/>
        <v>3-6 &amp; 2010-1 Claims Notification &amp; 24 &amp; 5 &amp; 12 &amp; 1577 &amp; 0.279640483967645 &amp; low \\ \hline</v>
      </c>
      <c r="M49" t="s">
        <v>736</v>
      </c>
    </row>
    <row r="50" spans="2:13" ht="15" customHeight="1">
      <c r="B50" t="s">
        <v>160</v>
      </c>
      <c r="C50" t="s">
        <v>51</v>
      </c>
      <c r="D50">
        <v>20</v>
      </c>
      <c r="E50">
        <v>8</v>
      </c>
      <c r="F50">
        <v>7</v>
      </c>
      <c r="G50">
        <v>1668</v>
      </c>
      <c r="H50" s="46">
        <v>0.30047187189373031</v>
      </c>
      <c r="I50" t="s">
        <v>710</v>
      </c>
      <c r="K50" t="str">
        <f t="shared" si="0"/>
        <v>8-1 &amp; HR process - Simple &amp; 20 &amp; 8 &amp; 7 &amp; 1668 &amp; 0.30047187189373 &amp; low \\ \hline</v>
      </c>
      <c r="M50" t="s">
        <v>737</v>
      </c>
    </row>
    <row r="51" spans="2:13">
      <c r="B51" t="s">
        <v>159</v>
      </c>
      <c r="C51" t="s">
        <v>53</v>
      </c>
      <c r="D51">
        <v>21</v>
      </c>
      <c r="E51">
        <v>9</v>
      </c>
      <c r="F51">
        <v>8</v>
      </c>
      <c r="G51">
        <v>1706</v>
      </c>
      <c r="H51" s="46">
        <v>0.33132630703029992</v>
      </c>
      <c r="I51" t="s">
        <v>710</v>
      </c>
      <c r="K51" t="str">
        <f t="shared" si="0"/>
        <v>7-1 &amp; Frank Puhlmann - Calling Leads &amp; 21 &amp; 9 &amp; 8 &amp; 1706 &amp; 0.3313263070303 &amp; low \\ \hline</v>
      </c>
      <c r="M51" t="s">
        <v>738</v>
      </c>
    </row>
    <row r="52" spans="2:13">
      <c r="B52" t="s">
        <v>157</v>
      </c>
      <c r="C52" t="s">
        <v>56</v>
      </c>
      <c r="D52">
        <v>24</v>
      </c>
      <c r="E52">
        <v>8</v>
      </c>
      <c r="F52">
        <v>10</v>
      </c>
      <c r="G52">
        <v>1854</v>
      </c>
      <c r="H52" s="46">
        <v>0.37572494412610796</v>
      </c>
      <c r="I52" t="s">
        <v>710</v>
      </c>
      <c r="K52" t="str">
        <f t="shared" si="0"/>
        <v>6-3 &amp; Powerlicht &amp; 24 &amp; 8 &amp; 10 &amp; 1854 &amp; 0.375724944126108 &amp; low \\ \hline</v>
      </c>
      <c r="M52" t="s">
        <v>739</v>
      </c>
    </row>
    <row r="53" spans="2:13">
      <c r="B53" t="s">
        <v>169</v>
      </c>
      <c r="C53" t="s">
        <v>21</v>
      </c>
      <c r="D53">
        <v>27</v>
      </c>
      <c r="E53">
        <v>11</v>
      </c>
      <c r="F53">
        <v>12</v>
      </c>
      <c r="G53">
        <v>1723</v>
      </c>
      <c r="H53" s="46">
        <v>0.42192215666912153</v>
      </c>
      <c r="I53" t="s">
        <v>710</v>
      </c>
      <c r="K53" t="str">
        <f t="shared" si="0"/>
        <v>10-1 &amp; B2 &amp; 27 &amp; 11 &amp; 12 &amp; 1723 &amp; 0.421922156669122 &amp; low \\ \hline</v>
      </c>
      <c r="M53" t="s">
        <v>740</v>
      </c>
    </row>
    <row r="54" spans="2:13">
      <c r="B54" t="s">
        <v>162</v>
      </c>
      <c r="C54" t="s">
        <v>52</v>
      </c>
      <c r="D54">
        <v>31</v>
      </c>
      <c r="E54">
        <v>9</v>
      </c>
      <c r="F54">
        <v>11</v>
      </c>
      <c r="G54">
        <v>2021</v>
      </c>
      <c r="H54" s="46">
        <v>0.50627224900379741</v>
      </c>
      <c r="I54" t="s">
        <v>710</v>
      </c>
      <c r="K54" t="str">
        <f t="shared" si="0"/>
        <v>8-3 &amp; HR Process - Functional Department &amp; 31 &amp; 9 &amp; 11 &amp; 2021 &amp; 0.506272249003797 &amp; low \\ \hline</v>
      </c>
      <c r="M54" t="s">
        <v>741</v>
      </c>
    </row>
    <row r="55" spans="2:13">
      <c r="B55" t="s">
        <v>161</v>
      </c>
      <c r="C55" t="s">
        <v>13</v>
      </c>
      <c r="D55">
        <v>32</v>
      </c>
      <c r="E55">
        <v>9</v>
      </c>
      <c r="F55">
        <v>11</v>
      </c>
      <c r="G55">
        <v>2037</v>
      </c>
      <c r="H55" s="46">
        <v>0.52174731599712521</v>
      </c>
      <c r="I55" t="s">
        <v>710</v>
      </c>
      <c r="K55" t="str">
        <f t="shared" si="0"/>
        <v>8-2 &amp; HR Process - HR &amp; 32 &amp; 9 &amp; 11 &amp; 2037 &amp; 0.521747315997125 &amp; low \\ \hline</v>
      </c>
      <c r="M55" t="s">
        <v>742</v>
      </c>
    </row>
    <row r="56" spans="2:13">
      <c r="B56" t="s">
        <v>148</v>
      </c>
      <c r="C56" t="s">
        <v>40</v>
      </c>
      <c r="D56">
        <v>33</v>
      </c>
      <c r="E56">
        <v>8</v>
      </c>
      <c r="F56">
        <v>8</v>
      </c>
      <c r="G56">
        <v>2218</v>
      </c>
      <c r="H56" s="46">
        <v>0.56186483688761291</v>
      </c>
      <c r="I56" t="s">
        <v>710</v>
      </c>
      <c r="K56" t="str">
        <f t="shared" si="0"/>
        <v>3-7 &amp; 2010-2 Claims Creation &amp; 33 &amp; 8 &amp; 8 &amp; 2218 &amp; 0.561864836887613 &amp; low \\ \hline</v>
      </c>
      <c r="M56" t="s">
        <v>743</v>
      </c>
    </row>
    <row r="57" spans="2:13">
      <c r="B57" t="s">
        <v>149</v>
      </c>
      <c r="C57" t="s">
        <v>41</v>
      </c>
      <c r="D57">
        <v>33</v>
      </c>
      <c r="E57">
        <v>8</v>
      </c>
      <c r="F57">
        <v>12</v>
      </c>
      <c r="G57">
        <v>2317</v>
      </c>
      <c r="H57" s="46">
        <v>0.58694356495428268</v>
      </c>
      <c r="I57" t="s">
        <v>710</v>
      </c>
      <c r="K57" t="str">
        <f t="shared" si="0"/>
        <v>3-8 &amp; 2010-3 Cleams Handling &amp; 33 &amp; 8 &amp; 12 &amp; 2317 &amp; 0.586943564954283 &amp; low \\ \hline</v>
      </c>
      <c r="M57" t="s">
        <v>744</v>
      </c>
    </row>
    <row r="58" spans="2:13">
      <c r="B58" t="s">
        <v>180</v>
      </c>
      <c r="C58" t="s">
        <v>32</v>
      </c>
      <c r="D58">
        <v>34</v>
      </c>
      <c r="E58">
        <v>12</v>
      </c>
      <c r="F58">
        <v>15</v>
      </c>
      <c r="G58">
        <v>2113</v>
      </c>
      <c r="H58" s="46">
        <v>0.61852981482680436</v>
      </c>
      <c r="I58" t="s">
        <v>711</v>
      </c>
      <c r="K58" t="str">
        <f t="shared" si="0"/>
        <v>10-12 &amp; D1 &amp; 34 &amp; 12 &amp; 15 &amp; 2113 &amp; 0.618529814826804 &amp; medium \\ \hline</v>
      </c>
      <c r="M58" t="s">
        <v>745</v>
      </c>
    </row>
    <row r="59" spans="2:13">
      <c r="B59" t="s">
        <v>142</v>
      </c>
      <c r="C59" t="s">
        <v>36</v>
      </c>
      <c r="D59">
        <v>35</v>
      </c>
      <c r="E59">
        <v>9</v>
      </c>
      <c r="F59">
        <v>8</v>
      </c>
      <c r="G59">
        <v>2516</v>
      </c>
      <c r="H59" s="46">
        <v>0.68692634591772206</v>
      </c>
      <c r="I59" t="s">
        <v>711</v>
      </c>
      <c r="K59" t="str">
        <f t="shared" si="0"/>
        <v>3-1 &amp; 2009-1 MC Finalise SCT Warrant Possession &amp; 35 &amp; 9 &amp; 8 &amp; 2516 &amp; 0.686926345917722 &amp; medium \\ \hline</v>
      </c>
      <c r="M59" t="s">
        <v>746</v>
      </c>
    </row>
    <row r="60" spans="2:13">
      <c r="B60" t="s">
        <v>153</v>
      </c>
      <c r="C60" t="s">
        <v>11</v>
      </c>
      <c r="D60">
        <v>33</v>
      </c>
      <c r="E60">
        <v>12</v>
      </c>
      <c r="F60">
        <v>15</v>
      </c>
      <c r="G60">
        <v>2497</v>
      </c>
      <c r="H60" s="46">
        <v>0.71688008599465802</v>
      </c>
      <c r="I60" t="s">
        <v>711</v>
      </c>
      <c r="K60" t="str">
        <f t="shared" si="0"/>
        <v>5-3 &amp; BizAgi 2 &amp; 33 &amp; 12 &amp; 15 &amp; 2497 &amp; 0.716880085994658 &amp; medium \\ \hline</v>
      </c>
      <c r="M60" t="s">
        <v>747</v>
      </c>
    </row>
    <row r="61" spans="2:13">
      <c r="B61" t="s">
        <v>165</v>
      </c>
      <c r="C61" t="s">
        <v>16</v>
      </c>
      <c r="D61">
        <v>36</v>
      </c>
      <c r="E61">
        <v>11</v>
      </c>
      <c r="F61">
        <v>16</v>
      </c>
      <c r="G61">
        <v>2600</v>
      </c>
      <c r="H61" s="46">
        <v>0.76840547274981619</v>
      </c>
      <c r="I61" t="s">
        <v>711</v>
      </c>
      <c r="K61" t="str">
        <f t="shared" si="0"/>
        <v>9-3 &amp; Exercise 3a &amp; 36 &amp; 11 &amp; 16 &amp; 2600 &amp; 0.768405472749816 &amp; medium \\ \hline</v>
      </c>
      <c r="M61" t="s">
        <v>748</v>
      </c>
    </row>
    <row r="62" spans="2:13">
      <c r="B62" t="s">
        <v>136</v>
      </c>
      <c r="C62" t="s">
        <v>120</v>
      </c>
      <c r="D62">
        <v>42</v>
      </c>
      <c r="E62">
        <v>8</v>
      </c>
      <c r="F62">
        <v>18</v>
      </c>
      <c r="G62">
        <v>3133</v>
      </c>
      <c r="H62" s="46">
        <v>0.95238369736820083</v>
      </c>
      <c r="I62" t="s">
        <v>711</v>
      </c>
      <c r="K62" t="str">
        <f t="shared" si="0"/>
        <v>1-1 &amp; 1 - bicycle manufacturing &amp; 42 &amp; 8 &amp; 18 &amp; 3133 &amp; 0.952383697368201 &amp; medium \\ \hline</v>
      </c>
      <c r="M62" t="s">
        <v>749</v>
      </c>
    </row>
    <row r="63" spans="2:13">
      <c r="B63" t="s">
        <v>166</v>
      </c>
      <c r="C63" t="s">
        <v>17</v>
      </c>
      <c r="D63">
        <v>39</v>
      </c>
      <c r="E63">
        <v>13</v>
      </c>
      <c r="F63">
        <v>17</v>
      </c>
      <c r="G63">
        <v>2961</v>
      </c>
      <c r="H63" s="46">
        <v>0.97510654491951687</v>
      </c>
      <c r="I63" t="s">
        <v>711</v>
      </c>
      <c r="K63" t="str">
        <f t="shared" si="0"/>
        <v>9-4 &amp; Exercise 3b &amp; 39 &amp; 13 &amp; 17 &amp; 2961 &amp; 0.975106544919517 &amp; medium \\ \hline</v>
      </c>
      <c r="M63" t="s">
        <v>750</v>
      </c>
    </row>
    <row r="64" spans="2:13">
      <c r="B64" t="s">
        <v>164</v>
      </c>
      <c r="C64" t="s">
        <v>15</v>
      </c>
      <c r="D64">
        <v>36</v>
      </c>
      <c r="E64">
        <v>15</v>
      </c>
      <c r="F64">
        <v>16</v>
      </c>
      <c r="G64">
        <v>3049</v>
      </c>
      <c r="H64" s="46">
        <v>1.0040864084632239</v>
      </c>
      <c r="I64" t="s">
        <v>711</v>
      </c>
      <c r="K64" t="str">
        <f t="shared" si="0"/>
        <v>9-2 &amp; Exercise 2 &amp; 36 &amp; 15 &amp; 16 &amp; 3049 &amp; 1.00408640846322 &amp; medium \\ \hline</v>
      </c>
      <c r="M64" t="s">
        <v>751</v>
      </c>
    </row>
    <row r="65" spans="2:13">
      <c r="B65" t="s">
        <v>137</v>
      </c>
      <c r="C65" t="s">
        <v>121</v>
      </c>
      <c r="D65">
        <v>48</v>
      </c>
      <c r="E65">
        <v>12</v>
      </c>
      <c r="F65">
        <v>22</v>
      </c>
      <c r="G65">
        <v>2972</v>
      </c>
      <c r="H65" s="46">
        <v>1.1042071083576701</v>
      </c>
      <c r="I65" t="s">
        <v>711</v>
      </c>
      <c r="K65" t="str">
        <f t="shared" si="0"/>
        <v>1-2 &amp; 2 - Computer repair &amp; 48 &amp; 12 &amp; 22 &amp; 2972 &amp; 1.10420710835767 &amp; medium \\ \hline</v>
      </c>
      <c r="M65" t="s">
        <v>752</v>
      </c>
    </row>
    <row r="66" spans="2:13">
      <c r="B66" t="s">
        <v>139</v>
      </c>
      <c r="C66" t="s">
        <v>123</v>
      </c>
      <c r="D66">
        <v>47</v>
      </c>
      <c r="E66">
        <v>13</v>
      </c>
      <c r="F66">
        <v>23</v>
      </c>
      <c r="G66">
        <v>3120</v>
      </c>
      <c r="H66" s="46">
        <v>1.1679763185797205</v>
      </c>
      <c r="I66" t="s">
        <v>711</v>
      </c>
      <c r="K66" t="str">
        <f t="shared" si="0"/>
        <v>1-4 &amp; 4 - Underwriters &amp; 47 &amp; 13 &amp; 23 &amp; 3120 &amp; 1.16797631857972 &amp; medium \\ \hline</v>
      </c>
      <c r="M66" t="s">
        <v>753</v>
      </c>
    </row>
    <row r="67" spans="2:13">
      <c r="B67" t="s">
        <v>163</v>
      </c>
      <c r="C67" t="s">
        <v>14</v>
      </c>
      <c r="D67">
        <v>55</v>
      </c>
      <c r="E67">
        <v>10</v>
      </c>
      <c r="F67">
        <v>30</v>
      </c>
      <c r="G67">
        <v>3380</v>
      </c>
      <c r="H67" s="46">
        <v>1.3319028194330147</v>
      </c>
      <c r="I67" t="s">
        <v>711</v>
      </c>
      <c r="K67" t="str">
        <f t="shared" si="0"/>
        <v>9-1 &amp; Exercise 1 &amp; 55 &amp; 10 &amp; 30 &amp; 3380 &amp; 1.33190281943301 &amp; medium \\ \hline</v>
      </c>
      <c r="M67" t="s">
        <v>754</v>
      </c>
    </row>
    <row r="68" spans="2:13">
      <c r="B68" t="s">
        <v>138</v>
      </c>
      <c r="C68" t="s">
        <v>122</v>
      </c>
      <c r="D68">
        <v>57</v>
      </c>
      <c r="E68">
        <v>10</v>
      </c>
      <c r="F68">
        <v>23</v>
      </c>
      <c r="G68">
        <v>4348</v>
      </c>
      <c r="H68" s="46">
        <v>1.762299953678875</v>
      </c>
      <c r="I68" t="s">
        <v>711</v>
      </c>
      <c r="K68" t="str">
        <f t="shared" si="0"/>
        <v>1-3 &amp; 3 - Hotel Service &amp; 57 &amp; 10 &amp; 23 &amp; 4348 &amp; 1.76229995367888 &amp; medium \\ \hline</v>
      </c>
      <c r="M68" t="s">
        <v>755</v>
      </c>
    </row>
    <row r="69" spans="2:13">
      <c r="B69" t="s">
        <v>171</v>
      </c>
      <c r="C69" t="s">
        <v>23</v>
      </c>
      <c r="D69">
        <v>64</v>
      </c>
      <c r="E69">
        <v>12</v>
      </c>
      <c r="F69">
        <v>27</v>
      </c>
      <c r="G69">
        <v>3878</v>
      </c>
      <c r="H69" s="46">
        <v>1.790108913645059</v>
      </c>
      <c r="I69" t="s">
        <v>711</v>
      </c>
      <c r="K69" t="str">
        <f t="shared" si="0"/>
        <v>10-3 &amp; B4 &amp; 64 &amp; 12 &amp; 27 &amp; 3878 &amp; 1.79010891364506 &amp; medium \\ \hline</v>
      </c>
      <c r="M69" t="s">
        <v>756</v>
      </c>
    </row>
    <row r="70" spans="2:13">
      <c r="B70" t="s">
        <v>158</v>
      </c>
      <c r="C70" t="s">
        <v>55</v>
      </c>
      <c r="D70">
        <v>67</v>
      </c>
      <c r="E70">
        <v>15</v>
      </c>
      <c r="F70">
        <v>30</v>
      </c>
      <c r="G70">
        <v>4884</v>
      </c>
      <c r="H70" s="46">
        <v>2.4606876442304331</v>
      </c>
      <c r="I70" t="s">
        <v>712</v>
      </c>
      <c r="K70" t="str">
        <f t="shared" si="0"/>
        <v>6-4 &amp; Turbopixel &amp; 67 &amp; 15 &amp; 30 &amp; 4884 &amp; 2.46068764423043 &amp; high \\ \hline</v>
      </c>
      <c r="M70" t="s">
        <v>757</v>
      </c>
    </row>
    <row r="71" spans="2:13">
      <c r="B71" t="s">
        <v>155</v>
      </c>
      <c r="C71" t="s">
        <v>12</v>
      </c>
      <c r="D71">
        <v>72</v>
      </c>
      <c r="E71">
        <v>11</v>
      </c>
      <c r="F71">
        <v>25</v>
      </c>
      <c r="G71">
        <v>5013</v>
      </c>
      <c r="H71" s="46">
        <v>2.4974613347120318</v>
      </c>
      <c r="I71" t="s">
        <v>712</v>
      </c>
      <c r="K71" t="str">
        <f t="shared" si="0"/>
        <v>6-1 &amp; ACME &amp; 72 &amp; 11 &amp; 25 &amp; 5013 &amp; 2.49746133471203 &amp; high \\ \hline</v>
      </c>
      <c r="M71" t="s">
        <v>758</v>
      </c>
    </row>
    <row r="72" spans="2:13">
      <c r="B72" t="s">
        <v>150</v>
      </c>
      <c r="C72" t="s">
        <v>57</v>
      </c>
      <c r="D72">
        <v>75</v>
      </c>
      <c r="E72">
        <v>12</v>
      </c>
      <c r="F72">
        <v>31</v>
      </c>
      <c r="G72">
        <v>5337</v>
      </c>
      <c r="H72" s="46">
        <v>2.794074291209645</v>
      </c>
      <c r="I72" t="s">
        <v>712</v>
      </c>
      <c r="K72" t="str">
        <f t="shared" si="0"/>
        <v>4-1 &amp; PhD Thesis - Hajo Reijers &amp; 75 &amp; 12 &amp; 31 &amp; 5337 &amp; 2.79407429120965 &amp; high \\ \hline</v>
      </c>
      <c r="M72" t="s">
        <v>759</v>
      </c>
    </row>
    <row r="73" spans="2:13">
      <c r="B73" t="s">
        <v>398</v>
      </c>
      <c r="C73" t="s">
        <v>399</v>
      </c>
      <c r="D73">
        <v>77</v>
      </c>
      <c r="E73">
        <v>11</v>
      </c>
      <c r="F73">
        <v>33</v>
      </c>
      <c r="G73">
        <v>6105</v>
      </c>
      <c r="H73" s="46">
        <v>3.2133281387646022</v>
      </c>
      <c r="I73" t="s">
        <v>712</v>
      </c>
      <c r="K73" t="str">
        <f t="shared" si="0"/>
        <v>8-7 &amp; Promotion &amp; 77 &amp; 11 &amp; 33 &amp; 6105 &amp; 3.2133281387646 &amp; high \\ \hline</v>
      </c>
      <c r="M73" t="s">
        <v>760</v>
      </c>
    </row>
    <row r="74" spans="2:13">
      <c r="B74" t="s">
        <v>284</v>
      </c>
      <c r="C74" t="s">
        <v>294</v>
      </c>
      <c r="D74">
        <v>78</v>
      </c>
      <c r="E74">
        <v>12</v>
      </c>
      <c r="F74">
        <v>33</v>
      </c>
      <c r="G74">
        <v>6082</v>
      </c>
      <c r="H74" s="46">
        <v>3.2868164116145109</v>
      </c>
      <c r="I74" t="s">
        <v>712</v>
      </c>
      <c r="K74" t="str">
        <f t="shared" si="0"/>
        <v>8-6 &amp; Job posting &amp; 78 &amp; 12 &amp; 33 &amp; 6082 &amp; 3.28681641161451 &amp; high \\ \hline</v>
      </c>
      <c r="M74" t="s">
        <v>761</v>
      </c>
    </row>
    <row r="75" spans="2:13">
      <c r="B75" t="s">
        <v>170</v>
      </c>
      <c r="C75" t="s">
        <v>22</v>
      </c>
      <c r="D75">
        <v>116</v>
      </c>
      <c r="E75">
        <v>15</v>
      </c>
      <c r="F75">
        <v>49</v>
      </c>
      <c r="G75">
        <v>7018</v>
      </c>
      <c r="H75" s="46">
        <v>5.4716830818645583</v>
      </c>
      <c r="I75" t="s">
        <v>712</v>
      </c>
      <c r="K75" t="str">
        <f t="shared" si="0"/>
        <v>10-2 &amp; B3 &amp; 116 &amp; 15 &amp; 49 &amp; 7018 &amp; 5.47168308186456 &amp; high \\ \hline</v>
      </c>
      <c r="M75" t="s">
        <v>762</v>
      </c>
    </row>
    <row r="76" spans="2:13">
      <c r="B76" t="s">
        <v>286</v>
      </c>
      <c r="C76" t="s">
        <v>287</v>
      </c>
      <c r="D76">
        <v>109</v>
      </c>
      <c r="E76">
        <v>11</v>
      </c>
      <c r="F76">
        <v>49</v>
      </c>
      <c r="G76">
        <v>8634</v>
      </c>
      <c r="H76" s="46">
        <v>6.0997715230117224</v>
      </c>
      <c r="I76" t="s">
        <v>712</v>
      </c>
      <c r="K76" t="str">
        <f t="shared" si="0"/>
        <v>8-5 &amp; Business Trip &amp; 109 &amp; 11 &amp; 49 &amp; 8634 &amp; 6.09977152301172 &amp; high \\ \hline</v>
      </c>
      <c r="M76" t="s">
        <v>763</v>
      </c>
    </row>
    <row r="77" spans="2:13">
      <c r="B77" t="s">
        <v>283</v>
      </c>
      <c r="C77" t="s">
        <v>288</v>
      </c>
      <c r="D77">
        <v>110</v>
      </c>
      <c r="E77">
        <v>13</v>
      </c>
      <c r="F77">
        <v>48</v>
      </c>
      <c r="G77">
        <v>8607</v>
      </c>
      <c r="H77" s="46">
        <v>6.2745035499085571</v>
      </c>
      <c r="I77" t="s">
        <v>712</v>
      </c>
      <c r="K77" t="str">
        <f t="shared" si="0"/>
        <v>8-4 &amp; Job posting appointment &amp; 110 &amp; 13 &amp; 48 &amp; 8607 &amp; 6.27450354990856 &amp; high \\ \hline</v>
      </c>
      <c r="M77" t="s">
        <v>764</v>
      </c>
    </row>
    <row r="78" spans="2:13">
      <c r="B78" t="s">
        <v>141</v>
      </c>
      <c r="C78" t="s">
        <v>118</v>
      </c>
      <c r="D78">
        <v>130</v>
      </c>
      <c r="E78">
        <v>16</v>
      </c>
      <c r="F78">
        <v>50</v>
      </c>
      <c r="G78">
        <v>8238</v>
      </c>
      <c r="H78" s="46">
        <v>7.1416786799633689</v>
      </c>
      <c r="I78" t="s">
        <v>712</v>
      </c>
      <c r="K78" t="str">
        <f t="shared" si="0"/>
        <v>2-2 &amp; Supplier Switch &amp; 130 &amp; 16 &amp; 50 &amp; 8238 &amp; 7.14167867996337 &amp; high \\ \hline</v>
      </c>
      <c r="M78" t="s">
        <v>765</v>
      </c>
    </row>
    <row r="79" spans="2:13">
      <c r="B79" t="s">
        <v>140</v>
      </c>
      <c r="C79" t="s">
        <v>119</v>
      </c>
      <c r="D79">
        <v>169</v>
      </c>
      <c r="E79">
        <v>18</v>
      </c>
      <c r="F79">
        <v>59</v>
      </c>
      <c r="G79">
        <v>10886</v>
      </c>
      <c r="H79" s="46">
        <v>12.011083863483384</v>
      </c>
      <c r="I79" t="s">
        <v>712</v>
      </c>
      <c r="K79" t="str">
        <f t="shared" si="0"/>
        <v>2-1 &amp; SLA Violation &amp; 169 &amp; 18 &amp; 59 &amp; 10886 &amp; 12.0110838634834 &amp; high \\ \hline</v>
      </c>
      <c r="M79" t="s">
        <v>766</v>
      </c>
    </row>
    <row r="82" spans="3:7">
      <c r="C82" t="s">
        <v>712</v>
      </c>
      <c r="D82">
        <f>AVERAGE(D70:D75)</f>
        <v>80.833333333333329</v>
      </c>
      <c r="E82">
        <f>AVERAGE(E70:E75)</f>
        <v>12.666666666666666</v>
      </c>
      <c r="F82">
        <f>AVERAGE(F70:F75)</f>
        <v>33.5</v>
      </c>
      <c r="G82">
        <f>AVERAGE(G70:G75)</f>
        <v>5739.833333333333</v>
      </c>
    </row>
    <row r="83" spans="3:7">
      <c r="C83" t="s">
        <v>711</v>
      </c>
      <c r="D83">
        <f>AVERAGE(D58:D69)</f>
        <v>43.833333333333336</v>
      </c>
      <c r="E83">
        <f>AVERAGE(E58:E69)</f>
        <v>11.416666666666666</v>
      </c>
      <c r="F83">
        <f>AVERAGE(F58:F69)</f>
        <v>19.166666666666668</v>
      </c>
      <c r="G83">
        <f>AVERAGE(G58:G69)</f>
        <v>3047.25</v>
      </c>
    </row>
    <row r="84" spans="3:7">
      <c r="D84" s="234">
        <f>AVERAGE(D76:D79)</f>
        <v>129.5</v>
      </c>
      <c r="E84" s="234">
        <f t="shared" ref="E84:G84" si="1">AVERAGE(E76:E79)</f>
        <v>14.5</v>
      </c>
      <c r="F84" s="234">
        <f t="shared" si="1"/>
        <v>51.5</v>
      </c>
      <c r="G84" s="234">
        <f t="shared" si="1"/>
        <v>9091.25</v>
      </c>
    </row>
    <row r="86" spans="3:7">
      <c r="C86" t="s">
        <v>800</v>
      </c>
      <c r="D86" s="234">
        <f>AVERAGE(D68:D69)</f>
        <v>60.5</v>
      </c>
      <c r="E86">
        <f t="shared" ref="E86:G86" si="2">AVERAGE(E68:E69)</f>
        <v>11</v>
      </c>
      <c r="F86">
        <f t="shared" si="2"/>
        <v>25</v>
      </c>
      <c r="G86">
        <f t="shared" si="2"/>
        <v>4113</v>
      </c>
    </row>
    <row r="87" spans="3:7">
      <c r="C87" t="s">
        <v>801</v>
      </c>
      <c r="D87">
        <f>AVERAGE(D67:D68)</f>
        <v>56</v>
      </c>
      <c r="E87">
        <f t="shared" ref="E87:G87" si="3">AVERAGE(E67:E68)</f>
        <v>10</v>
      </c>
      <c r="F87">
        <f t="shared" si="3"/>
        <v>26.5</v>
      </c>
      <c r="G87">
        <f t="shared" si="3"/>
        <v>3864</v>
      </c>
    </row>
  </sheetData>
  <autoFilter ref="B42:I79" xr:uid="{1B8C1F1D-DF97-BC49-A634-336FBF6B3E09}">
    <sortState xmlns:xlrd2="http://schemas.microsoft.com/office/spreadsheetml/2017/richdata2" ref="B43:I79">
      <sortCondition ref="H42:H79"/>
    </sortState>
  </autoFilter>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25"/>
  <sheetViews>
    <sheetView workbookViewId="0">
      <selection activeCell="E7" sqref="E7"/>
    </sheetView>
  </sheetViews>
  <sheetFormatPr baseColWidth="10" defaultRowHeight="15"/>
  <cols>
    <col min="1" max="1" width="1.6640625" customWidth="1"/>
    <col min="2" max="2" width="16.33203125" customWidth="1"/>
    <col min="3" max="3" width="13.83203125" customWidth="1"/>
    <col min="4" max="4" width="16.83203125" customWidth="1"/>
    <col min="11" max="11" width="35" customWidth="1"/>
    <col min="12" max="12" width="47.1640625" customWidth="1"/>
  </cols>
  <sheetData>
    <row r="1" spans="2:11" ht="5.25" customHeight="1"/>
    <row r="2" spans="2:11">
      <c r="B2" s="18" t="s">
        <v>135</v>
      </c>
      <c r="C2" s="18" t="s">
        <v>125</v>
      </c>
      <c r="D2" s="329" t="s">
        <v>127</v>
      </c>
      <c r="E2" s="329"/>
      <c r="F2" s="329" t="s">
        <v>128</v>
      </c>
      <c r="G2" s="329"/>
      <c r="H2" s="329" t="s">
        <v>129</v>
      </c>
      <c r="I2" s="329"/>
      <c r="J2" s="7"/>
      <c r="K2" s="18" t="s">
        <v>124</v>
      </c>
    </row>
    <row r="3" spans="2:11">
      <c r="B3" s="19" t="s">
        <v>136</v>
      </c>
      <c r="C3" s="14">
        <v>3</v>
      </c>
      <c r="D3">
        <v>0</v>
      </c>
      <c r="E3" s="3">
        <f>D3/$C3</f>
        <v>0</v>
      </c>
      <c r="F3">
        <v>3</v>
      </c>
      <c r="G3" s="3">
        <f>F3/$C3</f>
        <v>1</v>
      </c>
      <c r="H3">
        <v>3</v>
      </c>
      <c r="I3" s="3">
        <f>H3/$C3</f>
        <v>1</v>
      </c>
      <c r="J3" s="7"/>
      <c r="K3" s="14" t="s">
        <v>120</v>
      </c>
    </row>
    <row r="4" spans="2:11">
      <c r="B4" s="19" t="s">
        <v>138</v>
      </c>
      <c r="C4" s="15">
        <v>4</v>
      </c>
      <c r="D4">
        <v>4</v>
      </c>
      <c r="E4" s="3">
        <f t="shared" ref="E4:E19" si="0">D4/$C4</f>
        <v>1</v>
      </c>
      <c r="F4">
        <v>0</v>
      </c>
      <c r="G4" s="3">
        <f t="shared" ref="G4:G19" si="1">F4/$C4</f>
        <v>0</v>
      </c>
      <c r="H4">
        <v>4</v>
      </c>
      <c r="I4" s="3">
        <f t="shared" ref="I4:I19" si="2">H4/$C4</f>
        <v>1</v>
      </c>
      <c r="J4" s="7"/>
      <c r="K4" s="14" t="s">
        <v>122</v>
      </c>
    </row>
    <row r="5" spans="2:11">
      <c r="B5" s="19" t="s">
        <v>139</v>
      </c>
      <c r="C5" s="15">
        <v>13</v>
      </c>
      <c r="D5">
        <v>7</v>
      </c>
      <c r="E5" s="3">
        <f t="shared" si="0"/>
        <v>0.53846153846153844</v>
      </c>
      <c r="F5">
        <v>7</v>
      </c>
      <c r="G5" s="3">
        <f t="shared" si="1"/>
        <v>0.53846153846153844</v>
      </c>
      <c r="H5">
        <v>11</v>
      </c>
      <c r="I5" s="3">
        <f t="shared" si="2"/>
        <v>0.84615384615384615</v>
      </c>
      <c r="J5" s="7"/>
      <c r="K5" s="14" t="s">
        <v>123</v>
      </c>
    </row>
    <row r="6" spans="2:11">
      <c r="B6" s="19" t="s">
        <v>140</v>
      </c>
      <c r="C6" s="15">
        <v>8</v>
      </c>
      <c r="D6">
        <v>2</v>
      </c>
      <c r="E6" s="3">
        <f>D6/$C6</f>
        <v>0.25</v>
      </c>
      <c r="F6">
        <v>4</v>
      </c>
      <c r="G6" s="3">
        <f t="shared" si="1"/>
        <v>0.5</v>
      </c>
      <c r="H6">
        <v>5</v>
      </c>
      <c r="I6" s="3">
        <f t="shared" si="2"/>
        <v>0.625</v>
      </c>
      <c r="J6" s="7"/>
      <c r="K6" s="14" t="s">
        <v>119</v>
      </c>
    </row>
    <row r="7" spans="2:11">
      <c r="B7" s="19" t="s">
        <v>141</v>
      </c>
      <c r="C7" s="15">
        <v>7</v>
      </c>
      <c r="D7">
        <v>2</v>
      </c>
      <c r="E7" s="3">
        <f t="shared" si="0"/>
        <v>0.2857142857142857</v>
      </c>
      <c r="F7">
        <v>2</v>
      </c>
      <c r="G7" s="3">
        <f t="shared" si="1"/>
        <v>0.2857142857142857</v>
      </c>
      <c r="H7">
        <v>5</v>
      </c>
      <c r="I7" s="3">
        <f t="shared" si="2"/>
        <v>0.7142857142857143</v>
      </c>
      <c r="J7" s="7"/>
      <c r="K7" s="14" t="s">
        <v>118</v>
      </c>
    </row>
    <row r="8" spans="2:11">
      <c r="B8" s="19" t="s">
        <v>144</v>
      </c>
      <c r="C8" s="14">
        <v>3</v>
      </c>
      <c r="D8">
        <v>1</v>
      </c>
      <c r="E8" s="3">
        <f t="shared" si="0"/>
        <v>0.33333333333333331</v>
      </c>
      <c r="F8">
        <v>3</v>
      </c>
      <c r="G8" s="3">
        <f t="shared" si="1"/>
        <v>1</v>
      </c>
      <c r="H8">
        <v>2</v>
      </c>
      <c r="I8" s="3">
        <f t="shared" si="2"/>
        <v>0.66666666666666663</v>
      </c>
      <c r="J8" s="7"/>
      <c r="K8" s="14" t="s">
        <v>58</v>
      </c>
    </row>
    <row r="9" spans="2:11">
      <c r="B9" s="19" t="s">
        <v>147</v>
      </c>
      <c r="C9" s="14">
        <v>3</v>
      </c>
      <c r="D9">
        <v>2</v>
      </c>
      <c r="E9" s="3">
        <f t="shared" si="0"/>
        <v>0.66666666666666663</v>
      </c>
      <c r="F9">
        <v>1</v>
      </c>
      <c r="G9" s="3">
        <f t="shared" si="1"/>
        <v>0.33333333333333331</v>
      </c>
      <c r="H9">
        <v>1</v>
      </c>
      <c r="I9" s="3">
        <f t="shared" si="2"/>
        <v>0.33333333333333331</v>
      </c>
      <c r="J9" s="7"/>
      <c r="K9" s="14" t="s">
        <v>39</v>
      </c>
    </row>
    <row r="10" spans="2:11">
      <c r="B10" s="19" t="s">
        <v>150</v>
      </c>
      <c r="C10" s="15">
        <v>4</v>
      </c>
      <c r="D10">
        <v>1</v>
      </c>
      <c r="E10" s="3">
        <f t="shared" si="0"/>
        <v>0.25</v>
      </c>
      <c r="F10">
        <v>1</v>
      </c>
      <c r="G10" s="3">
        <f t="shared" si="1"/>
        <v>0.25</v>
      </c>
      <c r="H10">
        <v>1</v>
      </c>
      <c r="I10" s="3">
        <f t="shared" si="2"/>
        <v>0.25</v>
      </c>
      <c r="J10" s="7"/>
      <c r="K10" s="15" t="s">
        <v>57</v>
      </c>
    </row>
    <row r="11" spans="2:11">
      <c r="B11" s="19" t="s">
        <v>154</v>
      </c>
      <c r="C11" s="14">
        <v>5</v>
      </c>
      <c r="D11">
        <v>2</v>
      </c>
      <c r="E11" s="3">
        <f t="shared" si="0"/>
        <v>0.4</v>
      </c>
      <c r="F11">
        <v>4</v>
      </c>
      <c r="G11" s="3">
        <f t="shared" si="1"/>
        <v>0.8</v>
      </c>
      <c r="H11">
        <v>5</v>
      </c>
      <c r="I11" s="3">
        <f t="shared" si="2"/>
        <v>1</v>
      </c>
      <c r="J11" s="7"/>
      <c r="K11" s="14" t="s">
        <v>9</v>
      </c>
    </row>
    <row r="12" spans="2:11">
      <c r="B12" s="19" t="s">
        <v>155</v>
      </c>
      <c r="C12" s="14">
        <v>12</v>
      </c>
      <c r="D12">
        <v>8</v>
      </c>
      <c r="E12" s="3">
        <f t="shared" si="0"/>
        <v>0.66666666666666663</v>
      </c>
      <c r="F12">
        <v>1</v>
      </c>
      <c r="G12" s="3">
        <f t="shared" si="1"/>
        <v>8.3333333333333329E-2</v>
      </c>
      <c r="H12">
        <v>2</v>
      </c>
      <c r="I12" s="3">
        <f t="shared" si="2"/>
        <v>0.16666666666666666</v>
      </c>
      <c r="J12" s="7"/>
      <c r="K12" s="14" t="s">
        <v>12</v>
      </c>
    </row>
    <row r="13" spans="2:11">
      <c r="B13" s="19" t="s">
        <v>157</v>
      </c>
      <c r="C13" s="14">
        <v>7</v>
      </c>
      <c r="D13">
        <v>0</v>
      </c>
      <c r="E13" s="3">
        <f t="shared" si="0"/>
        <v>0</v>
      </c>
      <c r="F13">
        <v>1</v>
      </c>
      <c r="G13" s="3">
        <f t="shared" si="1"/>
        <v>0.14285714285714285</v>
      </c>
      <c r="H13">
        <v>4</v>
      </c>
      <c r="I13" s="3">
        <f t="shared" si="2"/>
        <v>0.5714285714285714</v>
      </c>
      <c r="J13" s="7"/>
      <c r="K13" s="14" t="s">
        <v>56</v>
      </c>
    </row>
    <row r="14" spans="2:11">
      <c r="B14" s="19" t="s">
        <v>158</v>
      </c>
      <c r="C14" s="14">
        <v>13</v>
      </c>
      <c r="D14">
        <v>2</v>
      </c>
      <c r="E14" s="3">
        <f t="shared" si="0"/>
        <v>0.15384615384615385</v>
      </c>
      <c r="F14">
        <v>1</v>
      </c>
      <c r="G14" s="3">
        <f t="shared" si="1"/>
        <v>7.6923076923076927E-2</v>
      </c>
      <c r="H14">
        <v>12</v>
      </c>
      <c r="I14" s="3">
        <f t="shared" si="2"/>
        <v>0.92307692307692313</v>
      </c>
      <c r="J14" s="7"/>
      <c r="K14" s="14" t="s">
        <v>55</v>
      </c>
    </row>
    <row r="15" spans="2:11">
      <c r="B15" s="19" t="s">
        <v>159</v>
      </c>
      <c r="C15" s="14">
        <v>5</v>
      </c>
      <c r="D15">
        <v>2</v>
      </c>
      <c r="E15" s="3">
        <f t="shared" si="0"/>
        <v>0.4</v>
      </c>
      <c r="F15">
        <v>4</v>
      </c>
      <c r="G15" s="3">
        <f t="shared" si="1"/>
        <v>0.8</v>
      </c>
      <c r="H15">
        <v>4</v>
      </c>
      <c r="I15" s="3">
        <f t="shared" si="2"/>
        <v>0.8</v>
      </c>
      <c r="J15" s="7"/>
      <c r="K15" s="14" t="s">
        <v>53</v>
      </c>
    </row>
    <row r="16" spans="2:11">
      <c r="B16" s="19" t="s">
        <v>161</v>
      </c>
      <c r="C16" s="14">
        <v>8</v>
      </c>
      <c r="D16">
        <v>4</v>
      </c>
      <c r="E16" s="3">
        <f t="shared" si="0"/>
        <v>0.5</v>
      </c>
      <c r="F16">
        <v>5</v>
      </c>
      <c r="G16" s="3">
        <f t="shared" si="1"/>
        <v>0.625</v>
      </c>
      <c r="H16">
        <v>3</v>
      </c>
      <c r="I16" s="3">
        <f t="shared" si="2"/>
        <v>0.375</v>
      </c>
      <c r="J16" s="7"/>
      <c r="K16" s="14" t="s">
        <v>13</v>
      </c>
    </row>
    <row r="17" spans="2:12">
      <c r="B17" s="19" t="s">
        <v>162</v>
      </c>
      <c r="C17" s="14">
        <v>7</v>
      </c>
      <c r="D17">
        <v>5</v>
      </c>
      <c r="E17" s="3">
        <f t="shared" si="0"/>
        <v>0.7142857142857143</v>
      </c>
      <c r="F17">
        <v>5</v>
      </c>
      <c r="G17" s="3">
        <f t="shared" si="1"/>
        <v>0.7142857142857143</v>
      </c>
      <c r="H17">
        <v>0</v>
      </c>
      <c r="I17" s="3">
        <f t="shared" si="2"/>
        <v>0</v>
      </c>
      <c r="J17" s="7"/>
      <c r="K17" s="14" t="s">
        <v>52</v>
      </c>
    </row>
    <row r="18" spans="2:12">
      <c r="B18" s="19" t="s">
        <v>163</v>
      </c>
      <c r="C18" s="14">
        <v>4</v>
      </c>
      <c r="D18">
        <v>1</v>
      </c>
      <c r="E18" s="3">
        <f t="shared" si="0"/>
        <v>0.25</v>
      </c>
      <c r="F18">
        <v>1</v>
      </c>
      <c r="G18" s="3">
        <f t="shared" si="1"/>
        <v>0.25</v>
      </c>
      <c r="H18">
        <v>3</v>
      </c>
      <c r="I18" s="3">
        <f t="shared" si="2"/>
        <v>0.75</v>
      </c>
      <c r="J18" s="7"/>
      <c r="K18" s="14" t="s">
        <v>14</v>
      </c>
    </row>
    <row r="19" spans="2:12">
      <c r="B19" s="19" t="s">
        <v>168</v>
      </c>
      <c r="C19" s="14">
        <v>5</v>
      </c>
      <c r="D19">
        <v>3</v>
      </c>
      <c r="E19" s="3">
        <f t="shared" si="0"/>
        <v>0.6</v>
      </c>
      <c r="F19">
        <v>1</v>
      </c>
      <c r="G19" s="3">
        <f t="shared" si="1"/>
        <v>0.2</v>
      </c>
      <c r="H19">
        <v>5</v>
      </c>
      <c r="I19" s="3">
        <f t="shared" si="2"/>
        <v>1</v>
      </c>
      <c r="J19" s="7"/>
      <c r="K19" s="14" t="s">
        <v>19</v>
      </c>
    </row>
    <row r="20" spans="2:12">
      <c r="B20" s="17" t="s">
        <v>126</v>
      </c>
      <c r="C20" s="17">
        <f>SUM(C3:C19)</f>
        <v>111</v>
      </c>
      <c r="D20" s="17">
        <f>SUM(D3:D19)</f>
        <v>46</v>
      </c>
      <c r="E20" s="21">
        <f>D20/$C20</f>
        <v>0.4144144144144144</v>
      </c>
      <c r="F20" s="17">
        <f>SUM(F3:F19)</f>
        <v>44</v>
      </c>
      <c r="G20" s="21">
        <f>F20/$C20</f>
        <v>0.3963963963963964</v>
      </c>
      <c r="H20" s="17">
        <f>SUM(H3:H19)</f>
        <v>70</v>
      </c>
      <c r="I20" s="21">
        <f>H20/$C20</f>
        <v>0.63063063063063063</v>
      </c>
      <c r="J20" s="7"/>
      <c r="K20" s="24"/>
      <c r="L20" s="7"/>
    </row>
    <row r="21" spans="2:12">
      <c r="B21" s="22"/>
      <c r="C21" s="22"/>
      <c r="D21" s="23"/>
      <c r="E21" s="23"/>
      <c r="F21" s="23"/>
      <c r="G21" s="23"/>
      <c r="H21" s="23"/>
      <c r="I21" s="23"/>
      <c r="J21" s="11"/>
      <c r="K21" s="1"/>
      <c r="L21" s="11"/>
    </row>
    <row r="22" spans="2:12">
      <c r="C22" s="14" t="s">
        <v>130</v>
      </c>
      <c r="D22" s="328" t="s">
        <v>131</v>
      </c>
      <c r="E22" s="328"/>
      <c r="F22" s="328"/>
      <c r="G22">
        <v>4</v>
      </c>
    </row>
    <row r="23" spans="2:12">
      <c r="D23" s="328" t="s">
        <v>132</v>
      </c>
      <c r="E23" s="328"/>
      <c r="F23" s="328"/>
      <c r="G23">
        <v>2</v>
      </c>
    </row>
    <row r="24" spans="2:12">
      <c r="D24" t="s">
        <v>133</v>
      </c>
      <c r="G24">
        <v>2</v>
      </c>
    </row>
    <row r="25" spans="2:12">
      <c r="D25" t="s">
        <v>134</v>
      </c>
      <c r="G25">
        <v>2</v>
      </c>
    </row>
  </sheetData>
  <mergeCells count="5">
    <mergeCell ref="D23:F23"/>
    <mergeCell ref="D2:E2"/>
    <mergeCell ref="F2:G2"/>
    <mergeCell ref="H2:I2"/>
    <mergeCell ref="D22:F22"/>
  </mergeCells>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65"/>
  <sheetViews>
    <sheetView workbookViewId="0">
      <selection activeCell="E4" sqref="E4"/>
    </sheetView>
  </sheetViews>
  <sheetFormatPr baseColWidth="10" defaultRowHeight="15"/>
  <cols>
    <col min="4" max="4" width="24.5" customWidth="1"/>
    <col min="6" max="6" width="17.6640625" customWidth="1"/>
    <col min="7" max="7" width="20.33203125" customWidth="1"/>
  </cols>
  <sheetData>
    <row r="2" spans="4:7">
      <c r="D2" s="7" t="s">
        <v>47</v>
      </c>
      <c r="E2" s="7" t="s">
        <v>46</v>
      </c>
      <c r="F2" s="7" t="s">
        <v>44</v>
      </c>
      <c r="G2" s="7" t="s">
        <v>45</v>
      </c>
    </row>
    <row r="3" spans="4:7">
      <c r="D3" s="8" t="s">
        <v>4</v>
      </c>
      <c r="E3" s="7">
        <v>3</v>
      </c>
      <c r="F3" s="7">
        <v>14</v>
      </c>
      <c r="G3" s="7">
        <v>30</v>
      </c>
    </row>
    <row r="4" spans="4:7">
      <c r="D4" s="8" t="s">
        <v>7</v>
      </c>
      <c r="E4" s="7">
        <v>10</v>
      </c>
      <c r="F4" s="7">
        <v>14.28</v>
      </c>
      <c r="G4" s="9">
        <v>22.08</v>
      </c>
    </row>
    <row r="5" spans="4:7">
      <c r="D5" s="8" t="s">
        <v>5</v>
      </c>
      <c r="E5" s="7">
        <v>0</v>
      </c>
      <c r="F5" s="7">
        <v>3</v>
      </c>
      <c r="G5" s="7">
        <v>9</v>
      </c>
    </row>
    <row r="6" spans="4:7">
      <c r="D6" s="8" t="s">
        <v>6</v>
      </c>
      <c r="E6" s="7">
        <v>0</v>
      </c>
      <c r="F6" s="7">
        <v>13</v>
      </c>
      <c r="G6" s="7">
        <v>7</v>
      </c>
    </row>
    <row r="7" spans="4:7">
      <c r="D7" s="8" t="s">
        <v>43</v>
      </c>
      <c r="E7" s="7">
        <v>0</v>
      </c>
      <c r="F7" s="7">
        <v>1</v>
      </c>
      <c r="G7" s="7">
        <v>1</v>
      </c>
    </row>
    <row r="8" spans="4:7">
      <c r="D8" s="8" t="s">
        <v>20</v>
      </c>
      <c r="E8" s="10">
        <v>0.995</v>
      </c>
      <c r="F8" s="10">
        <v>0.94199999999999995</v>
      </c>
      <c r="G8" s="10">
        <v>0.74099999999999999</v>
      </c>
    </row>
    <row r="18" spans="1:8">
      <c r="A18">
        <v>1</v>
      </c>
      <c r="B18">
        <f>H23-H18</f>
        <v>6</v>
      </c>
      <c r="C18">
        <f>H19-H18</f>
        <v>0</v>
      </c>
      <c r="D18" t="s">
        <v>63</v>
      </c>
      <c r="H18">
        <v>1</v>
      </c>
    </row>
    <row r="19" spans="1:8">
      <c r="A19">
        <v>2</v>
      </c>
      <c r="C19">
        <f t="shared" ref="C19:C64" si="0">H20-H19</f>
        <v>2</v>
      </c>
      <c r="D19" t="s">
        <v>64</v>
      </c>
      <c r="H19">
        <v>1</v>
      </c>
    </row>
    <row r="20" spans="1:8">
      <c r="A20">
        <v>3</v>
      </c>
      <c r="C20">
        <f t="shared" si="0"/>
        <v>0</v>
      </c>
      <c r="D20" t="s">
        <v>65</v>
      </c>
      <c r="H20">
        <v>3</v>
      </c>
    </row>
    <row r="21" spans="1:8">
      <c r="A21">
        <v>4</v>
      </c>
      <c r="C21">
        <f t="shared" si="0"/>
        <v>3</v>
      </c>
      <c r="D21" t="s">
        <v>66</v>
      </c>
      <c r="H21">
        <v>3</v>
      </c>
    </row>
    <row r="22" spans="1:8">
      <c r="A22">
        <v>5</v>
      </c>
      <c r="C22">
        <f t="shared" si="0"/>
        <v>1</v>
      </c>
      <c r="D22" t="s">
        <v>67</v>
      </c>
      <c r="H22">
        <v>6</v>
      </c>
    </row>
    <row r="23" spans="1:8">
      <c r="A23">
        <v>6</v>
      </c>
      <c r="B23">
        <f>H31-H23</f>
        <v>10</v>
      </c>
      <c r="C23">
        <f t="shared" si="0"/>
        <v>0</v>
      </c>
      <c r="D23" t="s">
        <v>68</v>
      </c>
      <c r="H23">
        <v>7</v>
      </c>
    </row>
    <row r="24" spans="1:8">
      <c r="A24">
        <v>7</v>
      </c>
      <c r="C24">
        <f t="shared" si="0"/>
        <v>0</v>
      </c>
      <c r="D24" t="s">
        <v>69</v>
      </c>
      <c r="H24">
        <v>7</v>
      </c>
    </row>
    <row r="25" spans="1:8">
      <c r="A25">
        <v>8</v>
      </c>
      <c r="C25">
        <f t="shared" si="0"/>
        <v>1</v>
      </c>
      <c r="D25" t="s">
        <v>70</v>
      </c>
      <c r="H25">
        <v>7</v>
      </c>
    </row>
    <row r="26" spans="1:8">
      <c r="A26">
        <v>9</v>
      </c>
      <c r="C26">
        <f t="shared" si="0"/>
        <v>2</v>
      </c>
      <c r="D26" t="s">
        <v>71</v>
      </c>
      <c r="H26">
        <v>8</v>
      </c>
    </row>
    <row r="27" spans="1:8">
      <c r="A27">
        <v>10</v>
      </c>
      <c r="C27">
        <f t="shared" si="0"/>
        <v>1</v>
      </c>
      <c r="D27" t="s">
        <v>72</v>
      </c>
      <c r="H27">
        <v>10</v>
      </c>
    </row>
    <row r="28" spans="1:8">
      <c r="A28">
        <v>11</v>
      </c>
      <c r="C28">
        <f t="shared" si="0"/>
        <v>3</v>
      </c>
      <c r="D28" t="s">
        <v>73</v>
      </c>
      <c r="H28">
        <v>11</v>
      </c>
    </row>
    <row r="29" spans="1:8">
      <c r="A29">
        <v>12</v>
      </c>
      <c r="C29">
        <f t="shared" si="0"/>
        <v>2</v>
      </c>
      <c r="D29" t="s">
        <v>74</v>
      </c>
      <c r="H29">
        <v>14</v>
      </c>
    </row>
    <row r="30" spans="1:8">
      <c r="A30">
        <v>13</v>
      </c>
      <c r="C30">
        <f t="shared" si="0"/>
        <v>1</v>
      </c>
      <c r="D30" t="s">
        <v>75</v>
      </c>
      <c r="H30">
        <v>16</v>
      </c>
    </row>
    <row r="31" spans="1:8">
      <c r="A31">
        <v>14</v>
      </c>
      <c r="B31">
        <f>H54-H31</f>
        <v>37</v>
      </c>
      <c r="C31">
        <f t="shared" si="0"/>
        <v>0</v>
      </c>
      <c r="D31" t="s">
        <v>76</v>
      </c>
      <c r="H31">
        <v>17</v>
      </c>
    </row>
    <row r="32" spans="1:8">
      <c r="A32">
        <v>15</v>
      </c>
      <c r="C32">
        <f t="shared" si="0"/>
        <v>0</v>
      </c>
      <c r="D32" t="s">
        <v>77</v>
      </c>
      <c r="H32">
        <v>17</v>
      </c>
    </row>
    <row r="33" spans="1:8">
      <c r="A33">
        <v>16</v>
      </c>
      <c r="C33">
        <f t="shared" si="0"/>
        <v>2</v>
      </c>
      <c r="D33" t="s">
        <v>78</v>
      </c>
      <c r="H33">
        <v>17</v>
      </c>
    </row>
    <row r="34" spans="1:8">
      <c r="A34">
        <v>17</v>
      </c>
      <c r="C34">
        <f t="shared" si="0"/>
        <v>2</v>
      </c>
      <c r="D34" t="s">
        <v>79</v>
      </c>
      <c r="H34">
        <v>19</v>
      </c>
    </row>
    <row r="35" spans="1:8">
      <c r="A35">
        <v>18</v>
      </c>
      <c r="C35">
        <f t="shared" si="0"/>
        <v>1</v>
      </c>
      <c r="D35" t="s">
        <v>80</v>
      </c>
      <c r="H35">
        <v>21</v>
      </c>
    </row>
    <row r="36" spans="1:8">
      <c r="A36">
        <v>19</v>
      </c>
      <c r="C36">
        <f t="shared" si="0"/>
        <v>1</v>
      </c>
      <c r="D36" t="s">
        <v>81</v>
      </c>
      <c r="H36">
        <v>22</v>
      </c>
    </row>
    <row r="37" spans="1:8">
      <c r="A37">
        <v>20</v>
      </c>
      <c r="C37">
        <f t="shared" si="0"/>
        <v>1</v>
      </c>
      <c r="D37" t="s">
        <v>82</v>
      </c>
      <c r="H37">
        <v>23</v>
      </c>
    </row>
    <row r="38" spans="1:8">
      <c r="A38">
        <v>21</v>
      </c>
      <c r="C38">
        <f t="shared" si="0"/>
        <v>0</v>
      </c>
      <c r="D38" t="s">
        <v>83</v>
      </c>
      <c r="H38">
        <v>24</v>
      </c>
    </row>
    <row r="39" spans="1:8">
      <c r="A39">
        <v>22</v>
      </c>
      <c r="C39">
        <f t="shared" si="0"/>
        <v>1</v>
      </c>
      <c r="D39" t="s">
        <v>84</v>
      </c>
      <c r="H39">
        <v>24</v>
      </c>
    </row>
    <row r="40" spans="1:8">
      <c r="A40">
        <v>23</v>
      </c>
      <c r="C40">
        <f t="shared" si="0"/>
        <v>0</v>
      </c>
      <c r="D40" t="s">
        <v>85</v>
      </c>
      <c r="H40">
        <v>25</v>
      </c>
    </row>
    <row r="41" spans="1:8">
      <c r="A41">
        <v>24</v>
      </c>
      <c r="C41">
        <f t="shared" si="0"/>
        <v>3</v>
      </c>
      <c r="D41" t="s">
        <v>86</v>
      </c>
      <c r="H41">
        <v>25</v>
      </c>
    </row>
    <row r="42" spans="1:8">
      <c r="A42">
        <v>25</v>
      </c>
      <c r="C42">
        <f t="shared" si="0"/>
        <v>8</v>
      </c>
      <c r="D42" t="s">
        <v>87</v>
      </c>
      <c r="H42">
        <v>28</v>
      </c>
    </row>
    <row r="43" spans="1:8">
      <c r="A43">
        <v>26</v>
      </c>
      <c r="C43">
        <f t="shared" si="0"/>
        <v>7</v>
      </c>
      <c r="D43" t="s">
        <v>88</v>
      </c>
      <c r="H43">
        <v>36</v>
      </c>
    </row>
    <row r="44" spans="1:8">
      <c r="A44">
        <v>27</v>
      </c>
      <c r="C44">
        <f t="shared" si="0"/>
        <v>1</v>
      </c>
      <c r="D44" t="s">
        <v>89</v>
      </c>
      <c r="H44">
        <v>43</v>
      </c>
    </row>
    <row r="45" spans="1:8">
      <c r="A45">
        <v>28</v>
      </c>
      <c r="C45">
        <f t="shared" si="0"/>
        <v>3</v>
      </c>
      <c r="D45" t="s">
        <v>90</v>
      </c>
      <c r="H45">
        <v>44</v>
      </c>
    </row>
    <row r="46" spans="1:8">
      <c r="A46">
        <v>29</v>
      </c>
      <c r="C46">
        <f t="shared" si="0"/>
        <v>0</v>
      </c>
      <c r="D46" t="s">
        <v>91</v>
      </c>
      <c r="H46">
        <v>47</v>
      </c>
    </row>
    <row r="47" spans="1:8">
      <c r="A47">
        <v>30</v>
      </c>
      <c r="C47">
        <f t="shared" si="0"/>
        <v>0</v>
      </c>
      <c r="D47" t="s">
        <v>92</v>
      </c>
      <c r="H47">
        <v>47</v>
      </c>
    </row>
    <row r="48" spans="1:8">
      <c r="A48">
        <v>31</v>
      </c>
      <c r="C48">
        <f t="shared" si="0"/>
        <v>0</v>
      </c>
      <c r="D48" t="s">
        <v>93</v>
      </c>
      <c r="H48">
        <v>47</v>
      </c>
    </row>
    <row r="49" spans="1:8">
      <c r="A49">
        <v>32</v>
      </c>
      <c r="C49">
        <f t="shared" si="0"/>
        <v>0</v>
      </c>
      <c r="D49" t="s">
        <v>94</v>
      </c>
      <c r="H49">
        <v>47</v>
      </c>
    </row>
    <row r="50" spans="1:8">
      <c r="A50">
        <v>33</v>
      </c>
      <c r="C50">
        <f t="shared" si="0"/>
        <v>0</v>
      </c>
      <c r="D50" t="s">
        <v>95</v>
      </c>
      <c r="H50">
        <v>47</v>
      </c>
    </row>
    <row r="51" spans="1:8">
      <c r="A51">
        <v>34</v>
      </c>
      <c r="C51">
        <f t="shared" si="0"/>
        <v>0</v>
      </c>
      <c r="D51" t="s">
        <v>96</v>
      </c>
      <c r="H51">
        <v>47</v>
      </c>
    </row>
    <row r="52" spans="1:8">
      <c r="A52">
        <v>35</v>
      </c>
      <c r="C52">
        <f t="shared" si="0"/>
        <v>4</v>
      </c>
      <c r="D52" t="s">
        <v>97</v>
      </c>
      <c r="H52">
        <v>47</v>
      </c>
    </row>
    <row r="53" spans="1:8">
      <c r="A53">
        <v>36</v>
      </c>
      <c r="C53">
        <f t="shared" si="0"/>
        <v>3</v>
      </c>
      <c r="D53" t="s">
        <v>98</v>
      </c>
      <c r="H53">
        <v>51</v>
      </c>
    </row>
    <row r="54" spans="1:8">
      <c r="A54">
        <v>37</v>
      </c>
      <c r="B54">
        <f>H60-H54</f>
        <v>4</v>
      </c>
      <c r="C54">
        <f t="shared" si="0"/>
        <v>1</v>
      </c>
      <c r="D54" t="s">
        <v>99</v>
      </c>
      <c r="H54">
        <v>54</v>
      </c>
    </row>
    <row r="55" spans="1:8">
      <c r="A55">
        <v>38</v>
      </c>
      <c r="C55">
        <f t="shared" si="0"/>
        <v>1</v>
      </c>
      <c r="D55" t="s">
        <v>100</v>
      </c>
      <c r="H55">
        <v>55</v>
      </c>
    </row>
    <row r="56" spans="1:8">
      <c r="A56">
        <v>39</v>
      </c>
      <c r="C56">
        <f t="shared" si="0"/>
        <v>2</v>
      </c>
      <c r="D56" t="s">
        <v>101</v>
      </c>
      <c r="H56">
        <v>56</v>
      </c>
    </row>
    <row r="57" spans="1:8">
      <c r="A57">
        <v>40</v>
      </c>
      <c r="C57">
        <f t="shared" si="0"/>
        <v>0</v>
      </c>
      <c r="D57" t="s">
        <v>102</v>
      </c>
      <c r="H57">
        <v>58</v>
      </c>
    </row>
    <row r="58" spans="1:8">
      <c r="A58">
        <v>41</v>
      </c>
      <c r="C58">
        <f t="shared" si="0"/>
        <v>0</v>
      </c>
      <c r="D58" t="s">
        <v>103</v>
      </c>
      <c r="H58">
        <v>58</v>
      </c>
    </row>
    <row r="59" spans="1:8">
      <c r="A59">
        <v>42</v>
      </c>
      <c r="C59">
        <f t="shared" si="0"/>
        <v>0</v>
      </c>
      <c r="D59" t="s">
        <v>104</v>
      </c>
      <c r="H59">
        <v>58</v>
      </c>
    </row>
    <row r="60" spans="1:8">
      <c r="A60">
        <v>43</v>
      </c>
      <c r="B60">
        <f>H64-H60</f>
        <v>1</v>
      </c>
      <c r="C60">
        <f t="shared" si="0"/>
        <v>0</v>
      </c>
      <c r="D60" t="s">
        <v>105</v>
      </c>
      <c r="H60">
        <v>58</v>
      </c>
    </row>
    <row r="61" spans="1:8">
      <c r="A61">
        <v>44</v>
      </c>
      <c r="C61">
        <f t="shared" si="0"/>
        <v>0</v>
      </c>
      <c r="D61" t="s">
        <v>106</v>
      </c>
      <c r="H61">
        <v>58</v>
      </c>
    </row>
    <row r="62" spans="1:8">
      <c r="A62">
        <v>45</v>
      </c>
      <c r="C62">
        <f t="shared" si="0"/>
        <v>0</v>
      </c>
      <c r="D62" t="s">
        <v>107</v>
      </c>
      <c r="H62">
        <v>58</v>
      </c>
    </row>
    <row r="63" spans="1:8">
      <c r="A63">
        <v>46</v>
      </c>
      <c r="C63">
        <f t="shared" si="0"/>
        <v>1</v>
      </c>
      <c r="D63" t="s">
        <v>108</v>
      </c>
      <c r="H63">
        <v>58</v>
      </c>
    </row>
    <row r="64" spans="1:8">
      <c r="A64">
        <v>47</v>
      </c>
      <c r="B64">
        <f>H65-H64</f>
        <v>8</v>
      </c>
      <c r="C64">
        <f t="shared" si="0"/>
        <v>8</v>
      </c>
      <c r="D64" t="s">
        <v>109</v>
      </c>
      <c r="H64">
        <v>59</v>
      </c>
    </row>
    <row r="65" spans="1:8">
      <c r="A65">
        <v>48</v>
      </c>
      <c r="D65" t="s">
        <v>110</v>
      </c>
      <c r="H65">
        <v>67</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4EBB7-5734-774C-BA19-F7E2A5363976}">
  <dimension ref="A1:BP316"/>
  <sheetViews>
    <sheetView zoomScale="70" zoomScaleNormal="70" workbookViewId="0">
      <pane ySplit="1" topLeftCell="A2" activePane="bottomLeft" state="frozen"/>
      <selection pane="bottomLeft" activeCell="C227" activeCellId="33" sqref="C3:C7 C10:C14 C17:C21 C24:C28 C31:C35 C38:C42 C45:C49 C52:C56 C59:C63 C66:C70 C73:C77 C81 C80:C84 C87:C91 C94:C98 C101:C105 C108:C112 C115:C119 C122:C126 C129:C133 C136:C140 C143:C147 C150:C154 C157:C161 C164:C168 C171:C175 C178:C182 C185:C189 C192:C196 C199:C203 C206:C210 C213:C217 C220:C224 C227:C231"/>
    </sheetView>
  </sheetViews>
  <sheetFormatPr baseColWidth="10" defaultRowHeight="15"/>
  <cols>
    <col min="3" max="3" width="8.33203125" style="76" customWidth="1"/>
    <col min="4" max="4" width="10.5" customWidth="1"/>
    <col min="5" max="5" width="10.33203125" customWidth="1"/>
    <col min="6" max="9" width="9.6640625" customWidth="1"/>
    <col min="10" max="10" width="11.6640625" bestFit="1" customWidth="1"/>
    <col min="11" max="11" width="13" style="2" customWidth="1"/>
    <col min="12" max="12" width="14.1640625" customWidth="1"/>
    <col min="13" max="13" width="9.6640625" style="115" customWidth="1"/>
    <col min="14" max="15" width="9.6640625" style="81" customWidth="1"/>
    <col min="16" max="17" width="9.6640625" style="125" customWidth="1"/>
    <col min="18" max="18" width="9.6640625" style="82" customWidth="1"/>
    <col min="19" max="19" width="9.6640625" style="115" customWidth="1"/>
    <col min="20" max="21" width="9.6640625" style="81" customWidth="1"/>
    <col min="22" max="23" width="9.6640625" style="125" customWidth="1"/>
    <col min="24" max="24" width="9.6640625" style="82" customWidth="1"/>
    <col min="25" max="25" width="9.6640625" style="115" customWidth="1"/>
    <col min="26" max="27" width="9.6640625" style="81" customWidth="1"/>
    <col min="28" max="29" width="9.6640625" style="125" customWidth="1"/>
    <col min="30" max="30" width="9.6640625" style="82" customWidth="1"/>
    <col min="31" max="31" width="9.6640625" style="115" customWidth="1"/>
    <col min="32" max="33" width="9.6640625" style="81" customWidth="1"/>
    <col min="34" max="34" width="9.6640625" style="82" customWidth="1"/>
    <col min="35" max="35" width="9.6640625" style="81" customWidth="1"/>
    <col min="36" max="36" width="9.6640625" style="81" hidden="1" customWidth="1"/>
    <col min="37" max="37" width="9.6640625" style="115" hidden="1" customWidth="1"/>
    <col min="38" max="38" width="9.6640625" style="122" hidden="1" customWidth="1"/>
    <col min="39" max="39" width="9" style="101" hidden="1" customWidth="1"/>
    <col min="40" max="40" width="7.1640625" hidden="1" customWidth="1"/>
    <col min="41" max="41" width="10.6640625" hidden="1" customWidth="1"/>
    <col min="42" max="43" width="0" style="101" hidden="1" customWidth="1"/>
    <col min="44" max="46" width="0" hidden="1" customWidth="1"/>
    <col min="47" max="47" width="8" style="119" hidden="1" customWidth="1"/>
    <col min="48" max="49" width="0" style="101" hidden="1" customWidth="1"/>
    <col min="50" max="50" width="15.1640625" style="101" hidden="1" customWidth="1"/>
    <col min="51" max="52" width="0" style="101" hidden="1" customWidth="1"/>
    <col min="53" max="53" width="15.1640625" style="85" hidden="1" customWidth="1"/>
    <col min="54" max="54" width="12.6640625" hidden="1" customWidth="1"/>
    <col min="55" max="55" width="0" style="101" hidden="1" customWidth="1"/>
    <col min="56" max="58" width="0" hidden="1" customWidth="1"/>
    <col min="59" max="59" width="26" hidden="1" customWidth="1"/>
    <col min="60" max="60" width="0" hidden="1" customWidth="1"/>
    <col min="62" max="67" width="0" hidden="1" customWidth="1"/>
  </cols>
  <sheetData>
    <row r="1" spans="1:68" s="86" customFormat="1" ht="88" customHeight="1">
      <c r="B1" s="86" t="s">
        <v>311</v>
      </c>
      <c r="C1" s="86" t="s">
        <v>303</v>
      </c>
      <c r="D1" s="86" t="s">
        <v>304</v>
      </c>
      <c r="E1" s="86" t="s">
        <v>362</v>
      </c>
      <c r="F1" s="86" t="s">
        <v>355</v>
      </c>
      <c r="G1" s="86" t="s">
        <v>356</v>
      </c>
      <c r="H1" s="86" t="s">
        <v>372</v>
      </c>
      <c r="I1" s="86" t="s">
        <v>532</v>
      </c>
      <c r="J1" s="86" t="s">
        <v>361</v>
      </c>
      <c r="K1" s="86" t="s">
        <v>310</v>
      </c>
      <c r="L1" s="87" t="s">
        <v>363</v>
      </c>
      <c r="M1" s="113" t="s">
        <v>527</v>
      </c>
      <c r="N1" s="116" t="s">
        <v>522</v>
      </c>
      <c r="O1" s="116" t="s">
        <v>523</v>
      </c>
      <c r="P1" s="116" t="s">
        <v>519</v>
      </c>
      <c r="Q1" s="116" t="s">
        <v>520</v>
      </c>
      <c r="R1" s="88" t="s">
        <v>521</v>
      </c>
      <c r="S1" s="113" t="s">
        <v>526</v>
      </c>
      <c r="T1" s="116" t="s">
        <v>524</v>
      </c>
      <c r="U1" s="116" t="s">
        <v>525</v>
      </c>
      <c r="V1" s="116" t="s">
        <v>519</v>
      </c>
      <c r="W1" s="116" t="s">
        <v>520</v>
      </c>
      <c r="X1" s="88" t="s">
        <v>665</v>
      </c>
      <c r="Y1" s="113" t="s">
        <v>528</v>
      </c>
      <c r="Z1" s="116" t="s">
        <v>533</v>
      </c>
      <c r="AA1" s="116" t="s">
        <v>534</v>
      </c>
      <c r="AB1" s="116" t="s">
        <v>519</v>
      </c>
      <c r="AC1" s="116" t="s">
        <v>520</v>
      </c>
      <c r="AD1" s="88" t="s">
        <v>666</v>
      </c>
      <c r="AE1" s="113" t="s">
        <v>529</v>
      </c>
      <c r="AF1" s="116" t="s">
        <v>531</v>
      </c>
      <c r="AG1" s="116" t="s">
        <v>530</v>
      </c>
      <c r="AH1" s="88" t="s">
        <v>535</v>
      </c>
      <c r="AI1" s="88" t="s">
        <v>520</v>
      </c>
      <c r="AJ1" s="88" t="s">
        <v>521</v>
      </c>
      <c r="AK1" s="113" t="s">
        <v>536</v>
      </c>
      <c r="AL1" s="117" t="s">
        <v>354</v>
      </c>
      <c r="AM1" s="117" t="s">
        <v>357</v>
      </c>
      <c r="AN1" s="88" t="s">
        <v>370</v>
      </c>
      <c r="AO1" s="88" t="s">
        <v>368</v>
      </c>
      <c r="AP1" s="117" t="s">
        <v>384</v>
      </c>
      <c r="AQ1" s="117" t="s">
        <v>385</v>
      </c>
      <c r="AR1" s="88" t="s">
        <v>367</v>
      </c>
      <c r="AS1" s="88" t="s">
        <v>413</v>
      </c>
      <c r="AT1" s="88" t="s">
        <v>369</v>
      </c>
      <c r="AU1" s="117" t="s">
        <v>373</v>
      </c>
      <c r="AV1" s="123" t="s">
        <v>518</v>
      </c>
      <c r="AW1" s="123"/>
      <c r="AX1" s="117" t="s">
        <v>517</v>
      </c>
      <c r="AY1" s="117" t="s">
        <v>386</v>
      </c>
      <c r="AZ1" s="117" t="s">
        <v>414</v>
      </c>
      <c r="BA1" s="112" t="s">
        <v>415</v>
      </c>
      <c r="BB1" s="89" t="s">
        <v>364</v>
      </c>
      <c r="BC1" s="117" t="s">
        <v>365</v>
      </c>
      <c r="BD1" s="90" t="s">
        <v>371</v>
      </c>
      <c r="BE1" s="117" t="s">
        <v>416</v>
      </c>
      <c r="BF1" s="117" t="s">
        <v>408</v>
      </c>
      <c r="BG1" s="86" t="s">
        <v>366</v>
      </c>
      <c r="BH1" s="86" t="s">
        <v>358</v>
      </c>
      <c r="BJ1" s="86" t="s">
        <v>353</v>
      </c>
      <c r="BK1" s="86" t="s">
        <v>348</v>
      </c>
      <c r="BL1" s="86" t="s">
        <v>349</v>
      </c>
      <c r="BM1" s="86" t="s">
        <v>350</v>
      </c>
      <c r="BN1" s="86" t="s">
        <v>351</v>
      </c>
      <c r="BO1" s="86" t="s">
        <v>352</v>
      </c>
    </row>
    <row r="2" spans="1:68" s="75" customFormat="1">
      <c r="A2" s="73" t="s">
        <v>312</v>
      </c>
      <c r="B2" s="94">
        <v>45178</v>
      </c>
      <c r="C2" s="93" t="s">
        <v>156</v>
      </c>
      <c r="D2" s="78">
        <f>VLOOKUP($C$2,Overview!$Q$2:$AS$64,23,FALSE)</f>
        <v>0.12287169416637536</v>
      </c>
      <c r="E2" s="78" t="str">
        <f>VLOOKUP($C$2,Overview!$Q$2:$AS$64,24,FALSE)</f>
        <v>low</v>
      </c>
      <c r="F2" s="75">
        <f>VLOOKUP($C$2,Overview!$Q$2:$AS$64,13,FALSE)</f>
        <v>14</v>
      </c>
      <c r="G2" s="75">
        <f>VLOOKUP($C$2,Overview!$Q$2:$AS$64,16,FALSE)</f>
        <v>6</v>
      </c>
      <c r="H2" s="75">
        <f>VLOOKUP($C$2,Overview!$Q$2:$AS$64,18,FALSE)</f>
        <v>6</v>
      </c>
      <c r="I2" s="75">
        <f>VLOOKUP($C$2,Overview!$Q$2:$AS$64,19,FALSE)</f>
        <v>12</v>
      </c>
      <c r="J2" s="77" t="s">
        <v>360</v>
      </c>
      <c r="K2" s="91"/>
      <c r="L2" s="73"/>
      <c r="M2" s="114"/>
      <c r="N2" s="80"/>
      <c r="O2" s="80"/>
      <c r="P2" s="124"/>
      <c r="Q2" s="124"/>
      <c r="R2" s="80"/>
      <c r="S2" s="114"/>
      <c r="T2" s="80"/>
      <c r="U2" s="80"/>
      <c r="V2" s="124"/>
      <c r="W2" s="124"/>
      <c r="X2" s="80"/>
      <c r="Y2" s="114"/>
      <c r="Z2" s="80"/>
      <c r="AA2" s="80"/>
      <c r="AB2" s="124"/>
      <c r="AC2" s="124"/>
      <c r="AD2" s="80"/>
      <c r="AE2" s="114"/>
      <c r="AH2" s="80"/>
      <c r="AI2" s="80"/>
      <c r="AJ2" s="80"/>
      <c r="AK2" s="114"/>
      <c r="AL2" s="121"/>
      <c r="AM2" s="101"/>
      <c r="AP2" s="101"/>
      <c r="AQ2" s="101"/>
      <c r="AU2" s="119"/>
      <c r="AV2" s="101"/>
      <c r="AW2" s="101"/>
      <c r="AX2" s="101"/>
      <c r="AY2" s="102"/>
      <c r="AZ2" s="102"/>
      <c r="BA2" s="84"/>
      <c r="BC2" s="101"/>
      <c r="BG2" s="73"/>
      <c r="BH2" s="74"/>
      <c r="BJ2" s="74"/>
      <c r="BK2" s="74"/>
      <c r="BL2" s="74"/>
      <c r="BM2" s="74"/>
      <c r="BN2" s="74"/>
      <c r="BO2" s="74"/>
    </row>
    <row r="3" spans="1:68" ht="16">
      <c r="A3" t="s">
        <v>305</v>
      </c>
      <c r="C3" s="310"/>
      <c r="K3" s="47" t="s">
        <v>378</v>
      </c>
      <c r="L3" s="77" t="s">
        <v>374</v>
      </c>
      <c r="N3" s="81">
        <f>O3-0</f>
        <v>14</v>
      </c>
      <c r="O3" s="81">
        <f>$F$2-0</f>
        <v>14</v>
      </c>
      <c r="P3" s="129">
        <f>N3/$F$2</f>
        <v>1</v>
      </c>
      <c r="Q3" s="129">
        <f>N3/O3</f>
        <v>1</v>
      </c>
      <c r="R3" s="127">
        <f>2*(P3*Q3)/(P3+Q3)</f>
        <v>1</v>
      </c>
      <c r="T3" s="81">
        <f>U3-0</f>
        <v>6</v>
      </c>
      <c r="U3" s="81">
        <f>$G$2</f>
        <v>6</v>
      </c>
      <c r="V3" s="129">
        <f>T3/$G$2</f>
        <v>1</v>
      </c>
      <c r="W3" s="129">
        <f>T3/U3</f>
        <v>1</v>
      </c>
      <c r="X3" s="127">
        <f>2*(V3*W3)/(V3+W3)</f>
        <v>1</v>
      </c>
      <c r="Z3" s="81">
        <f>AA3-5</f>
        <v>7</v>
      </c>
      <c r="AA3" s="81">
        <f>$I$2-0</f>
        <v>12</v>
      </c>
      <c r="AB3" s="129">
        <f>Z3/$I$2</f>
        <v>0.58333333333333337</v>
      </c>
      <c r="AC3" s="129">
        <f>Z3/AA3</f>
        <v>0.58333333333333337</v>
      </c>
      <c r="AD3" s="127">
        <f>2*(AB3*AC3)/(AB3+AC3)</f>
        <v>0.58333333333333337</v>
      </c>
      <c r="AF3" s="41">
        <v>5</v>
      </c>
      <c r="AG3">
        <v>5</v>
      </c>
      <c r="AH3" s="127">
        <f>AF3/$H$2</f>
        <v>0.83333333333333337</v>
      </c>
      <c r="AI3" s="127">
        <f>AF3/AG3</f>
        <v>1</v>
      </c>
      <c r="AJ3" s="81">
        <f>2*(AH3*AI3)/(AH3+AI3)</f>
        <v>0.90909090909090906</v>
      </c>
      <c r="AL3" s="122">
        <v>0</v>
      </c>
      <c r="AM3" s="101">
        <v>0</v>
      </c>
      <c r="AN3">
        <v>263</v>
      </c>
      <c r="AO3">
        <v>15</v>
      </c>
      <c r="AP3" s="101">
        <v>8</v>
      </c>
      <c r="AQ3" s="101">
        <v>7</v>
      </c>
      <c r="AR3">
        <v>6</v>
      </c>
      <c r="AS3" s="107"/>
      <c r="AT3">
        <v>1</v>
      </c>
      <c r="AU3" s="119">
        <v>3</v>
      </c>
      <c r="AV3" s="101">
        <f>($F$2-M3)/$F$2</f>
        <v>1</v>
      </c>
      <c r="AX3" s="101">
        <f>($G$2-AM3)/$G$2</f>
        <v>1</v>
      </c>
      <c r="AY3" s="101">
        <f>AQ3/AP3</f>
        <v>0.875</v>
      </c>
      <c r="AZ3" s="101">
        <f>AS3/AR3</f>
        <v>0</v>
      </c>
      <c r="BA3" s="85">
        <f>(AV3+AX3+AY3+AZ3)/4</f>
        <v>0.71875</v>
      </c>
      <c r="BB3" s="13">
        <f>AO3/$H$2</f>
        <v>2.5</v>
      </c>
      <c r="BC3" s="118">
        <f>AU3/AO3</f>
        <v>0.2</v>
      </c>
      <c r="BD3" s="13">
        <f>AN3/AO3</f>
        <v>17.533333333333335</v>
      </c>
      <c r="BE3" s="13">
        <f>AS3/$H$2</f>
        <v>0</v>
      </c>
      <c r="BF3" s="13">
        <f>AQ3/$H$2</f>
        <v>1.1666666666666667</v>
      </c>
      <c r="BP3" t="str">
        <f>_xlfn.CONCAT($C$2," &amp; ",C3," &amp; ",P3," &amp; ",Q3," &amp; ",R3," &amp; ",V3," &amp; ",W3," &amp; ",X3," &amp; ",AB3," &amp; ",AC3," &amp; ",AD3," &amp; ",AF3," &amp; ",AG3," &amp; ",AH3," &amp; ",AI3, " \\ \hline")</f>
        <v>6-2 &amp;  &amp; 1 &amp; 1 &amp; 1 &amp; 1 &amp; 1 &amp; 1 &amp; 0.583333333333333 &amp; 0.583333333333333 &amp; 0.583333333333333 &amp; 5 &amp; 5 &amp; 0.833333333333333 &amp; 1 \\ \hline</v>
      </c>
    </row>
    <row r="4" spans="1:68" ht="16">
      <c r="A4" t="s">
        <v>306</v>
      </c>
      <c r="C4" s="310"/>
      <c r="K4" s="47" t="s">
        <v>379</v>
      </c>
      <c r="L4" s="92" t="s">
        <v>375</v>
      </c>
      <c r="N4" s="81">
        <f>O4-1</f>
        <v>12</v>
      </c>
      <c r="O4" s="81">
        <f>$F$2-1</f>
        <v>13</v>
      </c>
      <c r="P4" s="129">
        <f>N4/$F$2</f>
        <v>0.8571428571428571</v>
      </c>
      <c r="Q4" s="129">
        <f>N4/O4</f>
        <v>0.92307692307692313</v>
      </c>
      <c r="R4" s="127">
        <f>2*(P4*Q4)/(P4+Q4)</f>
        <v>0.88888888888888895</v>
      </c>
      <c r="T4" s="81">
        <f>U4-1</f>
        <v>5</v>
      </c>
      <c r="U4" s="81">
        <f>$G$2</f>
        <v>6</v>
      </c>
      <c r="V4" s="129">
        <f>T4/$G$2</f>
        <v>0.83333333333333337</v>
      </c>
      <c r="W4" s="129">
        <f>T4/U4</f>
        <v>0.83333333333333337</v>
      </c>
      <c r="X4" s="127">
        <f>2*(V4*W4)/(V4+W4)</f>
        <v>0.83333333333333337</v>
      </c>
      <c r="Z4" s="81">
        <f>AA4-0</f>
        <v>11</v>
      </c>
      <c r="AA4" s="81">
        <f>$I$2-1</f>
        <v>11</v>
      </c>
      <c r="AB4" s="129">
        <f>Z4/$I$2</f>
        <v>0.91666666666666663</v>
      </c>
      <c r="AC4" s="129">
        <f>Z4/AA4</f>
        <v>1</v>
      </c>
      <c r="AD4" s="127">
        <f>2*(AB4*AC4)/(AB4+AC4)</f>
        <v>0.95652173913043481</v>
      </c>
      <c r="AF4" s="14">
        <v>7</v>
      </c>
      <c r="AG4">
        <v>7</v>
      </c>
      <c r="AH4" s="127">
        <f>AF4/$H$2</f>
        <v>1.1666666666666667</v>
      </c>
      <c r="AI4" s="127">
        <f>AF4/AG4</f>
        <v>1</v>
      </c>
      <c r="AJ4" s="81">
        <f>2*(AH4*AI4)/(AH4+AI4)</f>
        <v>1.0769230769230769</v>
      </c>
      <c r="AL4" s="122">
        <v>0</v>
      </c>
      <c r="AM4" s="101">
        <v>0</v>
      </c>
      <c r="AN4">
        <v>268</v>
      </c>
      <c r="AO4">
        <v>14</v>
      </c>
      <c r="AP4" s="101">
        <v>6</v>
      </c>
      <c r="AQ4" s="101">
        <v>6</v>
      </c>
      <c r="AR4">
        <v>8</v>
      </c>
      <c r="AS4" s="107"/>
      <c r="AT4">
        <v>0</v>
      </c>
      <c r="AU4" s="119">
        <v>5</v>
      </c>
      <c r="AV4" s="101">
        <f>($F$2-M4)/$F$2</f>
        <v>1</v>
      </c>
      <c r="AX4" s="101">
        <f>($G$2-AM4)/$G$2</f>
        <v>1</v>
      </c>
      <c r="AY4" s="101">
        <f>AQ4/AP4</f>
        <v>1</v>
      </c>
      <c r="AZ4" s="101">
        <f>AS4/AR4</f>
        <v>0</v>
      </c>
      <c r="BA4" s="85">
        <f>(AV4+AX4+AY4+AZ4)/4</f>
        <v>0.75</v>
      </c>
      <c r="BB4" s="13">
        <f>AO4/$H$2</f>
        <v>2.3333333333333335</v>
      </c>
      <c r="BC4" s="118">
        <f>AU4/AO4</f>
        <v>0.35714285714285715</v>
      </c>
      <c r="BD4" s="13">
        <f>AN4/AO4</f>
        <v>19.142857142857142</v>
      </c>
      <c r="BE4" s="13">
        <f>AS4/$H$2</f>
        <v>0</v>
      </c>
      <c r="BF4" s="13">
        <f>AQ4/$H$2</f>
        <v>1</v>
      </c>
      <c r="BP4" t="str">
        <f t="shared" ref="BP4:BP7" si="0">_xlfn.CONCAT($C$2," &amp; ",C4," &amp; ",P4," &amp; ",Q4," &amp; ",R4," &amp; ",V4," &amp; ",W4," &amp; ",X4," &amp; ",AB4," &amp; ",AC4," &amp; ",AD4," &amp; ",AF4," &amp; ",AG4," &amp; ",AH4," &amp; ",AI4, " \\ \hline")</f>
        <v>6-2 &amp;  &amp; 0.857142857142857 &amp; 0.923076923076923 &amp; 0.888888888888889 &amp; 0.833333333333333 &amp; 0.833333333333333 &amp; 0.833333333333333 &amp; 0.916666666666667 &amp; 1 &amp; 0.956521739130435 &amp; 7 &amp; 7 &amp; 1.16666666666667 &amp; 1 \\ \hline</v>
      </c>
    </row>
    <row r="5" spans="1:68" ht="16">
      <c r="A5" t="s">
        <v>307</v>
      </c>
      <c r="C5" s="310"/>
      <c r="K5" s="47" t="s">
        <v>380</v>
      </c>
      <c r="L5" s="77" t="s">
        <v>376</v>
      </c>
      <c r="N5" s="81">
        <f>O5-1</f>
        <v>12</v>
      </c>
      <c r="O5" s="81">
        <f>$F$2-1</f>
        <v>13</v>
      </c>
      <c r="P5" s="129">
        <f>N5/$F$2</f>
        <v>0.8571428571428571</v>
      </c>
      <c r="Q5" s="129">
        <f>N5/O5</f>
        <v>0.92307692307692313</v>
      </c>
      <c r="R5" s="127">
        <f>2*(P5*Q5)/(P5+Q5)</f>
        <v>0.88888888888888895</v>
      </c>
      <c r="T5" s="81">
        <f>U5-1</f>
        <v>5</v>
      </c>
      <c r="U5" s="81">
        <f>$G$2</f>
        <v>6</v>
      </c>
      <c r="V5" s="129">
        <f>T5/$G$2</f>
        <v>0.83333333333333337</v>
      </c>
      <c r="W5" s="129">
        <f>T5/U5</f>
        <v>0.83333333333333337</v>
      </c>
      <c r="X5" s="127">
        <f>2*(V5*W5)/(V5+W5)</f>
        <v>0.83333333333333337</v>
      </c>
      <c r="Z5" s="81">
        <f>AA5-0</f>
        <v>11</v>
      </c>
      <c r="AA5" s="81">
        <f>$I$2-1</f>
        <v>11</v>
      </c>
      <c r="AB5" s="129">
        <f>Z5/$I$2</f>
        <v>0.91666666666666663</v>
      </c>
      <c r="AC5" s="129">
        <f>Z5/AA5</f>
        <v>1</v>
      </c>
      <c r="AD5" s="127">
        <f>2*(AB5*AC5)/(AB5+AC5)</f>
        <v>0.95652173913043481</v>
      </c>
      <c r="AF5" s="14">
        <v>8</v>
      </c>
      <c r="AG5">
        <v>9</v>
      </c>
      <c r="AH5" s="127">
        <f>AF5/$H$2</f>
        <v>1.3333333333333333</v>
      </c>
      <c r="AI5" s="127">
        <f>AF5/AG5</f>
        <v>0.88888888888888884</v>
      </c>
      <c r="AJ5" s="81">
        <f>2*(AH5*AI5)/(AH5+AI5)</f>
        <v>1.0666666666666667</v>
      </c>
      <c r="AL5" s="122">
        <v>0</v>
      </c>
      <c r="AM5" s="101">
        <v>0</v>
      </c>
      <c r="AN5">
        <v>310</v>
      </c>
      <c r="AO5">
        <v>19</v>
      </c>
      <c r="AP5" s="101">
        <v>7</v>
      </c>
      <c r="AQ5" s="101">
        <v>7</v>
      </c>
      <c r="AR5">
        <v>15</v>
      </c>
      <c r="AS5" s="107"/>
      <c r="AT5">
        <v>0</v>
      </c>
      <c r="AU5" s="119">
        <v>7</v>
      </c>
      <c r="AV5" s="101">
        <f>($F$2-M5)/$F$2</f>
        <v>1</v>
      </c>
      <c r="AX5" s="101">
        <f>($G$2-AM5)/$G$2</f>
        <v>1</v>
      </c>
      <c r="AY5" s="101">
        <f>AQ5/AP5</f>
        <v>1</v>
      </c>
      <c r="AZ5" s="101">
        <f>AS5/AR5</f>
        <v>0</v>
      </c>
      <c r="BA5" s="85">
        <f>(AV5+AX5+AY5+AZ5)/4</f>
        <v>0.75</v>
      </c>
      <c r="BB5" s="13">
        <f>AO5/$H$2</f>
        <v>3.1666666666666665</v>
      </c>
      <c r="BC5" s="118">
        <f>AU5/AO5</f>
        <v>0.36842105263157893</v>
      </c>
      <c r="BD5" s="13">
        <f>AN5/AO5</f>
        <v>16.315789473684209</v>
      </c>
      <c r="BE5" s="13">
        <f>AS5/$H$2</f>
        <v>0</v>
      </c>
      <c r="BF5" s="13">
        <f>AQ5/$H$2</f>
        <v>1.1666666666666667</v>
      </c>
      <c r="BP5" t="str">
        <f t="shared" si="0"/>
        <v>6-2 &amp;  &amp; 0.857142857142857 &amp; 0.923076923076923 &amp; 0.888888888888889 &amp; 0.833333333333333 &amp; 0.833333333333333 &amp; 0.833333333333333 &amp; 0.916666666666667 &amp; 1 &amp; 0.956521739130435 &amp; 8 &amp; 9 &amp; 1.33333333333333 &amp; 0.888888888888889 \\ \hline</v>
      </c>
    </row>
    <row r="6" spans="1:68" ht="16">
      <c r="A6" t="s">
        <v>308</v>
      </c>
      <c r="C6" s="310"/>
      <c r="K6" s="47" t="s">
        <v>381</v>
      </c>
      <c r="L6" s="77" t="s">
        <v>377</v>
      </c>
      <c r="N6" s="81">
        <f>O6-1</f>
        <v>12</v>
      </c>
      <c r="O6" s="81">
        <f>$F$2-1</f>
        <v>13</v>
      </c>
      <c r="P6" s="129">
        <f>N6/$F$2</f>
        <v>0.8571428571428571</v>
      </c>
      <c r="Q6" s="129">
        <f>N6/O6</f>
        <v>0.92307692307692313</v>
      </c>
      <c r="R6" s="127">
        <f>2*(P6*Q6)/(P6+Q6)</f>
        <v>0.88888888888888895</v>
      </c>
      <c r="T6" s="81">
        <f>U6-1</f>
        <v>5</v>
      </c>
      <c r="U6" s="81">
        <f>$G$2</f>
        <v>6</v>
      </c>
      <c r="V6" s="129">
        <f>T6/$G$2</f>
        <v>0.83333333333333337</v>
      </c>
      <c r="W6" s="129">
        <f>T6/U6</f>
        <v>0.83333333333333337</v>
      </c>
      <c r="X6" s="127">
        <f>2*(V6*W6)/(V6+W6)</f>
        <v>0.83333333333333337</v>
      </c>
      <c r="Z6" s="81">
        <f>AA6-0</f>
        <v>11</v>
      </c>
      <c r="AA6" s="81">
        <f>$I$2-1</f>
        <v>11</v>
      </c>
      <c r="AB6" s="129">
        <f>Z6/$I$2</f>
        <v>0.91666666666666663</v>
      </c>
      <c r="AC6" s="129">
        <f>Z6/AA6</f>
        <v>1</v>
      </c>
      <c r="AD6" s="127">
        <f>2*(AB6*AC6)/(AB6+AC6)</f>
        <v>0.95652173913043481</v>
      </c>
      <c r="AF6" s="41">
        <v>2</v>
      </c>
      <c r="AG6">
        <v>2</v>
      </c>
      <c r="AH6" s="127">
        <f>AF6/$H$2</f>
        <v>0.33333333333333331</v>
      </c>
      <c r="AI6" s="127">
        <f>AF6/AG6</f>
        <v>1</v>
      </c>
      <c r="AJ6" s="81">
        <f>2*(AH6*AI6)/(AH6+AI6)</f>
        <v>0.5</v>
      </c>
      <c r="AL6" s="122">
        <v>0</v>
      </c>
      <c r="AM6" s="101">
        <v>0</v>
      </c>
      <c r="AN6">
        <v>180</v>
      </c>
      <c r="AO6">
        <v>11</v>
      </c>
      <c r="AP6" s="101">
        <v>9</v>
      </c>
      <c r="AQ6" s="101">
        <v>9</v>
      </c>
      <c r="AR6">
        <v>1</v>
      </c>
      <c r="AS6" s="107"/>
      <c r="AT6">
        <v>1</v>
      </c>
      <c r="AU6" s="119">
        <v>7</v>
      </c>
      <c r="AV6" s="101">
        <f>($F$2-M6)/$F$2</f>
        <v>1</v>
      </c>
      <c r="AX6" s="101">
        <f>($G$2-AM6)/$G$2</f>
        <v>1</v>
      </c>
      <c r="AY6" s="101">
        <f>AQ6/AP6</f>
        <v>1</v>
      </c>
      <c r="AZ6" s="101">
        <f>AS6/AR6</f>
        <v>0</v>
      </c>
      <c r="BA6" s="85">
        <f>(AV6+AX6+AY6+AZ6)/4</f>
        <v>0.75</v>
      </c>
      <c r="BB6" s="13">
        <f>AO6/$H$2</f>
        <v>1.8333333333333333</v>
      </c>
      <c r="BC6" s="118">
        <f>AU6/AO6</f>
        <v>0.63636363636363635</v>
      </c>
      <c r="BD6" s="13">
        <f>AN6/AO6</f>
        <v>16.363636363636363</v>
      </c>
      <c r="BE6" s="13">
        <f>AS6/$H$2</f>
        <v>0</v>
      </c>
      <c r="BF6" s="13">
        <f>AQ6/$H$2</f>
        <v>1.5</v>
      </c>
      <c r="BP6" t="str">
        <f t="shared" si="0"/>
        <v>6-2 &amp;  &amp; 0.857142857142857 &amp; 0.923076923076923 &amp; 0.888888888888889 &amp; 0.833333333333333 &amp; 0.833333333333333 &amp; 0.833333333333333 &amp; 0.916666666666667 &amp; 1 &amp; 0.956521739130435 &amp; 2 &amp; 2 &amp; 0.333333333333333 &amp; 1 \\ \hline</v>
      </c>
    </row>
    <row r="7" spans="1:68" ht="16">
      <c r="A7" t="s">
        <v>309</v>
      </c>
      <c r="C7" s="310"/>
      <c r="K7" s="47" t="s">
        <v>382</v>
      </c>
      <c r="L7" s="77" t="s">
        <v>383</v>
      </c>
      <c r="N7" s="81">
        <f>O7-1</f>
        <v>12</v>
      </c>
      <c r="O7" s="81">
        <f>$F$2-1</f>
        <v>13</v>
      </c>
      <c r="P7" s="129">
        <f>N7/$F$2</f>
        <v>0.8571428571428571</v>
      </c>
      <c r="Q7" s="129">
        <f>N7/O7</f>
        <v>0.92307692307692313</v>
      </c>
      <c r="R7" s="127">
        <f>2*(P7*Q7)/(P7+Q7)</f>
        <v>0.88888888888888895</v>
      </c>
      <c r="T7" s="81">
        <f>U7-1</f>
        <v>5</v>
      </c>
      <c r="U7" s="81">
        <f>$G$2</f>
        <v>6</v>
      </c>
      <c r="V7" s="129">
        <f>T7/$G$2</f>
        <v>0.83333333333333337</v>
      </c>
      <c r="W7" s="129">
        <f>T7/U7</f>
        <v>0.83333333333333337</v>
      </c>
      <c r="X7" s="127">
        <f>2*(V7*W7)/(V7+W7)</f>
        <v>0.83333333333333337</v>
      </c>
      <c r="Z7" s="81">
        <f>AA7-0</f>
        <v>11</v>
      </c>
      <c r="AA7" s="81">
        <f>$I$2-1</f>
        <v>11</v>
      </c>
      <c r="AB7" s="129">
        <f>Z7/$I$2</f>
        <v>0.91666666666666663</v>
      </c>
      <c r="AC7" s="129">
        <f>Z7/AA7</f>
        <v>1</v>
      </c>
      <c r="AD7" s="127">
        <f>2*(AB7*AC7)/(AB7+AC7)</f>
        <v>0.95652173913043481</v>
      </c>
      <c r="AF7" s="41">
        <v>2</v>
      </c>
      <c r="AG7">
        <v>2</v>
      </c>
      <c r="AH7" s="127">
        <f>AF7/$H$2</f>
        <v>0.33333333333333331</v>
      </c>
      <c r="AI7" s="127">
        <f>AF7/AG7</f>
        <v>1</v>
      </c>
      <c r="AJ7" s="81">
        <f>2*(AH7*AI7)/(AH7+AI7)</f>
        <v>0.5</v>
      </c>
      <c r="AL7" s="122">
        <v>0</v>
      </c>
      <c r="AM7" s="101">
        <v>0</v>
      </c>
      <c r="AN7">
        <v>216</v>
      </c>
      <c r="AO7">
        <v>10</v>
      </c>
      <c r="AP7" s="101">
        <v>7</v>
      </c>
      <c r="AQ7" s="101">
        <v>7</v>
      </c>
      <c r="AR7">
        <v>1</v>
      </c>
      <c r="AS7" s="107"/>
      <c r="AT7">
        <v>2</v>
      </c>
      <c r="AU7" s="119">
        <v>8</v>
      </c>
      <c r="AV7" s="101">
        <f>($F$2-M7)/$F$2</f>
        <v>1</v>
      </c>
      <c r="AX7" s="101">
        <f>($G$2-AM7)/$G$2</f>
        <v>1</v>
      </c>
      <c r="AY7" s="101">
        <f>AQ7/AP7</f>
        <v>1</v>
      </c>
      <c r="AZ7" s="101">
        <f>AS7/AR7</f>
        <v>0</v>
      </c>
      <c r="BA7" s="85">
        <f>(AV7+AX7+AY7+AZ7)/4</f>
        <v>0.75</v>
      </c>
      <c r="BB7" s="13">
        <f>AO7/$H$2</f>
        <v>1.6666666666666667</v>
      </c>
      <c r="BC7" s="118">
        <f>AU7/AO7</f>
        <v>0.8</v>
      </c>
      <c r="BD7" s="13">
        <f>AN7/AO7</f>
        <v>21.6</v>
      </c>
      <c r="BE7" s="13">
        <f>AS7/$H$2</f>
        <v>0</v>
      </c>
      <c r="BF7" s="13">
        <f>AQ7/$H$2</f>
        <v>1.1666666666666667</v>
      </c>
      <c r="BP7" t="str">
        <f t="shared" si="0"/>
        <v>6-2 &amp;  &amp; 0.857142857142857 &amp; 0.923076923076923 &amp; 0.888888888888889 &amp; 0.833333333333333 &amp; 0.833333333333333 &amp; 0.833333333333333 &amp; 0.916666666666667 &amp; 1 &amp; 0.956521739130435 &amp; 2 &amp; 2 &amp; 0.333333333333333 &amp; 1 \\ \hline</v>
      </c>
    </row>
    <row r="8" spans="1:68">
      <c r="C8" s="98"/>
      <c r="P8" s="129"/>
      <c r="Q8" s="129"/>
      <c r="R8" s="127"/>
      <c r="V8" s="129"/>
      <c r="W8" s="129"/>
      <c r="X8" s="127"/>
      <c r="AB8" s="129"/>
      <c r="AC8" s="129"/>
      <c r="AD8" s="127"/>
      <c r="AF8"/>
      <c r="AG8"/>
      <c r="AH8" s="127"/>
      <c r="AI8" s="131"/>
    </row>
    <row r="9" spans="1:68" s="73" customFormat="1">
      <c r="A9" s="73" t="s">
        <v>313</v>
      </c>
      <c r="B9" s="94">
        <v>45178</v>
      </c>
      <c r="C9" s="93" t="s">
        <v>151</v>
      </c>
      <c r="D9" s="78">
        <f>VLOOKUP($C$9,Overview!$Q$2:$AS$64,23,FALSE)</f>
        <v>0.13115245937088071</v>
      </c>
      <c r="E9" s="78" t="str">
        <f>VLOOKUP($C$9,Overview!$Q$2:$AS$64,24,FALSE)</f>
        <v>low</v>
      </c>
      <c r="F9" s="75">
        <f>VLOOKUP(C9,Overview!$Q$2:$AS$64,13,FALSE)</f>
        <v>13</v>
      </c>
      <c r="G9" s="75">
        <f>VLOOKUP(C9,Overview!$Q$2:$AS$64,16,FALSE)</f>
        <v>6</v>
      </c>
      <c r="H9" s="75">
        <f>VLOOKUP(C9,Overview!$Q$2:$AS$64,18,FALSE)</f>
        <v>7</v>
      </c>
      <c r="I9" s="75">
        <f>VLOOKUP($C$9,Overview!$Q$2:$AS$64,19,FALSE)</f>
        <v>13</v>
      </c>
      <c r="J9" s="106" t="s">
        <v>360</v>
      </c>
      <c r="K9" s="91"/>
      <c r="M9" s="114"/>
      <c r="N9" s="80"/>
      <c r="O9" s="80"/>
      <c r="P9" s="130"/>
      <c r="Q9" s="130"/>
      <c r="R9" s="128"/>
      <c r="S9" s="114"/>
      <c r="T9" s="80"/>
      <c r="U9" s="80"/>
      <c r="V9" s="130"/>
      <c r="W9" s="130"/>
      <c r="X9" s="128"/>
      <c r="Y9" s="114"/>
      <c r="Z9" s="80"/>
      <c r="AA9" s="80"/>
      <c r="AB9" s="130"/>
      <c r="AC9" s="130"/>
      <c r="AD9" s="128"/>
      <c r="AE9" s="114"/>
      <c r="AH9" s="128"/>
      <c r="AI9" s="128"/>
      <c r="AJ9" s="80"/>
      <c r="AK9" s="114"/>
      <c r="AL9" s="121"/>
      <c r="AM9" s="100"/>
      <c r="AP9" s="100"/>
      <c r="AQ9" s="100"/>
      <c r="AU9" s="120"/>
      <c r="AV9" s="100"/>
      <c r="AW9" s="100"/>
      <c r="AX9" s="100"/>
      <c r="AY9" s="100"/>
      <c r="AZ9" s="100"/>
      <c r="BA9" s="84"/>
      <c r="BC9" s="100"/>
      <c r="BP9"/>
    </row>
    <row r="10" spans="1:68" ht="16">
      <c r="A10" t="s">
        <v>305</v>
      </c>
      <c r="C10" s="310"/>
      <c r="K10" s="47" t="s">
        <v>378</v>
      </c>
      <c r="L10" s="77" t="s">
        <v>405</v>
      </c>
      <c r="N10" s="81">
        <f>O10-5</f>
        <v>8</v>
      </c>
      <c r="O10" s="81">
        <f>$F$9</f>
        <v>13</v>
      </c>
      <c r="P10" s="129">
        <f>N10/$F$9</f>
        <v>0.61538461538461542</v>
      </c>
      <c r="Q10" s="129">
        <f>N10/O10</f>
        <v>0.61538461538461542</v>
      </c>
      <c r="R10" s="127">
        <f>2*(P10*Q10)/(P10+Q10)</f>
        <v>0.61538461538461542</v>
      </c>
      <c r="T10" s="81">
        <f>U10-2</f>
        <v>3</v>
      </c>
      <c r="U10" s="81">
        <f>$G$9-1</f>
        <v>5</v>
      </c>
      <c r="V10" s="129">
        <f>T10/$G$9</f>
        <v>0.5</v>
      </c>
      <c r="W10" s="129">
        <f>T10/U10</f>
        <v>0.6</v>
      </c>
      <c r="X10" s="127">
        <f>2*(V10*W10)/(V10+W10)</f>
        <v>0.54545454545454541</v>
      </c>
      <c r="Z10" s="81">
        <f>AA10-2</f>
        <v>11</v>
      </c>
      <c r="AA10" s="81">
        <f>$I$9-0</f>
        <v>13</v>
      </c>
      <c r="AB10" s="129">
        <f>Z10/$I$9</f>
        <v>0.84615384615384615</v>
      </c>
      <c r="AC10" s="129">
        <f>Z10/AA10</f>
        <v>0.84615384615384615</v>
      </c>
      <c r="AD10" s="127">
        <f>2*(AB10*AC10)/(AB10+AC10)</f>
        <v>0.84615384615384615</v>
      </c>
      <c r="AF10" s="14">
        <v>4</v>
      </c>
      <c r="AG10">
        <v>4</v>
      </c>
      <c r="AH10" s="127">
        <f>AF10/$H$9</f>
        <v>0.5714285714285714</v>
      </c>
      <c r="AI10" s="127">
        <f>AF10/AG10</f>
        <v>1</v>
      </c>
      <c r="AL10" s="122">
        <v>1</v>
      </c>
      <c r="AM10" s="101">
        <v>1</v>
      </c>
      <c r="AN10">
        <v>262</v>
      </c>
      <c r="AO10">
        <v>11</v>
      </c>
      <c r="AP10" s="101">
        <v>7</v>
      </c>
      <c r="AQ10" s="101">
        <v>6</v>
      </c>
      <c r="AR10">
        <v>2</v>
      </c>
      <c r="AS10" s="107"/>
      <c r="AT10">
        <v>2</v>
      </c>
      <c r="AU10" s="119">
        <v>5</v>
      </c>
      <c r="AV10" s="101">
        <f>($F$9-M10)/$F$9</f>
        <v>1</v>
      </c>
      <c r="AX10" s="101">
        <f>($G$9-AM10)/$G$9</f>
        <v>0.83333333333333337</v>
      </c>
      <c r="AY10" s="101">
        <f>AQ10/AP10</f>
        <v>0.8571428571428571</v>
      </c>
      <c r="AZ10" s="101">
        <f>AS10/AR10</f>
        <v>0</v>
      </c>
      <c r="BA10" s="85">
        <f>(AV10+AX10+AY10)/3</f>
        <v>0.89682539682539686</v>
      </c>
      <c r="BB10" s="13">
        <f>AO10/$H$9</f>
        <v>1.5714285714285714</v>
      </c>
      <c r="BC10" s="118">
        <f>AU10/AO10</f>
        <v>0.45454545454545453</v>
      </c>
      <c r="BD10" s="13">
        <f>AN10/AO10</f>
        <v>23.818181818181817</v>
      </c>
      <c r="BE10" s="13">
        <f>AS10/$H$2</f>
        <v>0</v>
      </c>
      <c r="BF10" s="13">
        <f>AQ10/$H$9</f>
        <v>0.8571428571428571</v>
      </c>
      <c r="BP10" t="str">
        <f>_xlfn.CONCAT($C$9," &amp; ",C10," &amp; ",P10," &amp; ",Q10," &amp; ",R10," &amp; ",V10," &amp; ",W10," &amp; ",X10," &amp; ",AB10," &amp; ",AC10," &amp; ",AD10," &amp; ",AF10," &amp; ",AG10," &amp; ",AH10," &amp; ",AI10, " \\ \hline")</f>
        <v>5-1 &amp;  &amp; 0.615384615384615 &amp; 0.615384615384615 &amp; 0.615384615384615 &amp; 0.5 &amp; 0.6 &amp; 0.545454545454545 &amp; 0.846153846153846 &amp; 0.846153846153846 &amp; 0.846153846153846 &amp; 4 &amp; 4 &amp; 0.571428571428571 &amp; 1 \\ \hline</v>
      </c>
    </row>
    <row r="11" spans="1:68" ht="16">
      <c r="A11" t="s">
        <v>306</v>
      </c>
      <c r="C11" s="310"/>
      <c r="K11" s="47" t="s">
        <v>379</v>
      </c>
      <c r="L11" s="92" t="s">
        <v>406</v>
      </c>
      <c r="N11" s="81">
        <f>O11-5</f>
        <v>8</v>
      </c>
      <c r="O11" s="81">
        <f>$F$9</f>
        <v>13</v>
      </c>
      <c r="P11" s="129">
        <f>N11/$F$9</f>
        <v>0.61538461538461542</v>
      </c>
      <c r="Q11" s="129">
        <f>N11/O11</f>
        <v>0.61538461538461542</v>
      </c>
      <c r="R11" s="127">
        <f>2*(P11*Q11)/(P11+Q11)</f>
        <v>0.61538461538461542</v>
      </c>
      <c r="T11" s="81">
        <f>U11-2</f>
        <v>3</v>
      </c>
      <c r="U11" s="81">
        <f>$G$9-1</f>
        <v>5</v>
      </c>
      <c r="V11" s="129">
        <f>T11/$G$9</f>
        <v>0.5</v>
      </c>
      <c r="W11" s="129">
        <f>T11/U11</f>
        <v>0.6</v>
      </c>
      <c r="X11" s="127">
        <f>2*(V11*W11)/(V11+W11)</f>
        <v>0.54545454545454541</v>
      </c>
      <c r="Z11" s="81">
        <f>AA11-4</f>
        <v>9</v>
      </c>
      <c r="AA11" s="81">
        <f>$I$9-0</f>
        <v>13</v>
      </c>
      <c r="AB11" s="129">
        <f>Z11/$I$9</f>
        <v>0.69230769230769229</v>
      </c>
      <c r="AC11" s="129">
        <f>Z11/AA11</f>
        <v>0.69230769230769229</v>
      </c>
      <c r="AD11" s="127">
        <f>2*(AB11*AC11)/(AB11+AC11)</f>
        <v>0.69230769230769229</v>
      </c>
      <c r="AF11" s="14">
        <v>7</v>
      </c>
      <c r="AG11">
        <v>7</v>
      </c>
      <c r="AH11" s="127">
        <f>AF11/$H$9</f>
        <v>1</v>
      </c>
      <c r="AI11" s="127">
        <f>AF11/AG11</f>
        <v>1</v>
      </c>
      <c r="AL11" s="122">
        <v>1</v>
      </c>
      <c r="AM11" s="101">
        <v>1</v>
      </c>
      <c r="AN11">
        <v>327</v>
      </c>
      <c r="AO11">
        <v>15</v>
      </c>
      <c r="AP11" s="101">
        <v>7</v>
      </c>
      <c r="AQ11" s="101">
        <v>6</v>
      </c>
      <c r="AR11">
        <v>8</v>
      </c>
      <c r="AS11" s="107"/>
      <c r="AT11">
        <v>0</v>
      </c>
      <c r="AU11" s="119">
        <v>7</v>
      </c>
      <c r="AV11" s="101">
        <f>($F$9-M11)/$F$9</f>
        <v>1</v>
      </c>
      <c r="AX11" s="101">
        <f>($G$9-AM11)/$G$9</f>
        <v>0.83333333333333337</v>
      </c>
      <c r="AY11" s="101">
        <f>AQ11/AP11</f>
        <v>0.8571428571428571</v>
      </c>
      <c r="AZ11" s="101">
        <f>AS11/AR11</f>
        <v>0</v>
      </c>
      <c r="BA11" s="85">
        <f>(AV11+AX11+AY11)/3</f>
        <v>0.89682539682539686</v>
      </c>
      <c r="BB11" s="13">
        <f>AO11/$H$9</f>
        <v>2.1428571428571428</v>
      </c>
      <c r="BC11" s="118">
        <f>AU11/AO11</f>
        <v>0.46666666666666667</v>
      </c>
      <c r="BD11" s="13">
        <f>AN11/AO11</f>
        <v>21.8</v>
      </c>
      <c r="BE11" s="13">
        <f>AS11/$H$2</f>
        <v>0</v>
      </c>
      <c r="BF11" s="13">
        <f>AQ11/$H$9</f>
        <v>0.8571428571428571</v>
      </c>
      <c r="BP11" t="str">
        <f t="shared" ref="BP11:BP14" si="1">_xlfn.CONCAT($C$9," &amp; ",C11," &amp; ",P11," &amp; ",Q11," &amp; ",R11," &amp; ",V11," &amp; ",W11," &amp; ",X11," &amp; ",AB11," &amp; ",AC11," &amp; ",AD11," &amp; ",AF11," &amp; ",AG11," &amp; ",AH11," &amp; ",AI11, " \\ \hline")</f>
        <v>5-1 &amp;  &amp; 0.615384615384615 &amp; 0.615384615384615 &amp; 0.615384615384615 &amp; 0.5 &amp; 0.6 &amp; 0.545454545454545 &amp; 0.692307692307692 &amp; 0.692307692307692 &amp; 0.692307692307692 &amp; 7 &amp; 7 &amp; 1 &amp; 1 \\ \hline</v>
      </c>
    </row>
    <row r="12" spans="1:68" ht="16">
      <c r="A12" t="s">
        <v>307</v>
      </c>
      <c r="C12" s="310"/>
      <c r="K12" s="47" t="s">
        <v>380</v>
      </c>
      <c r="L12" s="77" t="s">
        <v>407</v>
      </c>
      <c r="N12" s="81">
        <f>O12-5</f>
        <v>8</v>
      </c>
      <c r="O12" s="81">
        <f>$F$9</f>
        <v>13</v>
      </c>
      <c r="P12" s="129">
        <f>N12/$F$9</f>
        <v>0.61538461538461542</v>
      </c>
      <c r="Q12" s="129">
        <f>N12/O12</f>
        <v>0.61538461538461542</v>
      </c>
      <c r="R12" s="127">
        <f>2*(P12*Q12)/(P12+Q12)</f>
        <v>0.61538461538461542</v>
      </c>
      <c r="T12" s="81">
        <f>U12-2</f>
        <v>3</v>
      </c>
      <c r="U12" s="81">
        <f>$G$9-1</f>
        <v>5</v>
      </c>
      <c r="V12" s="129">
        <f>T12/$G$9</f>
        <v>0.5</v>
      </c>
      <c r="W12" s="129">
        <f>T12/U12</f>
        <v>0.6</v>
      </c>
      <c r="X12" s="127">
        <f>2*(V12*W12)/(V12+W12)</f>
        <v>0.54545454545454541</v>
      </c>
      <c r="Z12" s="81">
        <f>AA12-4</f>
        <v>9</v>
      </c>
      <c r="AA12" s="81">
        <f>$I$9-0</f>
        <v>13</v>
      </c>
      <c r="AB12" s="129">
        <f>Z12/$I$9</f>
        <v>0.69230769230769229</v>
      </c>
      <c r="AC12" s="129">
        <f>Z12/AA12</f>
        <v>0.69230769230769229</v>
      </c>
      <c r="AD12" s="127">
        <f>2*(AB12*AC12)/(AB12+AC12)</f>
        <v>0.69230769230769229</v>
      </c>
      <c r="AF12" s="14">
        <v>6</v>
      </c>
      <c r="AG12">
        <v>6</v>
      </c>
      <c r="AH12" s="127">
        <f>AF12/$H$9</f>
        <v>0.8571428571428571</v>
      </c>
      <c r="AI12" s="127">
        <f>AF12/AG12</f>
        <v>1</v>
      </c>
      <c r="AL12" s="122">
        <v>1</v>
      </c>
      <c r="AM12" s="101">
        <v>1</v>
      </c>
      <c r="AN12">
        <v>260</v>
      </c>
      <c r="AO12" s="107">
        <v>16</v>
      </c>
      <c r="AP12" s="101">
        <v>7</v>
      </c>
      <c r="AQ12" s="101">
        <v>6</v>
      </c>
      <c r="AR12">
        <v>7</v>
      </c>
      <c r="AS12" s="107"/>
      <c r="AT12">
        <v>2</v>
      </c>
      <c r="AU12" s="119">
        <v>9</v>
      </c>
      <c r="AV12" s="101">
        <f>($F$9-M12)/$F$9</f>
        <v>1</v>
      </c>
      <c r="AX12" s="101">
        <f>($G$9-AM12)/$G$9</f>
        <v>0.83333333333333337</v>
      </c>
      <c r="AY12" s="101">
        <f>AQ12/AP12</f>
        <v>0.8571428571428571</v>
      </c>
      <c r="AZ12" s="101">
        <f>AS12/AR12</f>
        <v>0</v>
      </c>
      <c r="BA12" s="85">
        <f>(AV12+AX12+AY12)/3</f>
        <v>0.89682539682539686</v>
      </c>
      <c r="BB12" s="13">
        <f>AO12/$H$9</f>
        <v>2.2857142857142856</v>
      </c>
      <c r="BC12" s="118">
        <f>AU12/AO12</f>
        <v>0.5625</v>
      </c>
      <c r="BD12" s="13">
        <f>AN12/AO12</f>
        <v>16.25</v>
      </c>
      <c r="BE12" s="13">
        <f>AS12/$H$2</f>
        <v>0</v>
      </c>
      <c r="BF12" s="13">
        <f>AQ12/$H$9</f>
        <v>0.8571428571428571</v>
      </c>
      <c r="BP12" t="str">
        <f t="shared" si="1"/>
        <v>5-1 &amp;  &amp; 0.615384615384615 &amp; 0.615384615384615 &amp; 0.615384615384615 &amp; 0.5 &amp; 0.6 &amp; 0.545454545454545 &amp; 0.692307692307692 &amp; 0.692307692307692 &amp; 0.692307692307692 &amp; 6 &amp; 6 &amp; 0.857142857142857 &amp; 1 \\ \hline</v>
      </c>
    </row>
    <row r="13" spans="1:68" ht="16">
      <c r="A13" t="s">
        <v>308</v>
      </c>
      <c r="C13" s="310"/>
      <c r="K13" s="47" t="s">
        <v>381</v>
      </c>
      <c r="L13" s="77" t="s">
        <v>409</v>
      </c>
      <c r="N13" s="81">
        <f>O13-5</f>
        <v>8</v>
      </c>
      <c r="O13" s="81">
        <f>$F$9</f>
        <v>13</v>
      </c>
      <c r="P13" s="129">
        <f>N13/$F$9</f>
        <v>0.61538461538461542</v>
      </c>
      <c r="Q13" s="129">
        <f>N13/O13</f>
        <v>0.61538461538461542</v>
      </c>
      <c r="R13" s="127">
        <f>2*(P13*Q13)/(P13+Q13)</f>
        <v>0.61538461538461542</v>
      </c>
      <c r="T13" s="81">
        <f>U13-2</f>
        <v>3</v>
      </c>
      <c r="U13" s="81">
        <f>$G$9-1</f>
        <v>5</v>
      </c>
      <c r="V13" s="129">
        <f>T13/$G$9</f>
        <v>0.5</v>
      </c>
      <c r="W13" s="129">
        <f>T13/U13</f>
        <v>0.6</v>
      </c>
      <c r="X13" s="127">
        <f>2*(V13*W13)/(V13+W13)</f>
        <v>0.54545454545454541</v>
      </c>
      <c r="Z13" s="81">
        <f>AA13-4</f>
        <v>9</v>
      </c>
      <c r="AA13" s="81">
        <f>$I$9-0</f>
        <v>13</v>
      </c>
      <c r="AB13" s="129">
        <f>Z13/$I$9</f>
        <v>0.69230769230769229</v>
      </c>
      <c r="AC13" s="129">
        <f>Z13/AA13</f>
        <v>0.69230769230769229</v>
      </c>
      <c r="AD13" s="127">
        <f>2*(AB13*AC13)/(AB13+AC13)</f>
        <v>0.69230769230769229</v>
      </c>
      <c r="AF13" s="14">
        <v>10</v>
      </c>
      <c r="AG13">
        <v>10</v>
      </c>
      <c r="AH13" s="127">
        <f>AF13/$H$9</f>
        <v>1.4285714285714286</v>
      </c>
      <c r="AI13" s="127">
        <f>AF13/AG13</f>
        <v>1</v>
      </c>
      <c r="AL13" s="122">
        <v>1</v>
      </c>
      <c r="AM13" s="101">
        <v>1</v>
      </c>
      <c r="AN13">
        <v>309</v>
      </c>
      <c r="AO13">
        <v>16</v>
      </c>
      <c r="AP13" s="101">
        <v>8</v>
      </c>
      <c r="AQ13" s="101">
        <v>7</v>
      </c>
      <c r="AR13">
        <v>8</v>
      </c>
      <c r="AS13" s="107"/>
      <c r="AT13">
        <v>0</v>
      </c>
      <c r="AU13" s="119">
        <v>6</v>
      </c>
      <c r="AV13" s="101">
        <f>($F$9-M13)/$F$9</f>
        <v>1</v>
      </c>
      <c r="AX13" s="101">
        <f>($G$9-AM13)/$G$9</f>
        <v>0.83333333333333337</v>
      </c>
      <c r="AY13" s="101">
        <f>AQ13/AP13</f>
        <v>0.875</v>
      </c>
      <c r="AZ13" s="101">
        <f>AS13/AR13</f>
        <v>0</v>
      </c>
      <c r="BA13" s="85">
        <f>(AV13+AX13+AY13)/3</f>
        <v>0.90277777777777779</v>
      </c>
      <c r="BB13" s="13">
        <f>AO13/$H$9</f>
        <v>2.2857142857142856</v>
      </c>
      <c r="BC13" s="118">
        <f>AU13/AO13</f>
        <v>0.375</v>
      </c>
      <c r="BD13" s="13">
        <f>AN13/AO13</f>
        <v>19.3125</v>
      </c>
      <c r="BE13" s="13">
        <f>AS13/$H$2</f>
        <v>0</v>
      </c>
      <c r="BF13" s="13">
        <f>AQ13/$H$9</f>
        <v>1</v>
      </c>
      <c r="BP13" t="str">
        <f t="shared" si="1"/>
        <v>5-1 &amp;  &amp; 0.615384615384615 &amp; 0.615384615384615 &amp; 0.615384615384615 &amp; 0.5 &amp; 0.6 &amp; 0.545454545454545 &amp; 0.692307692307692 &amp; 0.692307692307692 &amp; 0.692307692307692 &amp; 10 &amp; 10 &amp; 1.42857142857143 &amp; 1 \\ \hline</v>
      </c>
    </row>
    <row r="14" spans="1:68" ht="16">
      <c r="A14" t="s">
        <v>309</v>
      </c>
      <c r="C14" s="310"/>
      <c r="K14" s="47" t="s">
        <v>382</v>
      </c>
      <c r="L14" s="77" t="s">
        <v>410</v>
      </c>
      <c r="N14" s="81">
        <f>O14-5</f>
        <v>8</v>
      </c>
      <c r="O14" s="81">
        <f>$F$9</f>
        <v>13</v>
      </c>
      <c r="P14" s="129">
        <f>N14/$F$9</f>
        <v>0.61538461538461542</v>
      </c>
      <c r="Q14" s="129">
        <f>N14/O14</f>
        <v>0.61538461538461542</v>
      </c>
      <c r="R14" s="127">
        <f>2*(P14*Q14)/(P14+Q14)</f>
        <v>0.61538461538461542</v>
      </c>
      <c r="T14" s="81">
        <f>U14-2</f>
        <v>3</v>
      </c>
      <c r="U14" s="81">
        <f>$G$9-1</f>
        <v>5</v>
      </c>
      <c r="V14" s="129">
        <f>T14/$G$9</f>
        <v>0.5</v>
      </c>
      <c r="W14" s="129">
        <f>T14/U14</f>
        <v>0.6</v>
      </c>
      <c r="X14" s="127">
        <f>2*(V14*W14)/(V14+W14)</f>
        <v>0.54545454545454541</v>
      </c>
      <c r="Z14" s="81">
        <f>AA14-4</f>
        <v>9</v>
      </c>
      <c r="AA14" s="81">
        <f>$I$9-0</f>
        <v>13</v>
      </c>
      <c r="AB14" s="129">
        <f>Z14/$I$9</f>
        <v>0.69230769230769229</v>
      </c>
      <c r="AC14" s="129">
        <f>Z14/AA14</f>
        <v>0.69230769230769229</v>
      </c>
      <c r="AD14" s="127">
        <f>2*(AB14*AC14)/(AB14+AC14)</f>
        <v>0.69230769230769229</v>
      </c>
      <c r="AF14" s="14">
        <v>7</v>
      </c>
      <c r="AG14">
        <v>7</v>
      </c>
      <c r="AH14" s="127">
        <f>AF14/$H$9</f>
        <v>1</v>
      </c>
      <c r="AI14" s="127">
        <f>AF14/AG14</f>
        <v>1</v>
      </c>
      <c r="AL14" s="122">
        <v>1</v>
      </c>
      <c r="AM14" s="101">
        <v>1</v>
      </c>
      <c r="AN14">
        <v>322</v>
      </c>
      <c r="AO14">
        <v>15</v>
      </c>
      <c r="AP14" s="101">
        <v>7</v>
      </c>
      <c r="AQ14" s="101">
        <v>6</v>
      </c>
      <c r="AR14">
        <v>8</v>
      </c>
      <c r="AS14" s="107"/>
      <c r="AT14">
        <v>0</v>
      </c>
      <c r="AU14" s="119">
        <v>7</v>
      </c>
      <c r="AV14" s="101">
        <f>($F$9-M14)/$F$9</f>
        <v>1</v>
      </c>
      <c r="AX14" s="101">
        <f>($G$9-AM14)/$G$9</f>
        <v>0.83333333333333337</v>
      </c>
      <c r="AY14" s="101">
        <f>AQ14/AP14</f>
        <v>0.8571428571428571</v>
      </c>
      <c r="AZ14" s="101">
        <f>AS14/AR14</f>
        <v>0</v>
      </c>
      <c r="BA14" s="85">
        <f>(AV14+AX14+AY14)/3</f>
        <v>0.89682539682539686</v>
      </c>
      <c r="BB14" s="13">
        <f>AO14/$H$9</f>
        <v>2.1428571428571428</v>
      </c>
      <c r="BC14" s="118">
        <f>AU14/AO14</f>
        <v>0.46666666666666667</v>
      </c>
      <c r="BD14" s="13">
        <f>AN14/AO14</f>
        <v>21.466666666666665</v>
      </c>
      <c r="BE14" s="13">
        <f>AS14/$H$2</f>
        <v>0</v>
      </c>
      <c r="BF14" s="13">
        <f>AQ14/$H$9</f>
        <v>0.8571428571428571</v>
      </c>
      <c r="BP14" t="str">
        <f t="shared" si="1"/>
        <v>5-1 &amp;  &amp; 0.615384615384615 &amp; 0.615384615384615 &amp; 0.615384615384615 &amp; 0.5 &amp; 0.6 &amp; 0.545454545454545 &amp; 0.692307692307692 &amp; 0.692307692307692 &amp; 0.692307692307692 &amp; 7 &amp; 7 &amp; 1 &amp; 1 \\ \hline</v>
      </c>
    </row>
    <row r="15" spans="1:68">
      <c r="C15" s="98"/>
      <c r="P15" s="129"/>
      <c r="Q15" s="129"/>
      <c r="R15" s="127"/>
      <c r="V15" s="129"/>
      <c r="W15" s="129"/>
      <c r="X15" s="127"/>
      <c r="AB15" s="129"/>
      <c r="AC15" s="129"/>
      <c r="AD15" s="127"/>
      <c r="AF15" s="14"/>
      <c r="AG15"/>
      <c r="AH15" s="127"/>
      <c r="AI15" s="131"/>
    </row>
    <row r="16" spans="1:68" s="73" customFormat="1">
      <c r="A16" s="73" t="s">
        <v>314</v>
      </c>
      <c r="B16" s="94">
        <v>45178</v>
      </c>
      <c r="C16" s="93" t="s">
        <v>145</v>
      </c>
      <c r="D16" s="78">
        <f>VLOOKUP($C$16,Overview!$Q$2:$AS$64,23,FALSE)</f>
        <v>0.15253833769305328</v>
      </c>
      <c r="E16" s="78" t="str">
        <f>VLOOKUP($C$16,Overview!$Q$2:$AS$64,24,FALSE)</f>
        <v>low</v>
      </c>
      <c r="F16" s="75">
        <f>VLOOKUP(C16,Overview!$Q$2:$AS$64,13,FALSE)</f>
        <v>14</v>
      </c>
      <c r="G16" s="75">
        <f>VLOOKUP(C16,Overview!$Q$2:$AS$64,16,FALSE)</f>
        <v>7</v>
      </c>
      <c r="H16" s="75">
        <f>VLOOKUP(C16,Overview!$Q$2:$AS$64,18,FALSE)</f>
        <v>7</v>
      </c>
      <c r="I16" s="75">
        <f>VLOOKUP($C$16,Overview!$Q$2:$AS$64,19,FALSE)</f>
        <v>14</v>
      </c>
      <c r="K16" s="91"/>
      <c r="M16" s="114"/>
      <c r="N16" s="80"/>
      <c r="O16" s="80"/>
      <c r="P16" s="130"/>
      <c r="Q16" s="130"/>
      <c r="R16" s="128"/>
      <c r="S16" s="114"/>
      <c r="T16" s="80"/>
      <c r="U16" s="80"/>
      <c r="V16" s="130"/>
      <c r="W16" s="130"/>
      <c r="X16" s="128"/>
      <c r="Y16" s="114"/>
      <c r="Z16" s="80"/>
      <c r="AA16" s="80"/>
      <c r="AB16" s="130"/>
      <c r="AC16" s="130"/>
      <c r="AD16" s="128"/>
      <c r="AE16" s="114"/>
      <c r="AH16" s="128"/>
      <c r="AI16" s="128"/>
      <c r="AJ16" s="80"/>
      <c r="AK16" s="114"/>
      <c r="AL16" s="121"/>
      <c r="AM16" s="100"/>
      <c r="AP16" s="100"/>
      <c r="AQ16" s="100"/>
      <c r="AU16" s="120"/>
      <c r="AV16" s="100"/>
      <c r="AW16" s="100"/>
      <c r="AX16" s="100"/>
      <c r="AY16" s="100"/>
      <c r="AZ16" s="100"/>
      <c r="BA16" s="84"/>
      <c r="BC16" s="100"/>
      <c r="BP16"/>
    </row>
    <row r="17" spans="1:68" ht="16">
      <c r="A17" t="s">
        <v>305</v>
      </c>
      <c r="C17" s="310"/>
      <c r="K17" s="47" t="s">
        <v>378</v>
      </c>
      <c r="L17" s="77" t="s">
        <v>411</v>
      </c>
      <c r="N17" s="81">
        <f>O17-3</f>
        <v>11</v>
      </c>
      <c r="O17" s="81">
        <f>$F$16</f>
        <v>14</v>
      </c>
      <c r="P17" s="129">
        <f>N17/$F$16</f>
        <v>0.7857142857142857</v>
      </c>
      <c r="Q17" s="129">
        <f>N17/O17</f>
        <v>0.7857142857142857</v>
      </c>
      <c r="R17" s="127">
        <f>2*(P17*Q17)/(P17+Q17)</f>
        <v>0.7857142857142857</v>
      </c>
      <c r="T17" s="81">
        <f>U17-2</f>
        <v>4</v>
      </c>
      <c r="U17" s="81">
        <f>$G$16-1</f>
        <v>6</v>
      </c>
      <c r="V17" s="129">
        <f>T17/$G$16</f>
        <v>0.5714285714285714</v>
      </c>
      <c r="W17" s="129">
        <f>T17/U17</f>
        <v>0.66666666666666663</v>
      </c>
      <c r="X17" s="127">
        <f>2*(V17*W17)/(V17+W17)</f>
        <v>0.61538461538461531</v>
      </c>
      <c r="Z17" s="81">
        <f>AA17-2</f>
        <v>12</v>
      </c>
      <c r="AA17" s="81">
        <f>$I$16</f>
        <v>14</v>
      </c>
      <c r="AB17" s="129">
        <f>Z17/$I$16</f>
        <v>0.8571428571428571</v>
      </c>
      <c r="AC17" s="129">
        <f>Z17/AA17</f>
        <v>0.8571428571428571</v>
      </c>
      <c r="AD17" s="127">
        <f>2*(AB17*AC17)/(AB17+AC17)</f>
        <v>0.8571428571428571</v>
      </c>
      <c r="AF17">
        <v>0</v>
      </c>
      <c r="AG17">
        <v>0</v>
      </c>
      <c r="AH17" s="127">
        <f>AF17/$H$16</f>
        <v>0</v>
      </c>
      <c r="AI17" s="127">
        <v>0</v>
      </c>
      <c r="AL17" s="122">
        <v>1</v>
      </c>
      <c r="AM17" s="101">
        <v>1</v>
      </c>
      <c r="AN17">
        <v>187</v>
      </c>
      <c r="AO17">
        <v>12</v>
      </c>
      <c r="AP17" s="101">
        <v>12</v>
      </c>
      <c r="AQ17" s="101">
        <v>10</v>
      </c>
      <c r="AR17">
        <v>0</v>
      </c>
      <c r="AS17">
        <v>0</v>
      </c>
      <c r="AT17">
        <v>0</v>
      </c>
      <c r="AU17" s="119">
        <v>8</v>
      </c>
      <c r="AV17" s="101">
        <f>($F$16-M17)/$F$16</f>
        <v>1</v>
      </c>
      <c r="AX17" s="101">
        <f>($G$16-AM17)/$G$16</f>
        <v>0.8571428571428571</v>
      </c>
      <c r="AY17" s="101">
        <f>AQ17/AP17</f>
        <v>0.83333333333333337</v>
      </c>
      <c r="AZ17" s="101">
        <v>0</v>
      </c>
      <c r="BA17" s="85">
        <f>(AV17+AX17+AY17+AZ17)/4</f>
        <v>0.67261904761904767</v>
      </c>
      <c r="BB17" s="13">
        <f>AO17/$H$16</f>
        <v>1.7142857142857142</v>
      </c>
      <c r="BC17" s="118">
        <f>AU17/AO17</f>
        <v>0.66666666666666663</v>
      </c>
      <c r="BD17" s="13">
        <f>AN17/AO17</f>
        <v>15.583333333333334</v>
      </c>
      <c r="BE17" s="13">
        <f>AS17/$H$16</f>
        <v>0</v>
      </c>
      <c r="BF17" s="13">
        <f>AQ17/$H$16</f>
        <v>1.4285714285714286</v>
      </c>
      <c r="BP17" t="str">
        <f>_xlfn.CONCAT($C$16," &amp; ",C17," &amp; ",P17," &amp; ",Q17," &amp; ",R17," &amp; ",V17," &amp; ",W17," &amp; ",X17," &amp; ",AB17," &amp; ",AC17," &amp; ",AD17," &amp; ",AF17," &amp; ",AG17," &amp; ",AH17," &amp; ",AI17, " \\ \hline")</f>
        <v>3-4 &amp;  &amp; 0.785714285714286 &amp; 0.785714285714286 &amp; 0.785714285714286 &amp; 0.571428571428571 &amp; 0.666666666666667 &amp; 0.615384615384615 &amp; 0.857142857142857 &amp; 0.857142857142857 &amp; 0.857142857142857 &amp; 0 &amp; 0 &amp; 0 &amp; 0 \\ \hline</v>
      </c>
    </row>
    <row r="18" spans="1:68" ht="16">
      <c r="A18" t="s">
        <v>306</v>
      </c>
      <c r="C18" s="310"/>
      <c r="K18" s="47" t="s">
        <v>379</v>
      </c>
      <c r="L18" s="77" t="s">
        <v>412</v>
      </c>
      <c r="N18" s="81">
        <f>O18-3</f>
        <v>11</v>
      </c>
      <c r="O18" s="81">
        <f>$F$16</f>
        <v>14</v>
      </c>
      <c r="P18" s="129">
        <f>N18/$F$16</f>
        <v>0.7857142857142857</v>
      </c>
      <c r="Q18" s="129">
        <f>N18/O18</f>
        <v>0.7857142857142857</v>
      </c>
      <c r="R18" s="127">
        <f>2*(P18*Q18)/(P18+Q18)</f>
        <v>0.7857142857142857</v>
      </c>
      <c r="T18" s="81">
        <f>U18-2</f>
        <v>4</v>
      </c>
      <c r="U18" s="81">
        <f>$G$16-1</f>
        <v>6</v>
      </c>
      <c r="V18" s="129">
        <f>T18/$G$16</f>
        <v>0.5714285714285714</v>
      </c>
      <c r="W18" s="129">
        <f>T18/U18</f>
        <v>0.66666666666666663</v>
      </c>
      <c r="X18" s="127">
        <f>2*(V18*W18)/(V18+W18)</f>
        <v>0.61538461538461531</v>
      </c>
      <c r="Z18" s="81">
        <v>12</v>
      </c>
      <c r="AA18" s="81">
        <f>$I$16</f>
        <v>14</v>
      </c>
      <c r="AB18" s="129">
        <f>Z18/$I$16</f>
        <v>0.8571428571428571</v>
      </c>
      <c r="AC18" s="129">
        <f>Z18/AA18</f>
        <v>0.8571428571428571</v>
      </c>
      <c r="AD18" s="127">
        <f>2*(AB18*AC18)/(AB18+AC18)</f>
        <v>0.8571428571428571</v>
      </c>
      <c r="AF18">
        <v>9</v>
      </c>
      <c r="AG18">
        <v>9</v>
      </c>
      <c r="AH18" s="127">
        <f>AF18/$H$16</f>
        <v>1.2857142857142858</v>
      </c>
      <c r="AI18" s="127">
        <f>AF18/AG18</f>
        <v>1</v>
      </c>
      <c r="AL18" s="122">
        <v>1</v>
      </c>
      <c r="AM18" s="101">
        <v>1</v>
      </c>
      <c r="AN18">
        <v>357</v>
      </c>
      <c r="AO18" s="107">
        <v>24</v>
      </c>
      <c r="AP18" s="101">
        <v>10</v>
      </c>
      <c r="AQ18" s="101">
        <v>9</v>
      </c>
      <c r="AR18">
        <v>7</v>
      </c>
      <c r="AS18">
        <v>6</v>
      </c>
      <c r="AT18">
        <v>1</v>
      </c>
      <c r="AU18" s="119">
        <v>8</v>
      </c>
      <c r="AV18" s="101">
        <f>($F$16-M18)/$F$16</f>
        <v>1</v>
      </c>
      <c r="AX18" s="101">
        <f>($G$16-AM18)/$G$16</f>
        <v>0.8571428571428571</v>
      </c>
      <c r="AY18" s="101">
        <f>AQ18/AP18</f>
        <v>0.9</v>
      </c>
      <c r="AZ18" s="101">
        <f>AS18/AR18</f>
        <v>0.8571428571428571</v>
      </c>
      <c r="BA18" s="85">
        <f>(AV18+AX18+AY18+AZ18)/4</f>
        <v>0.90357142857142858</v>
      </c>
      <c r="BB18" s="13">
        <f>AO18/$H$16</f>
        <v>3.4285714285714284</v>
      </c>
      <c r="BC18" s="118">
        <f>AU18/AO18</f>
        <v>0.33333333333333331</v>
      </c>
      <c r="BD18" s="13">
        <f>AN18/AO18</f>
        <v>14.875</v>
      </c>
      <c r="BE18" s="13">
        <f>AS18/$H$16</f>
        <v>0.8571428571428571</v>
      </c>
      <c r="BF18" s="13">
        <f>AQ18/$H$16</f>
        <v>1.2857142857142858</v>
      </c>
      <c r="BP18" t="str">
        <f t="shared" ref="BP18:BP21" si="2">_xlfn.CONCAT($C$16," &amp; ",C18," &amp; ",P18," &amp; ",Q18," &amp; ",R18," &amp; ",V18," &amp; ",W18," &amp; ",X18," &amp; ",AB18," &amp; ",AC18," &amp; ",AD18," &amp; ",AF18," &amp; ",AG18," &amp; ",AH18," &amp; ",AI18, " \\ \hline")</f>
        <v>3-4 &amp;  &amp; 0.785714285714286 &amp; 0.785714285714286 &amp; 0.785714285714286 &amp; 0.571428571428571 &amp; 0.666666666666667 &amp; 0.615384615384615 &amp; 0.857142857142857 &amp; 0.857142857142857 &amp; 0.857142857142857 &amp; 9 &amp; 9 &amp; 1.28571428571429 &amp; 1 \\ \hline</v>
      </c>
    </row>
    <row r="19" spans="1:68" ht="16">
      <c r="A19" t="s">
        <v>307</v>
      </c>
      <c r="C19" s="310"/>
      <c r="K19" s="47" t="s">
        <v>380</v>
      </c>
      <c r="L19" s="108" t="s">
        <v>417</v>
      </c>
      <c r="N19" s="81">
        <f>O19-2</f>
        <v>12</v>
      </c>
      <c r="O19" s="81">
        <f>$F$16</f>
        <v>14</v>
      </c>
      <c r="P19" s="129">
        <f>N19/$F$16</f>
        <v>0.8571428571428571</v>
      </c>
      <c r="Q19" s="129">
        <f>N19/O19</f>
        <v>0.8571428571428571</v>
      </c>
      <c r="R19" s="127">
        <f>2*(P19*Q19)/(P19+Q19)</f>
        <v>0.8571428571428571</v>
      </c>
      <c r="T19" s="81">
        <f>U19-1</f>
        <v>5</v>
      </c>
      <c r="U19" s="81">
        <f>$G$16-1</f>
        <v>6</v>
      </c>
      <c r="V19" s="129">
        <f>T19/$G$16</f>
        <v>0.7142857142857143</v>
      </c>
      <c r="W19" s="129">
        <f>T19/U19</f>
        <v>0.83333333333333337</v>
      </c>
      <c r="X19" s="127">
        <f>2*(V19*W19)/(V19+W19)</f>
        <v>0.76923076923076916</v>
      </c>
      <c r="Z19" s="81">
        <v>12</v>
      </c>
      <c r="AA19" s="81">
        <f>$I$16</f>
        <v>14</v>
      </c>
      <c r="AB19" s="129">
        <f>Z19/$I$16</f>
        <v>0.8571428571428571</v>
      </c>
      <c r="AC19" s="129">
        <f>Z19/AA19</f>
        <v>0.8571428571428571</v>
      </c>
      <c r="AD19" s="127">
        <f>2*(AB19*AC19)/(AB19+AC19)</f>
        <v>0.8571428571428571</v>
      </c>
      <c r="AF19">
        <v>6</v>
      </c>
      <c r="AG19">
        <v>6</v>
      </c>
      <c r="AH19" s="127">
        <f>AF19/$H$16</f>
        <v>0.8571428571428571</v>
      </c>
      <c r="AI19" s="127">
        <f>AF19/AG19</f>
        <v>1</v>
      </c>
      <c r="AL19" s="122">
        <v>0</v>
      </c>
      <c r="AM19" s="101">
        <v>0</v>
      </c>
      <c r="AN19">
        <v>246</v>
      </c>
      <c r="AO19">
        <v>15</v>
      </c>
      <c r="AP19" s="101">
        <v>9</v>
      </c>
      <c r="AQ19" s="101">
        <v>9</v>
      </c>
      <c r="AR19">
        <v>6</v>
      </c>
      <c r="AS19">
        <v>6</v>
      </c>
      <c r="AT19">
        <v>0</v>
      </c>
      <c r="AU19" s="119">
        <v>9</v>
      </c>
      <c r="AV19" s="101">
        <f>($F$16-M19)/$F$16</f>
        <v>1</v>
      </c>
      <c r="AX19" s="101">
        <f>($G$16-AM19)/$G$16</f>
        <v>1</v>
      </c>
      <c r="AY19" s="101">
        <f>AQ19/AP19</f>
        <v>1</v>
      </c>
      <c r="AZ19" s="101">
        <f>AS19/AR19</f>
        <v>1</v>
      </c>
      <c r="BA19" s="85">
        <f>(AV19+AX19+AY19+AZ19)/4</f>
        <v>1</v>
      </c>
      <c r="BB19" s="13">
        <f>AO19/$H$16</f>
        <v>2.1428571428571428</v>
      </c>
      <c r="BC19" s="118">
        <f>AU19/AO19</f>
        <v>0.6</v>
      </c>
      <c r="BD19" s="13">
        <f>AN19/AO19</f>
        <v>16.399999999999999</v>
      </c>
      <c r="BE19" s="13">
        <f>AS19/$H$16</f>
        <v>0.8571428571428571</v>
      </c>
      <c r="BF19" s="13">
        <f>AQ19/$H$16</f>
        <v>1.2857142857142858</v>
      </c>
      <c r="BP19" t="str">
        <f t="shared" si="2"/>
        <v>3-4 &amp;  &amp; 0.857142857142857 &amp; 0.857142857142857 &amp; 0.857142857142857 &amp; 0.714285714285714 &amp; 0.833333333333333 &amp; 0.769230769230769 &amp; 0.857142857142857 &amp; 0.857142857142857 &amp; 0.857142857142857 &amp; 6 &amp; 6 &amp; 0.857142857142857 &amp; 1 \\ \hline</v>
      </c>
    </row>
    <row r="20" spans="1:68" ht="16">
      <c r="A20" t="s">
        <v>308</v>
      </c>
      <c r="C20" s="310"/>
      <c r="K20" s="47" t="s">
        <v>381</v>
      </c>
      <c r="L20" s="77" t="s">
        <v>418</v>
      </c>
      <c r="N20" s="81">
        <f>O20-2</f>
        <v>12</v>
      </c>
      <c r="O20" s="81">
        <f>$F$16</f>
        <v>14</v>
      </c>
      <c r="P20" s="129">
        <f>N20/$F$16</f>
        <v>0.8571428571428571</v>
      </c>
      <c r="Q20" s="129">
        <f>N20/O20</f>
        <v>0.8571428571428571</v>
      </c>
      <c r="R20" s="127">
        <f>2*(P20*Q20)/(P20+Q20)</f>
        <v>0.8571428571428571</v>
      </c>
      <c r="T20" s="81">
        <f>U20-1</f>
        <v>5</v>
      </c>
      <c r="U20" s="81">
        <f>$G$16-1</f>
        <v>6</v>
      </c>
      <c r="V20" s="129">
        <f>T20/$G$16</f>
        <v>0.7142857142857143</v>
      </c>
      <c r="W20" s="129">
        <f>T20/U20</f>
        <v>0.83333333333333337</v>
      </c>
      <c r="X20" s="127">
        <f>2*(V20*W20)/(V20+W20)</f>
        <v>0.76923076923076916</v>
      </c>
      <c r="Z20" s="81">
        <f>AA20-5</f>
        <v>9</v>
      </c>
      <c r="AA20" s="81">
        <f>$I$16</f>
        <v>14</v>
      </c>
      <c r="AB20" s="129">
        <f>Z20/$I$16</f>
        <v>0.6428571428571429</v>
      </c>
      <c r="AC20" s="129">
        <f>Z20/AA20</f>
        <v>0.6428571428571429</v>
      </c>
      <c r="AD20" s="127">
        <f>2*(AB20*AC20)/(AB20+AC20)</f>
        <v>0.6428571428571429</v>
      </c>
      <c r="AF20">
        <v>3</v>
      </c>
      <c r="AG20">
        <v>3</v>
      </c>
      <c r="AH20" s="127">
        <f>AF20/$H$16</f>
        <v>0.42857142857142855</v>
      </c>
      <c r="AI20" s="127">
        <f>AF20/AG20</f>
        <v>1</v>
      </c>
      <c r="AL20" s="122">
        <v>0</v>
      </c>
      <c r="AM20" s="101">
        <v>0</v>
      </c>
      <c r="AN20">
        <v>273</v>
      </c>
      <c r="AO20">
        <v>17</v>
      </c>
      <c r="AP20" s="101">
        <v>14</v>
      </c>
      <c r="AQ20" s="101">
        <v>13</v>
      </c>
      <c r="AR20">
        <v>3</v>
      </c>
      <c r="AS20">
        <v>3</v>
      </c>
      <c r="AT20">
        <v>0</v>
      </c>
      <c r="AU20" s="119">
        <v>9</v>
      </c>
      <c r="AV20" s="101">
        <f>($F$16-M20)/$F$16</f>
        <v>1</v>
      </c>
      <c r="AX20" s="101">
        <f>($G$16-AM20)/$G$16</f>
        <v>1</v>
      </c>
      <c r="AY20" s="101">
        <f>AQ20/AP20</f>
        <v>0.9285714285714286</v>
      </c>
      <c r="AZ20" s="101">
        <f>AS20/AR20</f>
        <v>1</v>
      </c>
      <c r="BA20" s="85">
        <f>(AV20+AX20+AY20+AZ20)/4</f>
        <v>0.98214285714285721</v>
      </c>
      <c r="BB20" s="13">
        <f>AO20/$H$16</f>
        <v>2.4285714285714284</v>
      </c>
      <c r="BC20" s="118">
        <f>AU20/AO20</f>
        <v>0.52941176470588236</v>
      </c>
      <c r="BD20" s="13">
        <f>AN20/AO20</f>
        <v>16.058823529411764</v>
      </c>
      <c r="BE20" s="13">
        <f>AS20/$H$16</f>
        <v>0.42857142857142855</v>
      </c>
      <c r="BF20" s="13">
        <f>AQ20/$H$16</f>
        <v>1.8571428571428572</v>
      </c>
      <c r="BP20" t="str">
        <f t="shared" si="2"/>
        <v>3-4 &amp;  &amp; 0.857142857142857 &amp; 0.857142857142857 &amp; 0.857142857142857 &amp; 0.714285714285714 &amp; 0.833333333333333 &amp; 0.769230769230769 &amp; 0.642857142857143 &amp; 0.642857142857143 &amp; 0.642857142857143 &amp; 3 &amp; 3 &amp; 0.428571428571429 &amp; 1 \\ \hline</v>
      </c>
    </row>
    <row r="21" spans="1:68" ht="16">
      <c r="A21" t="s">
        <v>309</v>
      </c>
      <c r="C21" s="310"/>
      <c r="K21" s="47" t="s">
        <v>382</v>
      </c>
      <c r="L21" s="108" t="s">
        <v>419</v>
      </c>
      <c r="N21" s="81">
        <f>O21-2</f>
        <v>12</v>
      </c>
      <c r="O21" s="81">
        <f>$F$16</f>
        <v>14</v>
      </c>
      <c r="P21" s="129">
        <f>N21/$F$16</f>
        <v>0.8571428571428571</v>
      </c>
      <c r="Q21" s="129">
        <f>N21/O21</f>
        <v>0.8571428571428571</v>
      </c>
      <c r="R21" s="127">
        <f>2*(P21*Q21)/(P21+Q21)</f>
        <v>0.8571428571428571</v>
      </c>
      <c r="T21" s="81">
        <f>U21-1</f>
        <v>5</v>
      </c>
      <c r="U21" s="81">
        <f>$G$16-1</f>
        <v>6</v>
      </c>
      <c r="V21" s="129">
        <f>T21/$G$16</f>
        <v>0.7142857142857143</v>
      </c>
      <c r="W21" s="129">
        <f>T21/U21</f>
        <v>0.83333333333333337</v>
      </c>
      <c r="X21" s="127">
        <f>2*(V21*W21)/(V21+W21)</f>
        <v>0.76923076923076916</v>
      </c>
      <c r="Z21" s="81">
        <f>AA21-2</f>
        <v>12</v>
      </c>
      <c r="AA21" s="81">
        <f>$I$16</f>
        <v>14</v>
      </c>
      <c r="AB21" s="129">
        <f>Z21/$I$16</f>
        <v>0.8571428571428571</v>
      </c>
      <c r="AC21" s="129">
        <f>Z21/AA21</f>
        <v>0.8571428571428571</v>
      </c>
      <c r="AD21" s="127">
        <f>2*(AB21*AC21)/(AB21+AC21)</f>
        <v>0.8571428571428571</v>
      </c>
      <c r="AF21">
        <v>3</v>
      </c>
      <c r="AG21">
        <v>3</v>
      </c>
      <c r="AH21" s="127">
        <f>AF21/$H$16</f>
        <v>0.42857142857142855</v>
      </c>
      <c r="AI21" s="127">
        <f>AF21/AG21</f>
        <v>1</v>
      </c>
      <c r="AL21" s="122">
        <v>0</v>
      </c>
      <c r="AM21" s="101">
        <v>0</v>
      </c>
      <c r="AN21">
        <v>210</v>
      </c>
      <c r="AO21">
        <v>11</v>
      </c>
      <c r="AP21" s="101">
        <v>8</v>
      </c>
      <c r="AQ21" s="101">
        <v>8</v>
      </c>
      <c r="AR21">
        <v>3</v>
      </c>
      <c r="AS21">
        <v>3</v>
      </c>
      <c r="AT21">
        <v>0</v>
      </c>
      <c r="AU21" s="119">
        <v>8</v>
      </c>
      <c r="AV21" s="101">
        <f>($F$16-M21)/$F$16</f>
        <v>1</v>
      </c>
      <c r="AX21" s="101">
        <f>($G$16-AM21)/$G$16</f>
        <v>1</v>
      </c>
      <c r="AY21" s="101">
        <f>AQ21/AP21</f>
        <v>1</v>
      </c>
      <c r="AZ21" s="101">
        <f>AS21/AR21</f>
        <v>1</v>
      </c>
      <c r="BA21" s="85">
        <f>(AV21+AX21+AY21+AZ21)/4</f>
        <v>1</v>
      </c>
      <c r="BB21" s="13">
        <f>AO21/$H$16</f>
        <v>1.5714285714285714</v>
      </c>
      <c r="BC21" s="118">
        <f>AU21/AO21</f>
        <v>0.72727272727272729</v>
      </c>
      <c r="BD21" s="13">
        <f>AN21/AO21</f>
        <v>19.09090909090909</v>
      </c>
      <c r="BE21" s="13">
        <f>AS21/$H$16</f>
        <v>0.42857142857142855</v>
      </c>
      <c r="BF21" s="13">
        <f>AQ21/$H$16</f>
        <v>1.1428571428571428</v>
      </c>
      <c r="BP21" t="str">
        <f t="shared" si="2"/>
        <v>3-4 &amp;  &amp; 0.857142857142857 &amp; 0.857142857142857 &amp; 0.857142857142857 &amp; 0.714285714285714 &amp; 0.833333333333333 &amp; 0.769230769230769 &amp; 0.857142857142857 &amp; 0.857142857142857 &amp; 0.857142857142857 &amp; 3 &amp; 3 &amp; 0.428571428571429 &amp; 1 \\ \hline</v>
      </c>
    </row>
    <row r="22" spans="1:68">
      <c r="C22" s="98"/>
      <c r="P22" s="129"/>
      <c r="Q22" s="129"/>
      <c r="R22" s="127"/>
      <c r="V22" s="129"/>
      <c r="W22" s="129"/>
      <c r="X22" s="127"/>
      <c r="AB22" s="129"/>
      <c r="AC22" s="129"/>
      <c r="AD22" s="127"/>
      <c r="AF22"/>
      <c r="AG22"/>
      <c r="AH22" s="127"/>
      <c r="AI22" s="131"/>
    </row>
    <row r="23" spans="1:68" s="73" customFormat="1">
      <c r="A23" s="73" t="s">
        <v>315</v>
      </c>
      <c r="B23" s="94">
        <v>45178</v>
      </c>
      <c r="C23" s="93" t="s">
        <v>143</v>
      </c>
      <c r="D23" s="78">
        <f>VLOOKUP($C$23,Overview!$Q$2:$AS$64,23,FALSE)</f>
        <v>0.22130077615194707</v>
      </c>
      <c r="E23" s="78" t="str">
        <f>VLOOKUP($C$23,Overview!$Q$2:$AS$64,24,FALSE)</f>
        <v>low</v>
      </c>
      <c r="F23" s="75">
        <f>VLOOKUP(C23,Overview!$Q$2:$AS$64,13,FALSE)</f>
        <v>21</v>
      </c>
      <c r="G23" s="75">
        <f>VLOOKUP(C23,Overview!$Q$2:$AS$64,16,FALSE)</f>
        <v>4</v>
      </c>
      <c r="H23" s="75">
        <f>VLOOKUP(C23,Overview!$Q$2:$AS$64,18,FALSE)</f>
        <v>10</v>
      </c>
      <c r="I23" s="75">
        <f>VLOOKUP($C$23,Overview!$Q$2:$AS$64,19,FALSE)</f>
        <v>21</v>
      </c>
      <c r="K23" s="91"/>
      <c r="M23" s="114"/>
      <c r="N23" s="80"/>
      <c r="O23" s="80"/>
      <c r="P23" s="130"/>
      <c r="Q23" s="130"/>
      <c r="R23" s="128"/>
      <c r="S23" s="114"/>
      <c r="T23" s="80"/>
      <c r="U23" s="80"/>
      <c r="V23" s="130"/>
      <c r="W23" s="130"/>
      <c r="X23" s="128"/>
      <c r="Y23" s="114"/>
      <c r="Z23" s="80"/>
      <c r="AA23" s="80"/>
      <c r="AB23" s="130"/>
      <c r="AC23" s="130"/>
      <c r="AD23" s="128"/>
      <c r="AE23" s="114"/>
      <c r="AH23" s="128"/>
      <c r="AI23" s="128"/>
      <c r="AJ23" s="80"/>
      <c r="AK23" s="114"/>
      <c r="AL23" s="121"/>
      <c r="AM23" s="100"/>
      <c r="AP23" s="100"/>
      <c r="AQ23" s="100"/>
      <c r="AU23" s="120"/>
      <c r="AV23" s="100"/>
      <c r="AW23" s="100"/>
      <c r="AX23" s="100"/>
      <c r="AY23" s="100"/>
      <c r="AZ23" s="100"/>
      <c r="BA23" s="84"/>
      <c r="BC23" s="100"/>
      <c r="BP23"/>
    </row>
    <row r="24" spans="1:68" ht="16">
      <c r="A24" t="s">
        <v>305</v>
      </c>
      <c r="C24" s="310"/>
      <c r="K24" s="47" t="s">
        <v>378</v>
      </c>
      <c r="L24" s="77" t="s">
        <v>420</v>
      </c>
      <c r="N24" s="81">
        <v>21</v>
      </c>
      <c r="O24" s="81">
        <v>21</v>
      </c>
      <c r="P24" s="129">
        <f>N24/$F$23</f>
        <v>1</v>
      </c>
      <c r="Q24" s="129">
        <f>N24/O24</f>
        <v>1</v>
      </c>
      <c r="R24" s="127">
        <f>2*(P24*Q24)/(P24+Q24)</f>
        <v>1</v>
      </c>
      <c r="T24" s="81">
        <v>4</v>
      </c>
      <c r="U24" s="81">
        <v>4</v>
      </c>
      <c r="V24" s="129">
        <f>T24/$G$23</f>
        <v>1</v>
      </c>
      <c r="W24" s="129">
        <f>T24/U24</f>
        <v>1</v>
      </c>
      <c r="X24" s="127">
        <f>2*(V24*W24)/(V24+W24)</f>
        <v>1</v>
      </c>
      <c r="Z24" s="81">
        <v>21</v>
      </c>
      <c r="AA24" s="81">
        <v>21</v>
      </c>
      <c r="AB24" s="129">
        <f>Z24/$I$23</f>
        <v>1</v>
      </c>
      <c r="AC24" s="129">
        <f>Z24/AA24</f>
        <v>1</v>
      </c>
      <c r="AD24" s="127">
        <f>2*(AB24*AC24)/(AB24+AC24)</f>
        <v>1</v>
      </c>
      <c r="AF24">
        <v>0</v>
      </c>
      <c r="AG24">
        <v>0</v>
      </c>
      <c r="AH24" s="127">
        <f>AF24/$H$23</f>
        <v>0</v>
      </c>
      <c r="AI24" s="127">
        <v>0</v>
      </c>
      <c r="AL24" s="122">
        <v>0</v>
      </c>
      <c r="AM24" s="101">
        <v>0</v>
      </c>
      <c r="AN24">
        <v>199</v>
      </c>
      <c r="AO24">
        <v>13</v>
      </c>
      <c r="AP24" s="101">
        <v>13</v>
      </c>
      <c r="AQ24" s="101">
        <v>13</v>
      </c>
      <c r="AR24">
        <v>0</v>
      </c>
      <c r="AS24">
        <v>0</v>
      </c>
      <c r="AT24">
        <v>0</v>
      </c>
      <c r="AU24" s="119">
        <v>11</v>
      </c>
      <c r="AV24" s="101">
        <f>($F$23-M24)/$F$23</f>
        <v>1</v>
      </c>
      <c r="AX24" s="101">
        <f>($G$23-AM24)/$G$23</f>
        <v>1</v>
      </c>
      <c r="AY24" s="101">
        <f>AQ24/AP24</f>
        <v>1</v>
      </c>
      <c r="AZ24" s="101">
        <v>0</v>
      </c>
      <c r="BA24" s="85">
        <f>(AV24+AX24+AY24+AZ24)/4</f>
        <v>0.75</v>
      </c>
      <c r="BB24" s="13">
        <f>AO24/$H$23</f>
        <v>1.3</v>
      </c>
      <c r="BC24" s="118">
        <f>AU24/AO24</f>
        <v>0.84615384615384615</v>
      </c>
      <c r="BD24" s="13">
        <f>AN24/AO24</f>
        <v>15.307692307692308</v>
      </c>
      <c r="BE24" s="13">
        <f>AS24/$H$23</f>
        <v>0</v>
      </c>
      <c r="BF24" s="13">
        <f>AQ24/$H$23</f>
        <v>1.3</v>
      </c>
      <c r="BP24" t="str">
        <f>_xlfn.CONCAT($C$23," &amp; ",C24," &amp; ",P24," &amp; ",Q24," &amp; ",R24," &amp; ",V24," &amp; ",W24," &amp; ",X24," &amp; ",AB24," &amp; ",AC24," &amp; ",AD24," &amp; ",AF24," &amp; ",AG24," &amp; ",AH24," &amp; ",AI24, " \\ \hline")</f>
        <v>3-2 &amp;  &amp; 1 &amp; 1 &amp; 1 &amp; 1 &amp; 1 &amp; 1 &amp; 1 &amp; 1 &amp; 1 &amp; 0 &amp; 0 &amp; 0 &amp; 0 \\ \hline</v>
      </c>
    </row>
    <row r="25" spans="1:68" ht="16">
      <c r="A25" t="s">
        <v>306</v>
      </c>
      <c r="C25" s="310"/>
      <c r="K25" s="47" t="s">
        <v>379</v>
      </c>
      <c r="L25" s="77" t="s">
        <v>421</v>
      </c>
      <c r="N25" s="81">
        <v>21</v>
      </c>
      <c r="O25" s="81">
        <v>21</v>
      </c>
      <c r="P25" s="129">
        <f>N25/$F$23</f>
        <v>1</v>
      </c>
      <c r="Q25" s="129">
        <f>N25/O25</f>
        <v>1</v>
      </c>
      <c r="R25" s="127">
        <f>2*(P25*Q25)/(P25+Q25)</f>
        <v>1</v>
      </c>
      <c r="T25" s="81">
        <v>4</v>
      </c>
      <c r="U25" s="81">
        <v>4</v>
      </c>
      <c r="V25" s="129">
        <f>T25/$G$23</f>
        <v>1</v>
      </c>
      <c r="W25" s="129">
        <f>T25/U25</f>
        <v>1</v>
      </c>
      <c r="X25" s="127">
        <f>2*(V25*W25)/(V25+W25)</f>
        <v>1</v>
      </c>
      <c r="Z25" s="81">
        <v>21</v>
      </c>
      <c r="AA25" s="81">
        <v>21</v>
      </c>
      <c r="AB25" s="129">
        <f>Z25/$I$23</f>
        <v>1</v>
      </c>
      <c r="AC25" s="129">
        <f>Z25/AA25</f>
        <v>1</v>
      </c>
      <c r="AD25" s="127">
        <f>2*(AB25*AC25)/(AB25+AC25)</f>
        <v>1</v>
      </c>
      <c r="AF25">
        <v>10</v>
      </c>
      <c r="AG25">
        <v>10</v>
      </c>
      <c r="AH25" s="127">
        <f>AF25/$H$23</f>
        <v>1</v>
      </c>
      <c r="AI25" s="127">
        <f>AF25/AG25</f>
        <v>1</v>
      </c>
      <c r="AL25" s="122">
        <v>0</v>
      </c>
      <c r="AM25" s="101">
        <v>0</v>
      </c>
      <c r="AN25">
        <v>397</v>
      </c>
      <c r="AO25" s="107">
        <v>22</v>
      </c>
      <c r="AP25" s="101">
        <v>12</v>
      </c>
      <c r="AQ25" s="101">
        <v>12</v>
      </c>
      <c r="AR25">
        <v>8</v>
      </c>
      <c r="AS25">
        <v>8</v>
      </c>
      <c r="AT25">
        <v>2</v>
      </c>
      <c r="AU25" s="119">
        <v>9</v>
      </c>
      <c r="AV25" s="101">
        <f>($F$16-M25)/$F$16</f>
        <v>1</v>
      </c>
      <c r="AX25" s="101">
        <f>($G$16-AM25)/$G$16</f>
        <v>1</v>
      </c>
      <c r="AY25" s="101">
        <f>AQ25/AP25</f>
        <v>1</v>
      </c>
      <c r="AZ25" s="101">
        <f>AS25/AR25</f>
        <v>1</v>
      </c>
      <c r="BA25" s="85">
        <f>(AV25+AX25+AY25+AZ25)/4</f>
        <v>1</v>
      </c>
      <c r="BB25" s="13">
        <f>AO25/$H$23</f>
        <v>2.2000000000000002</v>
      </c>
      <c r="BC25" s="118">
        <f>AU25/AO25</f>
        <v>0.40909090909090912</v>
      </c>
      <c r="BD25" s="13">
        <f>AN25/AO25</f>
        <v>18.045454545454547</v>
      </c>
      <c r="BE25" s="13">
        <f>AS25/$H$23</f>
        <v>0.8</v>
      </c>
      <c r="BF25" s="13">
        <f>AQ25/$H$23</f>
        <v>1.2</v>
      </c>
      <c r="BP25" t="str">
        <f t="shared" ref="BP25:BP28" si="3">_xlfn.CONCAT($C$23," &amp; ",C25," &amp; ",P25," &amp; ",Q25," &amp; ",R25," &amp; ",V25," &amp; ",W25," &amp; ",X25," &amp; ",AB25," &amp; ",AC25," &amp; ",AD25," &amp; ",AF25," &amp; ",AG25," &amp; ",AH25," &amp; ",AI25, " \\ \hline")</f>
        <v>3-2 &amp;  &amp; 1 &amp; 1 &amp; 1 &amp; 1 &amp; 1 &amp; 1 &amp; 1 &amp; 1 &amp; 1 &amp; 10 &amp; 10 &amp; 1 &amp; 1 \\ \hline</v>
      </c>
    </row>
    <row r="26" spans="1:68" ht="16">
      <c r="A26" t="s">
        <v>307</v>
      </c>
      <c r="C26" s="310"/>
      <c r="K26" s="47" t="s">
        <v>380</v>
      </c>
      <c r="L26" s="77" t="s">
        <v>422</v>
      </c>
      <c r="N26" s="81">
        <v>21</v>
      </c>
      <c r="O26" s="81">
        <v>21</v>
      </c>
      <c r="P26" s="129">
        <f>N26/$F$23</f>
        <v>1</v>
      </c>
      <c r="Q26" s="129">
        <f>N26/O26</f>
        <v>1</v>
      </c>
      <c r="R26" s="127">
        <f>2*(P26*Q26)/(P26+Q26)</f>
        <v>1</v>
      </c>
      <c r="T26" s="81">
        <v>4</v>
      </c>
      <c r="U26" s="81">
        <v>4</v>
      </c>
      <c r="V26" s="129">
        <f>T26/$G$23</f>
        <v>1</v>
      </c>
      <c r="W26" s="129">
        <f>T26/U26</f>
        <v>1</v>
      </c>
      <c r="X26" s="127">
        <f>2*(V26*W26)/(V26+W26)</f>
        <v>1</v>
      </c>
      <c r="Z26" s="81">
        <v>21</v>
      </c>
      <c r="AA26" s="81">
        <v>21</v>
      </c>
      <c r="AB26" s="129">
        <f>Z26/$I$23</f>
        <v>1</v>
      </c>
      <c r="AC26" s="129">
        <f>Z26/AA26</f>
        <v>1</v>
      </c>
      <c r="AD26" s="127">
        <f>2*(AB26*AC26)/(AB26+AC26)</f>
        <v>1</v>
      </c>
      <c r="AF26">
        <v>3</v>
      </c>
      <c r="AG26">
        <v>3</v>
      </c>
      <c r="AH26" s="127">
        <f>AF26/$H$23</f>
        <v>0.3</v>
      </c>
      <c r="AI26" s="127">
        <f>AF26/AG26</f>
        <v>1</v>
      </c>
      <c r="AL26" s="122">
        <v>0</v>
      </c>
      <c r="AM26" s="101">
        <v>0</v>
      </c>
      <c r="AN26">
        <v>216</v>
      </c>
      <c r="AO26">
        <v>14</v>
      </c>
      <c r="AP26" s="101">
        <v>11</v>
      </c>
      <c r="AQ26" s="101">
        <v>11</v>
      </c>
      <c r="AR26">
        <v>3</v>
      </c>
      <c r="AS26">
        <v>3</v>
      </c>
      <c r="AT26">
        <v>0</v>
      </c>
      <c r="AU26" s="119">
        <v>8</v>
      </c>
      <c r="AV26" s="101">
        <f>($F$16-M26)/$F$16</f>
        <v>1</v>
      </c>
      <c r="AX26" s="101">
        <f>($G$16-AM26)/$G$16</f>
        <v>1</v>
      </c>
      <c r="AY26" s="101">
        <f>AQ26/AP26</f>
        <v>1</v>
      </c>
      <c r="AZ26" s="101">
        <f>AS26/AR26</f>
        <v>1</v>
      </c>
      <c r="BA26" s="85">
        <f>(AV26+AX26+AY26+AZ26)/4</f>
        <v>1</v>
      </c>
      <c r="BB26" s="13">
        <f>AO26/$H$23</f>
        <v>1.4</v>
      </c>
      <c r="BC26" s="118">
        <f>AU26/AO26</f>
        <v>0.5714285714285714</v>
      </c>
      <c r="BD26" s="13">
        <f>AN26/AO26</f>
        <v>15.428571428571429</v>
      </c>
      <c r="BE26" s="13">
        <f>AS26/$H$23</f>
        <v>0.3</v>
      </c>
      <c r="BF26" s="13">
        <f>AQ26/$H$23</f>
        <v>1.1000000000000001</v>
      </c>
      <c r="BP26" t="str">
        <f t="shared" si="3"/>
        <v>3-2 &amp;  &amp; 1 &amp; 1 &amp; 1 &amp; 1 &amp; 1 &amp; 1 &amp; 1 &amp; 1 &amp; 1 &amp; 3 &amp; 3 &amp; 0.3 &amp; 1 \\ \hline</v>
      </c>
    </row>
    <row r="27" spans="1:68" ht="16">
      <c r="A27" t="s">
        <v>308</v>
      </c>
      <c r="C27" s="310"/>
      <c r="K27" s="47" t="s">
        <v>381</v>
      </c>
      <c r="L27" s="77" t="s">
        <v>423</v>
      </c>
      <c r="N27" s="81">
        <v>21</v>
      </c>
      <c r="O27" s="81">
        <v>21</v>
      </c>
      <c r="P27" s="129">
        <f>N27/$F$23</f>
        <v>1</v>
      </c>
      <c r="Q27" s="129">
        <f>N27/O27</f>
        <v>1</v>
      </c>
      <c r="R27" s="127">
        <f>2*(P27*Q27)/(P27+Q27)</f>
        <v>1</v>
      </c>
      <c r="T27" s="81">
        <v>4</v>
      </c>
      <c r="U27" s="81">
        <v>4</v>
      </c>
      <c r="V27" s="129">
        <f>T27/$G$23</f>
        <v>1</v>
      </c>
      <c r="W27" s="129">
        <f>T27/U27</f>
        <v>1</v>
      </c>
      <c r="X27" s="127">
        <f>2*(V27*W27)/(V27+W27)</f>
        <v>1</v>
      </c>
      <c r="Z27" s="81">
        <v>21</v>
      </c>
      <c r="AA27" s="81">
        <v>21</v>
      </c>
      <c r="AB27" s="129">
        <f>Z27/$I$23</f>
        <v>1</v>
      </c>
      <c r="AC27" s="129">
        <f>Z27/AA27</f>
        <v>1</v>
      </c>
      <c r="AD27" s="127">
        <f>2*(AB27*AC27)/(AB27+AC27)</f>
        <v>1</v>
      </c>
      <c r="AF27">
        <v>2</v>
      </c>
      <c r="AG27">
        <v>2</v>
      </c>
      <c r="AH27" s="127">
        <f>AF27/$H$23</f>
        <v>0.2</v>
      </c>
      <c r="AI27" s="127">
        <f>AF27/AG27</f>
        <v>1</v>
      </c>
      <c r="AL27" s="122">
        <v>0</v>
      </c>
      <c r="AM27" s="101">
        <v>0</v>
      </c>
      <c r="AN27">
        <v>215</v>
      </c>
      <c r="AO27">
        <v>14</v>
      </c>
      <c r="AP27" s="101">
        <v>12</v>
      </c>
      <c r="AQ27" s="101">
        <v>12</v>
      </c>
      <c r="AR27">
        <v>2</v>
      </c>
      <c r="AS27">
        <v>2</v>
      </c>
      <c r="AT27">
        <v>0</v>
      </c>
      <c r="AU27" s="119">
        <v>10</v>
      </c>
      <c r="AV27" s="101">
        <f>($F$16-M27)/$F$16</f>
        <v>1</v>
      </c>
      <c r="AX27" s="101">
        <f>($G$16-AM27)/$G$16</f>
        <v>1</v>
      </c>
      <c r="AY27" s="101">
        <f>AQ27/AP27</f>
        <v>1</v>
      </c>
      <c r="AZ27" s="101">
        <f>AS27/AR27</f>
        <v>1</v>
      </c>
      <c r="BA27" s="85">
        <f>(AV27+AX27+AY27+AZ27)/4</f>
        <v>1</v>
      </c>
      <c r="BB27" s="13">
        <f>AO27/$H$23</f>
        <v>1.4</v>
      </c>
      <c r="BC27" s="118">
        <f>AU27/AO27</f>
        <v>0.7142857142857143</v>
      </c>
      <c r="BD27" s="13">
        <f>AN27/AO27</f>
        <v>15.357142857142858</v>
      </c>
      <c r="BE27" s="13">
        <f>AS27/$H$23</f>
        <v>0.2</v>
      </c>
      <c r="BF27" s="13">
        <f>AQ27/$H$23</f>
        <v>1.2</v>
      </c>
      <c r="BP27" t="str">
        <f t="shared" si="3"/>
        <v>3-2 &amp;  &amp; 1 &amp; 1 &amp; 1 &amp; 1 &amp; 1 &amp; 1 &amp; 1 &amp; 1 &amp; 1 &amp; 2 &amp; 2 &amp; 0.2 &amp; 1 \\ \hline</v>
      </c>
    </row>
    <row r="28" spans="1:68" ht="16">
      <c r="A28" t="s">
        <v>309</v>
      </c>
      <c r="C28" s="310"/>
      <c r="K28" s="47" t="s">
        <v>382</v>
      </c>
      <c r="L28" s="77" t="s">
        <v>424</v>
      </c>
      <c r="N28" s="81">
        <v>21</v>
      </c>
      <c r="O28" s="81">
        <v>21</v>
      </c>
      <c r="P28" s="129">
        <f>N28/$F$23</f>
        <v>1</v>
      </c>
      <c r="Q28" s="129">
        <f>N28/O28</f>
        <v>1</v>
      </c>
      <c r="R28" s="127">
        <f>2*(P28*Q28)/(P28+Q28)</f>
        <v>1</v>
      </c>
      <c r="T28" s="81">
        <v>4</v>
      </c>
      <c r="U28" s="81">
        <v>4</v>
      </c>
      <c r="V28" s="129">
        <f>T28/$G$23</f>
        <v>1</v>
      </c>
      <c r="W28" s="129">
        <f>T28/U28</f>
        <v>1</v>
      </c>
      <c r="X28" s="127">
        <f>2*(V28*W28)/(V28+W28)</f>
        <v>1</v>
      </c>
      <c r="Z28" s="81">
        <v>21</v>
      </c>
      <c r="AA28" s="81">
        <v>21</v>
      </c>
      <c r="AB28" s="129">
        <f>Z28/$I$23</f>
        <v>1</v>
      </c>
      <c r="AC28" s="129">
        <f>Z28/AA28</f>
        <v>1</v>
      </c>
      <c r="AD28" s="127">
        <f>2*(AB28*AC28)/(AB28+AC28)</f>
        <v>1</v>
      </c>
      <c r="AF28">
        <v>4</v>
      </c>
      <c r="AG28">
        <v>5</v>
      </c>
      <c r="AH28" s="127">
        <f>AF28/$H$23</f>
        <v>0.4</v>
      </c>
      <c r="AI28" s="127">
        <f>AF28/AG28</f>
        <v>0.8</v>
      </c>
      <c r="AL28" s="122">
        <v>0</v>
      </c>
      <c r="AM28" s="101">
        <v>0</v>
      </c>
      <c r="AN28">
        <v>295</v>
      </c>
      <c r="AO28">
        <v>17</v>
      </c>
      <c r="AP28" s="101">
        <v>12</v>
      </c>
      <c r="AQ28" s="101">
        <v>12</v>
      </c>
      <c r="AR28">
        <v>5</v>
      </c>
      <c r="AS28">
        <v>5</v>
      </c>
      <c r="AT28">
        <v>0</v>
      </c>
      <c r="AU28" s="119">
        <v>9</v>
      </c>
      <c r="AV28" s="101">
        <f>($F$16-M28)/$F$16</f>
        <v>1</v>
      </c>
      <c r="AX28" s="101">
        <f>($G$16-AM28)/$G$16</f>
        <v>1</v>
      </c>
      <c r="AY28" s="101">
        <f>AQ28/AP28</f>
        <v>1</v>
      </c>
      <c r="AZ28" s="101">
        <f>AS28/AR28</f>
        <v>1</v>
      </c>
      <c r="BA28" s="85">
        <f>(AV28+AX28+AY28+AZ28)/4</f>
        <v>1</v>
      </c>
      <c r="BB28" s="13">
        <f>AO28/$H$23</f>
        <v>1.7</v>
      </c>
      <c r="BC28" s="118">
        <f>AU28/AO28</f>
        <v>0.52941176470588236</v>
      </c>
      <c r="BD28" s="13">
        <f>AN28/AO28</f>
        <v>17.352941176470587</v>
      </c>
      <c r="BE28" s="13">
        <f>AS28/$H$23</f>
        <v>0.5</v>
      </c>
      <c r="BF28" s="13">
        <f>AQ28/$H$23</f>
        <v>1.2</v>
      </c>
      <c r="BP28" t="str">
        <f t="shared" si="3"/>
        <v>3-2 &amp;  &amp; 1 &amp; 1 &amp; 1 &amp; 1 &amp; 1 &amp; 1 &amp; 1 &amp; 1 &amp; 1 &amp; 4 &amp; 5 &amp; 0.4 &amp; 0.8 \\ \hline</v>
      </c>
    </row>
    <row r="29" spans="1:68">
      <c r="C29" s="98"/>
      <c r="P29" s="129"/>
      <c r="Q29" s="129"/>
      <c r="R29" s="127"/>
      <c r="V29" s="129"/>
      <c r="W29" s="129"/>
      <c r="X29" s="127"/>
      <c r="AB29" s="129"/>
      <c r="AC29" s="129"/>
      <c r="AD29" s="127"/>
      <c r="AF29"/>
      <c r="AG29"/>
      <c r="AH29" s="127"/>
      <c r="AI29" s="131"/>
    </row>
    <row r="30" spans="1:68" s="73" customFormat="1">
      <c r="A30" s="73" t="s">
        <v>316</v>
      </c>
      <c r="B30" s="94">
        <v>45178</v>
      </c>
      <c r="C30" s="93" t="s">
        <v>173</v>
      </c>
      <c r="D30" s="78">
        <f>VLOOKUP($C$30,Overview!$Q$2:$AS$64,23,FALSE)</f>
        <v>0.22869210498506434</v>
      </c>
      <c r="E30" s="78" t="str">
        <f>VLOOKUP($C$30,Overview!$Q$2:$AS$64,24,FALSE)</f>
        <v>low</v>
      </c>
      <c r="F30" s="75">
        <f>VLOOKUP(C30,Overview!$Q$2:$AS$64,13,FALSE)</f>
        <v>19</v>
      </c>
      <c r="G30" s="75">
        <f>VLOOKUP(C30,Overview!$Q$2:$AS$64,16,FALSE)</f>
        <v>9</v>
      </c>
      <c r="H30" s="75">
        <f>VLOOKUP(C30,Overview!$Q$2:$AS$64,18,FALSE)</f>
        <v>8</v>
      </c>
      <c r="I30" s="75">
        <f>VLOOKUP($C$30,Overview!$Q$2:$AS$64,19,FALSE)</f>
        <v>17</v>
      </c>
      <c r="K30" s="91"/>
      <c r="M30" s="114"/>
      <c r="N30" s="80"/>
      <c r="O30" s="80"/>
      <c r="P30" s="130"/>
      <c r="Q30" s="130"/>
      <c r="R30" s="128"/>
      <c r="S30" s="114"/>
      <c r="T30" s="80"/>
      <c r="U30" s="80"/>
      <c r="V30" s="130"/>
      <c r="W30" s="130"/>
      <c r="X30" s="128"/>
      <c r="Y30" s="114"/>
      <c r="Z30" s="80"/>
      <c r="AA30" s="80"/>
      <c r="AB30" s="130"/>
      <c r="AC30" s="130"/>
      <c r="AD30" s="128"/>
      <c r="AE30" s="114"/>
      <c r="AH30" s="128"/>
      <c r="AI30" s="128"/>
      <c r="AJ30" s="80"/>
      <c r="AK30" s="114"/>
      <c r="AL30" s="121"/>
      <c r="AM30" s="100"/>
      <c r="AP30" s="100"/>
      <c r="AQ30" s="100"/>
      <c r="AU30" s="120"/>
      <c r="AV30" s="100"/>
      <c r="AW30" s="100"/>
      <c r="AX30" s="100"/>
      <c r="AY30" s="100"/>
      <c r="AZ30" s="100"/>
      <c r="BA30" s="84"/>
      <c r="BC30" s="100"/>
      <c r="BP30"/>
    </row>
    <row r="31" spans="1:68" ht="16">
      <c r="A31" t="s">
        <v>305</v>
      </c>
      <c r="C31" s="310"/>
      <c r="K31" s="47" t="s">
        <v>378</v>
      </c>
      <c r="L31" s="77" t="s">
        <v>425</v>
      </c>
      <c r="N31" s="81">
        <f>O31-2</f>
        <v>17</v>
      </c>
      <c r="O31" s="81">
        <f>$F$30-0</f>
        <v>19</v>
      </c>
      <c r="P31" s="129">
        <f>N31/$F$30</f>
        <v>0.89473684210526316</v>
      </c>
      <c r="Q31" s="129">
        <f>N31/O31</f>
        <v>0.89473684210526316</v>
      </c>
      <c r="R31" s="127">
        <f>2*(P31*Q31)/(P31+Q31)</f>
        <v>0.89473684210526316</v>
      </c>
      <c r="T31" s="81">
        <f>U31-0</f>
        <v>7</v>
      </c>
      <c r="U31" s="81">
        <f>G30-2</f>
        <v>7</v>
      </c>
      <c r="V31" s="129">
        <f>T31/$G$30</f>
        <v>0.77777777777777779</v>
      </c>
      <c r="W31" s="129">
        <f>T31/U31</f>
        <v>1</v>
      </c>
      <c r="X31" s="127">
        <f>2*(V31*W31)/(V31+W31)</f>
        <v>0.87500000000000011</v>
      </c>
      <c r="Z31" s="81">
        <f>AA31-5</f>
        <v>12</v>
      </c>
      <c r="AA31" s="81">
        <f>$I$30-0</f>
        <v>17</v>
      </c>
      <c r="AB31" s="129">
        <f>Z31/$I$30</f>
        <v>0.70588235294117652</v>
      </c>
      <c r="AC31" s="129">
        <f>Z31/AA31</f>
        <v>0.70588235294117652</v>
      </c>
      <c r="AD31" s="127">
        <f>2*(AB31*AC31)/(AB31+AC31)</f>
        <v>0.70588235294117652</v>
      </c>
      <c r="AF31">
        <v>2</v>
      </c>
      <c r="AG31">
        <v>2</v>
      </c>
      <c r="AH31" s="127">
        <f>AF31/$H$30</f>
        <v>0.25</v>
      </c>
      <c r="AI31" s="127">
        <f>AF31/AG31</f>
        <v>1</v>
      </c>
      <c r="AL31" s="122">
        <v>0</v>
      </c>
      <c r="AM31" s="101">
        <v>0</v>
      </c>
      <c r="AN31">
        <v>276</v>
      </c>
      <c r="AO31">
        <v>13</v>
      </c>
      <c r="AP31" s="101">
        <v>11</v>
      </c>
      <c r="AQ31" s="101">
        <v>11</v>
      </c>
      <c r="AR31">
        <v>2</v>
      </c>
      <c r="AS31">
        <v>2</v>
      </c>
      <c r="AT31">
        <v>0</v>
      </c>
      <c r="AU31" s="119">
        <v>10</v>
      </c>
      <c r="AV31" s="101">
        <f>($F$30-M31)/$F$30</f>
        <v>1</v>
      </c>
      <c r="AX31" s="101">
        <f>($G$30-AM31)/$G$30</f>
        <v>1</v>
      </c>
      <c r="AY31" s="101">
        <f>AQ31/AP31</f>
        <v>1</v>
      </c>
      <c r="AZ31" s="101">
        <f>AS31/AR31</f>
        <v>1</v>
      </c>
      <c r="BA31" s="85">
        <f>(AV31+AX31+AY31+AZ31)/4</f>
        <v>1</v>
      </c>
      <c r="BB31" s="13">
        <f>AO31/$H$30</f>
        <v>1.625</v>
      </c>
      <c r="BC31" s="118">
        <f>AU31/AO31</f>
        <v>0.76923076923076927</v>
      </c>
      <c r="BD31" s="13">
        <f>AN31/AO31</f>
        <v>21.23076923076923</v>
      </c>
      <c r="BE31" s="13">
        <f>AS31/$H$30</f>
        <v>0.25</v>
      </c>
      <c r="BF31" s="13">
        <f>AQ31/$H$30</f>
        <v>1.375</v>
      </c>
      <c r="BP31" t="str">
        <f>_xlfn.CONCAT($C$30," &amp; ",C31," &amp; ",P31," &amp; ",Q31," &amp; ",R31," &amp; ",V31," &amp; ",W31," &amp; ",X31," &amp; ",AB31," &amp; ",AC31," &amp; ",AD31," &amp; ",AF31," &amp; ",AG31," &amp; ",AH31," &amp; ",AI31, " \\ \hline")</f>
        <v>10-5 &amp;  &amp; 0.894736842105263 &amp; 0.894736842105263 &amp; 0.894736842105263 &amp; 0.777777777777778 &amp; 1 &amp; 0.875 &amp; 0.705882352941177 &amp; 0.705882352941177 &amp; 0.705882352941177 &amp; 2 &amp; 2 &amp; 0.25 &amp; 1 \\ \hline</v>
      </c>
    </row>
    <row r="32" spans="1:68" ht="16">
      <c r="A32" t="s">
        <v>306</v>
      </c>
      <c r="C32" s="310"/>
      <c r="K32" s="47" t="s">
        <v>379</v>
      </c>
      <c r="L32" s="109" t="s">
        <v>426</v>
      </c>
      <c r="N32" s="81">
        <f>O32-6</f>
        <v>13</v>
      </c>
      <c r="O32" s="81">
        <f>$F$30-0</f>
        <v>19</v>
      </c>
      <c r="P32" s="129">
        <f>N32/$F$30</f>
        <v>0.68421052631578949</v>
      </c>
      <c r="Q32" s="129">
        <f>N32/O32</f>
        <v>0.68421052631578949</v>
      </c>
      <c r="R32" s="127">
        <f>2*(P32*Q32)/(P32+Q32)</f>
        <v>0.68421052631578949</v>
      </c>
      <c r="T32" s="81">
        <f>U32-0</f>
        <v>5</v>
      </c>
      <c r="U32" s="81">
        <f>G30-4</f>
        <v>5</v>
      </c>
      <c r="V32" s="129">
        <f>T32/$G$30</f>
        <v>0.55555555555555558</v>
      </c>
      <c r="W32" s="129">
        <f>T32/U32</f>
        <v>1</v>
      </c>
      <c r="X32" s="127">
        <f>2*(V32*W32)/(V32+W32)</f>
        <v>0.7142857142857143</v>
      </c>
      <c r="Z32" s="81">
        <f>AA32-8</f>
        <v>9</v>
      </c>
      <c r="AA32" s="81">
        <f>$I$30-0</f>
        <v>17</v>
      </c>
      <c r="AB32" s="129">
        <f>Z32/$I$30</f>
        <v>0.52941176470588236</v>
      </c>
      <c r="AC32" s="129">
        <f>Z32/AA32</f>
        <v>0.52941176470588236</v>
      </c>
      <c r="AD32" s="127">
        <f>2*(AB32*AC32)/(AB32+AC32)</f>
        <v>0.52941176470588236</v>
      </c>
      <c r="AF32">
        <v>5</v>
      </c>
      <c r="AG32">
        <v>5</v>
      </c>
      <c r="AH32" s="127">
        <f>AF32/$H$30</f>
        <v>0.625</v>
      </c>
      <c r="AI32" s="127">
        <f>AF32/AG32</f>
        <v>1</v>
      </c>
      <c r="AL32" s="122">
        <v>0</v>
      </c>
      <c r="AM32" s="101">
        <v>0</v>
      </c>
      <c r="AN32">
        <v>295</v>
      </c>
      <c r="AO32">
        <v>17</v>
      </c>
      <c r="AP32" s="101">
        <v>10</v>
      </c>
      <c r="AQ32" s="101">
        <v>10</v>
      </c>
      <c r="AR32">
        <v>5</v>
      </c>
      <c r="AS32">
        <v>5</v>
      </c>
      <c r="AT32">
        <v>0</v>
      </c>
      <c r="AU32" s="119">
        <v>7</v>
      </c>
      <c r="AV32" s="101">
        <f>($F$16-M32)/$F$16</f>
        <v>1</v>
      </c>
      <c r="AX32" s="101">
        <f>($G$16-AM32)/$G$16</f>
        <v>1</v>
      </c>
      <c r="AY32" s="101">
        <f>AQ32/AP32</f>
        <v>1</v>
      </c>
      <c r="AZ32" s="101">
        <f>AS32/AR32</f>
        <v>1</v>
      </c>
      <c r="BA32" s="85">
        <f>(AV32+AX32+AY32+AZ32)/4</f>
        <v>1</v>
      </c>
      <c r="BB32" s="13">
        <f>AO32/$H$30</f>
        <v>2.125</v>
      </c>
      <c r="BC32" s="118">
        <f>AU32/AO32</f>
        <v>0.41176470588235292</v>
      </c>
      <c r="BD32" s="13">
        <f>AN32/AO32</f>
        <v>17.352941176470587</v>
      </c>
      <c r="BE32" s="13">
        <f>AS32/$H$30</f>
        <v>0.625</v>
      </c>
      <c r="BF32" s="13">
        <f>AQ32/$H$30</f>
        <v>1.25</v>
      </c>
      <c r="BP32" t="str">
        <f t="shared" ref="BP32:BP35" si="4">_xlfn.CONCAT($C$30," &amp; ",C32," &amp; ",P32," &amp; ",Q32," &amp; ",R32," &amp; ",V32," &amp; ",W32," &amp; ",X32," &amp; ",AB32," &amp; ",AC32," &amp; ",AD32," &amp; ",AF32," &amp; ",AG32," &amp; ",AH32," &amp; ",AI32, " \\ \hline")</f>
        <v>10-5 &amp;  &amp; 0.684210526315789 &amp; 0.684210526315789 &amp; 0.684210526315789 &amp; 0.555555555555556 &amp; 1 &amp; 0.714285714285714 &amp; 0.529411764705882 &amp; 0.529411764705882 &amp; 0.529411764705882 &amp; 5 &amp; 5 &amp; 0.625 &amp; 1 \\ \hline</v>
      </c>
    </row>
    <row r="33" spans="1:68" ht="16">
      <c r="A33" t="s">
        <v>307</v>
      </c>
      <c r="C33" s="310"/>
      <c r="K33" s="47" t="s">
        <v>380</v>
      </c>
      <c r="L33" s="77" t="s">
        <v>427</v>
      </c>
      <c r="N33" s="81">
        <f>O33-2</f>
        <v>17</v>
      </c>
      <c r="O33" s="81">
        <f>$F$30-0</f>
        <v>19</v>
      </c>
      <c r="P33" s="129">
        <f>N33/$F$30</f>
        <v>0.89473684210526316</v>
      </c>
      <c r="Q33" s="129">
        <f>N33/O33</f>
        <v>0.89473684210526316</v>
      </c>
      <c r="R33" s="127">
        <f>2*(P33*Q33)/(P33+Q33)</f>
        <v>0.89473684210526316</v>
      </c>
      <c r="T33" s="81">
        <f>U33-0</f>
        <v>7</v>
      </c>
      <c r="U33" s="81">
        <f>$G$30-2</f>
        <v>7</v>
      </c>
      <c r="V33" s="129">
        <f>T33/$G$30</f>
        <v>0.77777777777777779</v>
      </c>
      <c r="W33" s="129">
        <f>T33/U33</f>
        <v>1</v>
      </c>
      <c r="X33" s="127">
        <f>2*(V33*W33)/(V33+W33)</f>
        <v>0.87500000000000011</v>
      </c>
      <c r="Z33" s="81">
        <f>AA33-8</f>
        <v>9</v>
      </c>
      <c r="AA33" s="81">
        <f>$I$30-0</f>
        <v>17</v>
      </c>
      <c r="AB33" s="129">
        <f>Z33/$I$30</f>
        <v>0.52941176470588236</v>
      </c>
      <c r="AC33" s="129">
        <f>Z33/AA33</f>
        <v>0.52941176470588236</v>
      </c>
      <c r="AD33" s="127">
        <f>2*(AB33*AC33)/(AB33+AC33)</f>
        <v>0.52941176470588236</v>
      </c>
      <c r="AF33">
        <v>6</v>
      </c>
      <c r="AG33">
        <v>6</v>
      </c>
      <c r="AH33" s="127">
        <f>AF33/$H$30</f>
        <v>0.75</v>
      </c>
      <c r="AI33" s="127">
        <f>AF33/AG33</f>
        <v>1</v>
      </c>
      <c r="AL33" s="122">
        <v>0</v>
      </c>
      <c r="AM33" s="101">
        <v>0</v>
      </c>
      <c r="AN33">
        <v>344</v>
      </c>
      <c r="AO33">
        <v>19</v>
      </c>
      <c r="AP33" s="101">
        <v>13</v>
      </c>
      <c r="AQ33" s="101">
        <v>13</v>
      </c>
      <c r="AR33">
        <v>5</v>
      </c>
      <c r="AS33">
        <v>5</v>
      </c>
      <c r="AT33">
        <v>0</v>
      </c>
      <c r="AU33" s="119">
        <v>7</v>
      </c>
      <c r="AV33" s="101">
        <f>($F$16-M33)/$F$16</f>
        <v>1</v>
      </c>
      <c r="AX33" s="101">
        <f>($G$16-AM33)/$G$16</f>
        <v>1</v>
      </c>
      <c r="AY33" s="101">
        <f>AQ33/AP33</f>
        <v>1</v>
      </c>
      <c r="AZ33" s="101">
        <f>AS33/AR33</f>
        <v>1</v>
      </c>
      <c r="BA33" s="85">
        <f>(AV33+AX33+AY33+AZ33)/4</f>
        <v>1</v>
      </c>
      <c r="BB33" s="13">
        <f>AO33/$H$30</f>
        <v>2.375</v>
      </c>
      <c r="BC33" s="118">
        <f>AU33/AO33</f>
        <v>0.36842105263157893</v>
      </c>
      <c r="BD33" s="13">
        <f>AN33/AO33</f>
        <v>18.105263157894736</v>
      </c>
      <c r="BE33" s="13">
        <f>AS33/$H$30</f>
        <v>0.625</v>
      </c>
      <c r="BF33" s="13">
        <f>AQ33/$H$30</f>
        <v>1.625</v>
      </c>
      <c r="BP33" t="str">
        <f t="shared" si="4"/>
        <v>10-5 &amp;  &amp; 0.894736842105263 &amp; 0.894736842105263 &amp; 0.894736842105263 &amp; 0.777777777777778 &amp; 1 &amp; 0.875 &amp; 0.529411764705882 &amp; 0.529411764705882 &amp; 0.529411764705882 &amp; 6 &amp; 6 &amp; 0.75 &amp; 1 \\ \hline</v>
      </c>
    </row>
    <row r="34" spans="1:68" ht="16">
      <c r="A34" t="s">
        <v>308</v>
      </c>
      <c r="C34" s="310"/>
      <c r="K34" s="47" t="s">
        <v>381</v>
      </c>
      <c r="L34" s="77" t="s">
        <v>428</v>
      </c>
      <c r="N34" s="81">
        <f>O34-1</f>
        <v>16</v>
      </c>
      <c r="O34" s="81">
        <f>$F$30-2</f>
        <v>17</v>
      </c>
      <c r="P34" s="129">
        <f>N34/$F$30</f>
        <v>0.84210526315789469</v>
      </c>
      <c r="Q34" s="129">
        <f>N34/O34</f>
        <v>0.94117647058823528</v>
      </c>
      <c r="R34" s="127">
        <f>2*(P34*Q34)/(P34+Q34)</f>
        <v>0.88888888888888884</v>
      </c>
      <c r="T34" s="81">
        <f>U34-0</f>
        <v>8</v>
      </c>
      <c r="U34" s="81">
        <f>G30-1</f>
        <v>8</v>
      </c>
      <c r="V34" s="129">
        <f>T34/$G$30</f>
        <v>0.88888888888888884</v>
      </c>
      <c r="W34" s="129">
        <f>T34/U34</f>
        <v>1</v>
      </c>
      <c r="X34" s="127">
        <f>2*(V34*W34)/(V34+W34)</f>
        <v>0.94117647058823528</v>
      </c>
      <c r="Z34" s="81">
        <f>AA34-0</f>
        <v>15</v>
      </c>
      <c r="AA34" s="81">
        <f>$I$30-2</f>
        <v>15</v>
      </c>
      <c r="AB34" s="129">
        <f>Z34/$I$30</f>
        <v>0.88235294117647056</v>
      </c>
      <c r="AC34" s="129">
        <f>Z34/AA34</f>
        <v>1</v>
      </c>
      <c r="AD34" s="127">
        <f>2*(AB34*AC34)/(AB34+AC34)</f>
        <v>0.9375</v>
      </c>
      <c r="AF34">
        <v>7</v>
      </c>
      <c r="AG34">
        <v>7</v>
      </c>
      <c r="AH34" s="127">
        <f>AF34/$H$30</f>
        <v>0.875</v>
      </c>
      <c r="AI34" s="127">
        <f>AF34/AG34</f>
        <v>1</v>
      </c>
      <c r="AL34" s="122">
        <v>0</v>
      </c>
      <c r="AM34" s="101">
        <v>0</v>
      </c>
      <c r="AN34">
        <v>323</v>
      </c>
      <c r="AO34">
        <v>16</v>
      </c>
      <c r="AP34" s="101">
        <v>9</v>
      </c>
      <c r="AQ34" s="101">
        <v>9</v>
      </c>
      <c r="AR34">
        <v>7</v>
      </c>
      <c r="AS34">
        <v>7</v>
      </c>
      <c r="AT34">
        <v>0</v>
      </c>
      <c r="AU34" s="119">
        <v>11</v>
      </c>
      <c r="AV34" s="101">
        <f>($F$16-M34)/$F$16</f>
        <v>1</v>
      </c>
      <c r="AX34" s="101">
        <f>($G$16-AM34)/$G$16</f>
        <v>1</v>
      </c>
      <c r="AY34" s="101">
        <f>AQ34/AP34</f>
        <v>1</v>
      </c>
      <c r="AZ34" s="101">
        <f>AS34/AR34</f>
        <v>1</v>
      </c>
      <c r="BA34" s="85">
        <f>(AV34+AX34+AY34+AZ34)/4</f>
        <v>1</v>
      </c>
      <c r="BB34" s="13">
        <f>AO34/$H$30</f>
        <v>2</v>
      </c>
      <c r="BC34" s="118">
        <f>AU34/AO34</f>
        <v>0.6875</v>
      </c>
      <c r="BD34" s="13">
        <f>AN34/AO34</f>
        <v>20.1875</v>
      </c>
      <c r="BE34" s="13">
        <f>AS34/$H$30</f>
        <v>0.875</v>
      </c>
      <c r="BF34" s="13">
        <f>AQ34/$H$30</f>
        <v>1.125</v>
      </c>
      <c r="BP34" t="str">
        <f t="shared" si="4"/>
        <v>10-5 &amp;  &amp; 0.842105263157895 &amp; 0.941176470588235 &amp; 0.888888888888889 &amp; 0.888888888888889 &amp; 1 &amp; 0.941176470588235 &amp; 0.882352941176471 &amp; 1 &amp; 0.9375 &amp; 7 &amp; 7 &amp; 0.875 &amp; 1 \\ \hline</v>
      </c>
    </row>
    <row r="35" spans="1:68" ht="16">
      <c r="A35" t="s">
        <v>309</v>
      </c>
      <c r="C35" s="310"/>
      <c r="K35" s="47" t="s">
        <v>382</v>
      </c>
      <c r="L35" s="77" t="s">
        <v>429</v>
      </c>
      <c r="N35" s="81">
        <f>O35-2</f>
        <v>17</v>
      </c>
      <c r="O35" s="81">
        <f>$F$30-0</f>
        <v>19</v>
      </c>
      <c r="P35" s="129">
        <f>N35/$F$30</f>
        <v>0.89473684210526316</v>
      </c>
      <c r="Q35" s="129">
        <f>N35/O35</f>
        <v>0.89473684210526316</v>
      </c>
      <c r="R35" s="127">
        <f>2*(P35*Q35)/(P35+Q35)</f>
        <v>0.89473684210526316</v>
      </c>
      <c r="T35" s="81">
        <f>U35-0</f>
        <v>7</v>
      </c>
      <c r="U35" s="81">
        <f>$G$30-2</f>
        <v>7</v>
      </c>
      <c r="V35" s="129">
        <f>T35/$G$30</f>
        <v>0.77777777777777779</v>
      </c>
      <c r="W35" s="129">
        <f>T35/U35</f>
        <v>1</v>
      </c>
      <c r="X35" s="127">
        <f>2*(V35*W35)/(V35+W35)</f>
        <v>0.87500000000000011</v>
      </c>
      <c r="Z35" s="81">
        <f>AA35-8</f>
        <v>9</v>
      </c>
      <c r="AA35" s="81">
        <f>$I$30-0</f>
        <v>17</v>
      </c>
      <c r="AB35" s="129">
        <f>Z35/$I$30</f>
        <v>0.52941176470588236</v>
      </c>
      <c r="AC35" s="129">
        <f>Z35/AA35</f>
        <v>0.52941176470588236</v>
      </c>
      <c r="AD35" s="127">
        <f>2*(AB35*AC35)/(AB35+AC35)</f>
        <v>0.52941176470588236</v>
      </c>
      <c r="AF35">
        <v>8</v>
      </c>
      <c r="AG35">
        <v>8</v>
      </c>
      <c r="AH35" s="127">
        <f>AF35/$H$30</f>
        <v>1</v>
      </c>
      <c r="AI35" s="127">
        <f>AF35/AG35</f>
        <v>1</v>
      </c>
      <c r="AL35" s="122">
        <v>0</v>
      </c>
      <c r="AM35" s="101">
        <v>0</v>
      </c>
      <c r="AN35">
        <v>359</v>
      </c>
      <c r="AO35">
        <v>19</v>
      </c>
      <c r="AP35" s="101">
        <v>13</v>
      </c>
      <c r="AQ35" s="101">
        <v>13</v>
      </c>
      <c r="AR35">
        <v>6</v>
      </c>
      <c r="AS35">
        <v>6</v>
      </c>
      <c r="AT35">
        <v>0</v>
      </c>
      <c r="AU35" s="119">
        <v>10</v>
      </c>
      <c r="AV35" s="101">
        <f>($F$16-M35)/$F$16</f>
        <v>1</v>
      </c>
      <c r="AX35" s="101">
        <f>($G$16-AM35)/$G$16</f>
        <v>1</v>
      </c>
      <c r="AY35" s="101">
        <f>AQ35/AP35</f>
        <v>1</v>
      </c>
      <c r="AZ35" s="101">
        <f>AS35/AR35</f>
        <v>1</v>
      </c>
      <c r="BA35" s="85">
        <f>(AV35+AX35+AY35+AZ35)/4</f>
        <v>1</v>
      </c>
      <c r="BB35" s="13">
        <f>AO35/$H$30</f>
        <v>2.375</v>
      </c>
      <c r="BC35" s="118">
        <f>AU35/AO35</f>
        <v>0.52631578947368418</v>
      </c>
      <c r="BD35" s="13">
        <f>AN35/AO35</f>
        <v>18.894736842105264</v>
      </c>
      <c r="BE35" s="13">
        <f>AS35/$H$30</f>
        <v>0.75</v>
      </c>
      <c r="BF35" s="13">
        <f>AQ35/$H$30</f>
        <v>1.625</v>
      </c>
      <c r="BP35" t="str">
        <f t="shared" si="4"/>
        <v>10-5 &amp;  &amp; 0.894736842105263 &amp; 0.894736842105263 &amp; 0.894736842105263 &amp; 0.777777777777778 &amp; 1 &amp; 0.875 &amp; 0.529411764705882 &amp; 0.529411764705882 &amp; 0.529411764705882 &amp; 8 &amp; 8 &amp; 1 &amp; 1 \\ \hline</v>
      </c>
    </row>
    <row r="36" spans="1:68">
      <c r="C36" s="98"/>
      <c r="K36" s="48"/>
      <c r="L36" s="77"/>
      <c r="P36" s="129"/>
      <c r="Q36" s="129"/>
      <c r="R36" s="127"/>
      <c r="V36" s="129"/>
      <c r="W36" s="129"/>
      <c r="X36" s="127"/>
      <c r="AB36" s="129"/>
      <c r="AC36" s="129"/>
      <c r="AD36" s="127"/>
      <c r="AF36"/>
      <c r="AG36"/>
      <c r="AH36" s="127"/>
      <c r="AI36" s="127"/>
      <c r="BB36" s="13"/>
      <c r="BC36" s="118"/>
      <c r="BD36" s="13"/>
      <c r="BE36" s="13"/>
      <c r="BF36" s="13"/>
    </row>
    <row r="37" spans="1:68" s="73" customFormat="1">
      <c r="A37" s="73" t="s">
        <v>319</v>
      </c>
      <c r="B37" s="94">
        <v>45178</v>
      </c>
      <c r="C37" s="93" t="s">
        <v>152</v>
      </c>
      <c r="D37" s="78">
        <f>VLOOKUP($C$37,Overview!$Q$2:$AS$64,23,FALSE)</f>
        <v>0.27921546848638013</v>
      </c>
      <c r="E37" s="78" t="str">
        <f>VLOOKUP($C$37,Overview!$Q$2:$AS$64,24,FALSE)</f>
        <v>low</v>
      </c>
      <c r="F37" s="75">
        <f>VLOOKUP(C37,Overview!$Q$2:$AS$64,13,FALSE)</f>
        <v>20</v>
      </c>
      <c r="G37" s="75">
        <f>VLOOKUP(C37,Overview!$Q$2:$AS$64,16,FALSE)</f>
        <v>8</v>
      </c>
      <c r="H37" s="75">
        <f>VLOOKUP(C37,Overview!$Q$2:$AS$64,18,FALSE)</f>
        <v>8</v>
      </c>
      <c r="I37" s="75">
        <f>VLOOKUP($C$37,Overview!$Q$2:$AS$64,19,FALSE)</f>
        <v>16</v>
      </c>
      <c r="K37" s="91"/>
      <c r="M37" s="114"/>
      <c r="N37" s="80"/>
      <c r="O37" s="80"/>
      <c r="P37" s="130"/>
      <c r="Q37" s="130"/>
      <c r="R37" s="128"/>
      <c r="S37" s="114"/>
      <c r="T37" s="80"/>
      <c r="U37" s="80"/>
      <c r="V37" s="130"/>
      <c r="W37" s="130"/>
      <c r="X37" s="128"/>
      <c r="Y37" s="114"/>
      <c r="Z37" s="80"/>
      <c r="AA37" s="80"/>
      <c r="AB37" s="130"/>
      <c r="AC37" s="130"/>
      <c r="AD37" s="128"/>
      <c r="AE37" s="114"/>
      <c r="AH37" s="128"/>
      <c r="AI37" s="128"/>
      <c r="AJ37" s="80"/>
      <c r="AK37" s="114"/>
      <c r="AL37" s="121"/>
      <c r="AM37" s="100"/>
      <c r="AP37" s="100"/>
      <c r="AQ37" s="100"/>
      <c r="AU37" s="120"/>
      <c r="AV37" s="100"/>
      <c r="AW37" s="100"/>
      <c r="AX37" s="100"/>
      <c r="AY37" s="100"/>
      <c r="AZ37" s="100"/>
      <c r="BA37" s="84"/>
      <c r="BC37" s="100"/>
      <c r="BP37"/>
    </row>
    <row r="38" spans="1:68" ht="16">
      <c r="A38" t="s">
        <v>305</v>
      </c>
      <c r="C38" s="310"/>
      <c r="K38" s="47" t="s">
        <v>378</v>
      </c>
      <c r="L38" s="77" t="s">
        <v>440</v>
      </c>
      <c r="N38" s="81">
        <f>O38-0</f>
        <v>19</v>
      </c>
      <c r="O38" s="81">
        <f>$F$37-1</f>
        <v>19</v>
      </c>
      <c r="P38" s="129">
        <f>N38/$F$37</f>
        <v>0.95</v>
      </c>
      <c r="Q38" s="129">
        <f>N38/O38</f>
        <v>1</v>
      </c>
      <c r="R38" s="127">
        <f>2*(P38*Q38)/(P38+Q38)</f>
        <v>0.97435897435897434</v>
      </c>
      <c r="T38" s="81">
        <f>U38-0</f>
        <v>7</v>
      </c>
      <c r="U38" s="81">
        <f>$G$37-1</f>
        <v>7</v>
      </c>
      <c r="V38" s="129">
        <f>T38/$G$37</f>
        <v>0.875</v>
      </c>
      <c r="W38" s="129">
        <f>T38/U38</f>
        <v>1</v>
      </c>
      <c r="X38" s="127">
        <f>2*(V38*W38)/(V38+W38)</f>
        <v>0.93333333333333335</v>
      </c>
      <c r="Z38" s="81">
        <f>AA38-3</f>
        <v>13</v>
      </c>
      <c r="AA38" s="81">
        <f>$I$37-0</f>
        <v>16</v>
      </c>
      <c r="AB38" s="129">
        <f>Z38/$I$37</f>
        <v>0.8125</v>
      </c>
      <c r="AC38" s="129">
        <f>Z38/AA38</f>
        <v>0.8125</v>
      </c>
      <c r="AD38" s="127">
        <f>2*(AB38*AC38)/(AB38+AC38)</f>
        <v>0.8125</v>
      </c>
      <c r="AF38">
        <v>4</v>
      </c>
      <c r="AG38">
        <v>4</v>
      </c>
      <c r="AH38" s="127">
        <f>AF38/$H$37</f>
        <v>0.5</v>
      </c>
      <c r="AI38" s="127">
        <f>AF38/AG38</f>
        <v>1</v>
      </c>
      <c r="AL38" s="122">
        <v>0</v>
      </c>
      <c r="AM38" s="101">
        <v>0</v>
      </c>
      <c r="AN38">
        <v>255</v>
      </c>
      <c r="AO38">
        <v>12</v>
      </c>
      <c r="AP38" s="101">
        <v>9</v>
      </c>
      <c r="AQ38" s="101">
        <v>9</v>
      </c>
      <c r="AR38">
        <v>2</v>
      </c>
      <c r="AS38">
        <v>2</v>
      </c>
      <c r="AT38">
        <v>1</v>
      </c>
      <c r="AU38" s="119">
        <v>7</v>
      </c>
      <c r="AV38" s="101">
        <f>($F$37-M38)/$F$37</f>
        <v>1</v>
      </c>
      <c r="AX38" s="101">
        <f>($G$37-AM38)/$G$37</f>
        <v>1</v>
      </c>
      <c r="AY38" s="101">
        <f>AQ38/AP38</f>
        <v>1</v>
      </c>
      <c r="AZ38" s="101">
        <f>AS38/AR38</f>
        <v>1</v>
      </c>
      <c r="BA38" s="85">
        <f>(AV38+AX38+AY38+AZ38)/4</f>
        <v>1</v>
      </c>
      <c r="BB38" s="13">
        <f>AO38/$H$37</f>
        <v>1.5</v>
      </c>
      <c r="BC38" s="118">
        <f>AU38/AO38</f>
        <v>0.58333333333333337</v>
      </c>
      <c r="BD38" s="13">
        <f>AN38/AO38</f>
        <v>21.25</v>
      </c>
      <c r="BE38" s="13">
        <f>AS38/$H$37</f>
        <v>0.25</v>
      </c>
      <c r="BF38" s="13">
        <f>AQ38/$H$37</f>
        <v>1.125</v>
      </c>
      <c r="BP38" t="str">
        <f>_xlfn.CONCAT($C$37," &amp; ",C38," &amp; ",P38," &amp; ",Q38," &amp; ",R38," &amp; ",V38," &amp; ",W38," &amp; ",X38," &amp; ",AB38," &amp; ",AC38," &amp; ",AD38," &amp; ",AF38," &amp; ",AG38," &amp; ",AH38," &amp; ",AI38, " \\ \hline")</f>
        <v>5-2 &amp;  &amp; 0.95 &amp; 1 &amp; 0.974358974358974 &amp; 0.875 &amp; 1 &amp; 0.933333333333333 &amp; 0.8125 &amp; 0.8125 &amp; 0.8125 &amp; 4 &amp; 4 &amp; 0.5 &amp; 1 \\ \hline</v>
      </c>
    </row>
    <row r="39" spans="1:68" ht="16">
      <c r="A39" t="s">
        <v>306</v>
      </c>
      <c r="C39" s="310"/>
      <c r="K39" s="47" t="s">
        <v>379</v>
      </c>
      <c r="L39" s="77" t="s">
        <v>441</v>
      </c>
      <c r="N39" s="81">
        <f>O39-0</f>
        <v>19</v>
      </c>
      <c r="O39" s="81">
        <f>$F$37-1</f>
        <v>19</v>
      </c>
      <c r="P39" s="129">
        <f>N39/$F$37</f>
        <v>0.95</v>
      </c>
      <c r="Q39" s="129">
        <f>N39/O39</f>
        <v>1</v>
      </c>
      <c r="R39" s="127">
        <f>2*(P39*Q39)/(P39+Q39)</f>
        <v>0.97435897435897434</v>
      </c>
      <c r="T39" s="81">
        <f>U39-0</f>
        <v>7</v>
      </c>
      <c r="U39" s="81">
        <f>$G$37-1</f>
        <v>7</v>
      </c>
      <c r="V39" s="129">
        <f>T39/$G$37</f>
        <v>0.875</v>
      </c>
      <c r="W39" s="129">
        <f>T39/U39</f>
        <v>1</v>
      </c>
      <c r="X39" s="127">
        <f>2*(V39*W39)/(V39+W39)</f>
        <v>0.93333333333333335</v>
      </c>
      <c r="Z39" s="81">
        <f>AA39-2</f>
        <v>14</v>
      </c>
      <c r="AA39" s="81">
        <f>$I$37-0</f>
        <v>16</v>
      </c>
      <c r="AB39" s="129">
        <f>Z39/$I$37</f>
        <v>0.875</v>
      </c>
      <c r="AC39" s="129">
        <f>Z39/AA39</f>
        <v>0.875</v>
      </c>
      <c r="AD39" s="127">
        <f>2*(AB39*AC39)/(AB39+AC39)</f>
        <v>0.875</v>
      </c>
      <c r="AF39">
        <f>AG39-0</f>
        <v>4</v>
      </c>
      <c r="AG39">
        <v>4</v>
      </c>
      <c r="AH39" s="127">
        <f>AF39/$H$37</f>
        <v>0.5</v>
      </c>
      <c r="AI39" s="127">
        <f>AF39/AG39</f>
        <v>1</v>
      </c>
      <c r="AL39" s="122">
        <v>0</v>
      </c>
      <c r="AM39" s="101">
        <v>0</v>
      </c>
      <c r="AN39">
        <v>253</v>
      </c>
      <c r="AO39">
        <v>18</v>
      </c>
      <c r="AP39" s="101">
        <v>9</v>
      </c>
      <c r="AQ39" s="101">
        <v>9</v>
      </c>
      <c r="AR39">
        <v>3</v>
      </c>
      <c r="AS39">
        <v>3</v>
      </c>
      <c r="AT39">
        <v>1</v>
      </c>
      <c r="AU39" s="119">
        <v>7</v>
      </c>
      <c r="AV39" s="101">
        <f>($F$37-M39)/$F$37</f>
        <v>1</v>
      </c>
      <c r="AX39" s="101">
        <f>($G$37-AM39)/$G$37</f>
        <v>1</v>
      </c>
      <c r="AY39" s="101">
        <f>AQ39/AP39</f>
        <v>1</v>
      </c>
      <c r="AZ39" s="101">
        <f>AS39/AR39</f>
        <v>1</v>
      </c>
      <c r="BA39" s="85">
        <f>(AV39+AX39+AY39+AZ39)/4</f>
        <v>1</v>
      </c>
      <c r="BB39" s="13">
        <f>AO39/$H$37</f>
        <v>2.25</v>
      </c>
      <c r="BC39" s="118">
        <f>AU39/AO39</f>
        <v>0.3888888888888889</v>
      </c>
      <c r="BD39" s="13">
        <f>AN39/AO39</f>
        <v>14.055555555555555</v>
      </c>
      <c r="BE39" s="13">
        <f>AS39/$H$37</f>
        <v>0.375</v>
      </c>
      <c r="BF39" s="13">
        <f>AQ39/$H$37</f>
        <v>1.125</v>
      </c>
      <c r="BP39" t="str">
        <f t="shared" ref="BP39:BP42" si="5">_xlfn.CONCAT($C$37," &amp; ",C39," &amp; ",P39," &amp; ",Q39," &amp; ",R39," &amp; ",V39," &amp; ",W39," &amp; ",X39," &amp; ",AB39," &amp; ",AC39," &amp; ",AD39," &amp; ",AF39," &amp; ",AG39," &amp; ",AH39," &amp; ",AI39, " \\ \hline")</f>
        <v>5-2 &amp;  &amp; 0.95 &amp; 1 &amp; 0.974358974358974 &amp; 0.875 &amp; 1 &amp; 0.933333333333333 &amp; 0.875 &amp; 0.875 &amp; 0.875 &amp; 4 &amp; 4 &amp; 0.5 &amp; 1 \\ \hline</v>
      </c>
    </row>
    <row r="40" spans="1:68" ht="16">
      <c r="A40" t="s">
        <v>307</v>
      </c>
      <c r="C40" s="310"/>
      <c r="K40" s="47" t="s">
        <v>380</v>
      </c>
      <c r="L40" s="77" t="s">
        <v>443</v>
      </c>
      <c r="N40" s="81">
        <f>O40-1</f>
        <v>18</v>
      </c>
      <c r="O40" s="81">
        <f>$F$37-1</f>
        <v>19</v>
      </c>
      <c r="P40" s="129">
        <f>N40/$F$37</f>
        <v>0.9</v>
      </c>
      <c r="Q40" s="129">
        <f>N40/O40</f>
        <v>0.94736842105263153</v>
      </c>
      <c r="R40" s="127">
        <f>2*(P40*Q40)/(P40+Q40)</f>
        <v>0.92307692307692313</v>
      </c>
      <c r="T40" s="81">
        <f>U40-1</f>
        <v>6</v>
      </c>
      <c r="U40" s="81">
        <f>$G$37-1</f>
        <v>7</v>
      </c>
      <c r="V40" s="129">
        <f>T40/$G$37</f>
        <v>0.75</v>
      </c>
      <c r="W40" s="129">
        <f>T40/U40</f>
        <v>0.8571428571428571</v>
      </c>
      <c r="X40" s="127">
        <f>2*(V40*W40)/(V40+W40)</f>
        <v>0.79999999999999993</v>
      </c>
      <c r="Z40" s="81">
        <f>AA40-3</f>
        <v>13</v>
      </c>
      <c r="AA40" s="81">
        <f>$I$37-0</f>
        <v>16</v>
      </c>
      <c r="AB40" s="129">
        <f>Z40/$I$37</f>
        <v>0.8125</v>
      </c>
      <c r="AC40" s="129">
        <f>Z40/AA40</f>
        <v>0.8125</v>
      </c>
      <c r="AD40" s="127">
        <f>2*(AB40*AC40)/(AB40+AC40)</f>
        <v>0.8125</v>
      </c>
      <c r="AF40">
        <f>AG40-0</f>
        <v>4</v>
      </c>
      <c r="AG40">
        <v>4</v>
      </c>
      <c r="AH40" s="127">
        <f>AF40/$H$37</f>
        <v>0.5</v>
      </c>
      <c r="AI40" s="127">
        <f>AF40/AG40</f>
        <v>1</v>
      </c>
      <c r="AL40" s="122">
        <v>0</v>
      </c>
      <c r="AM40" s="101">
        <v>0</v>
      </c>
      <c r="AN40">
        <v>331</v>
      </c>
      <c r="AO40" s="107">
        <v>24</v>
      </c>
      <c r="AP40" s="101">
        <v>11</v>
      </c>
      <c r="AQ40" s="101">
        <v>11</v>
      </c>
      <c r="AR40">
        <v>4</v>
      </c>
      <c r="AS40">
        <v>4</v>
      </c>
      <c r="AT40">
        <v>2</v>
      </c>
      <c r="AU40" s="119">
        <v>9</v>
      </c>
      <c r="AV40" s="101">
        <f>($F$37-M40)/$F$37</f>
        <v>1</v>
      </c>
      <c r="AX40" s="101">
        <f>($G$37-AM40)/$G$37</f>
        <v>1</v>
      </c>
      <c r="AY40" s="101">
        <f>AQ40/AP40</f>
        <v>1</v>
      </c>
      <c r="AZ40" s="101">
        <f>AS40/AR40</f>
        <v>1</v>
      </c>
      <c r="BA40" s="85">
        <f>(AV40+AX40+AY40+AZ40)/4</f>
        <v>1</v>
      </c>
      <c r="BB40" s="13">
        <f>AO40/$H$37</f>
        <v>3</v>
      </c>
      <c r="BC40" s="118">
        <f>AU40/AO40</f>
        <v>0.375</v>
      </c>
      <c r="BD40" s="13">
        <f>AN40/AO40</f>
        <v>13.791666666666666</v>
      </c>
      <c r="BE40" s="13">
        <f>AS40/$H$37</f>
        <v>0.5</v>
      </c>
      <c r="BF40" s="13">
        <f>AQ40/$H$37</f>
        <v>1.375</v>
      </c>
      <c r="BP40" t="str">
        <f t="shared" si="5"/>
        <v>5-2 &amp;  &amp; 0.9 &amp; 0.947368421052632 &amp; 0.923076923076923 &amp; 0.75 &amp; 0.857142857142857 &amp; 0.8 &amp; 0.8125 &amp; 0.8125 &amp; 0.8125 &amp; 4 &amp; 4 &amp; 0.5 &amp; 1 \\ \hline</v>
      </c>
    </row>
    <row r="41" spans="1:68" ht="16">
      <c r="A41" t="s">
        <v>308</v>
      </c>
      <c r="C41" s="310"/>
      <c r="K41" s="47" t="s">
        <v>381</v>
      </c>
      <c r="L41" s="77" t="s">
        <v>442</v>
      </c>
      <c r="N41" s="81">
        <f>O41-0</f>
        <v>19</v>
      </c>
      <c r="O41" s="81">
        <f>$F$37-1</f>
        <v>19</v>
      </c>
      <c r="P41" s="129">
        <f>N41/$F$37</f>
        <v>0.95</v>
      </c>
      <c r="Q41" s="129">
        <f>N41/O41</f>
        <v>1</v>
      </c>
      <c r="R41" s="127">
        <f>2*(P41*Q41)/(P41+Q41)</f>
        <v>0.97435897435897434</v>
      </c>
      <c r="T41" s="81">
        <f>U41-0</f>
        <v>7</v>
      </c>
      <c r="U41" s="81">
        <f>$G$37-1</f>
        <v>7</v>
      </c>
      <c r="V41" s="129">
        <f>T41/$G$37</f>
        <v>0.875</v>
      </c>
      <c r="W41" s="129">
        <f>T41/U41</f>
        <v>1</v>
      </c>
      <c r="X41" s="127">
        <f>2*(V41*W41)/(V41+W41)</f>
        <v>0.93333333333333335</v>
      </c>
      <c r="Z41" s="81">
        <f>AA41-3</f>
        <v>13</v>
      </c>
      <c r="AA41" s="81">
        <f>$I$37-0</f>
        <v>16</v>
      </c>
      <c r="AB41" s="129">
        <f>Z41/$I$37</f>
        <v>0.8125</v>
      </c>
      <c r="AC41" s="129">
        <f>Z41/AA41</f>
        <v>0.8125</v>
      </c>
      <c r="AD41" s="127">
        <f>2*(AB41*AC41)/(AB41+AC41)</f>
        <v>0.8125</v>
      </c>
      <c r="AF41">
        <f>AG41-0</f>
        <v>2</v>
      </c>
      <c r="AG41">
        <v>2</v>
      </c>
      <c r="AH41" s="127">
        <f>AF41/$H$37</f>
        <v>0.25</v>
      </c>
      <c r="AI41" s="127">
        <f>AF41/AG41</f>
        <v>1</v>
      </c>
      <c r="AL41" s="122">
        <v>0</v>
      </c>
      <c r="AM41" s="101">
        <v>0</v>
      </c>
      <c r="AN41">
        <v>258</v>
      </c>
      <c r="AO41">
        <v>13</v>
      </c>
      <c r="AP41" s="101">
        <v>10</v>
      </c>
      <c r="AQ41" s="101">
        <v>10</v>
      </c>
      <c r="AR41">
        <v>2</v>
      </c>
      <c r="AS41">
        <v>2</v>
      </c>
      <c r="AT41">
        <v>1</v>
      </c>
      <c r="AU41" s="119">
        <v>7</v>
      </c>
      <c r="AV41" s="101">
        <f>($F$37-M41)/$F$37</f>
        <v>1</v>
      </c>
      <c r="AX41" s="101">
        <f>($G$37-AM41)/$G$37</f>
        <v>1</v>
      </c>
      <c r="AY41" s="101">
        <f>AQ41/AP41</f>
        <v>1</v>
      </c>
      <c r="AZ41" s="101">
        <f>AS41/AR41</f>
        <v>1</v>
      </c>
      <c r="BA41" s="85">
        <f>(AV41+AX41+AY41+AZ41)/4</f>
        <v>1</v>
      </c>
      <c r="BB41" s="13">
        <f>AN41/$H$37</f>
        <v>32.25</v>
      </c>
      <c r="BC41" s="118">
        <f>AU41/AN41</f>
        <v>2.7131782945736434E-2</v>
      </c>
      <c r="BD41" s="13">
        <f>AN41/AO41</f>
        <v>19.846153846153847</v>
      </c>
      <c r="BE41" s="13">
        <f>AS41/$H$37</f>
        <v>0.25</v>
      </c>
      <c r="BF41" s="13">
        <f>AQ41/$H$37</f>
        <v>1.25</v>
      </c>
      <c r="BP41" t="str">
        <f t="shared" si="5"/>
        <v>5-2 &amp;  &amp; 0.95 &amp; 1 &amp; 0.974358974358974 &amp; 0.875 &amp; 1 &amp; 0.933333333333333 &amp; 0.8125 &amp; 0.8125 &amp; 0.8125 &amp; 2 &amp; 2 &amp; 0.25 &amp; 1 \\ \hline</v>
      </c>
    </row>
    <row r="42" spans="1:68" ht="16">
      <c r="A42" t="s">
        <v>309</v>
      </c>
      <c r="C42" s="310"/>
      <c r="K42" s="47" t="s">
        <v>382</v>
      </c>
      <c r="L42" s="77" t="s">
        <v>444</v>
      </c>
      <c r="N42" s="81">
        <f>O42-0</f>
        <v>19</v>
      </c>
      <c r="O42" s="81">
        <f>$F$37-1</f>
        <v>19</v>
      </c>
      <c r="P42" s="129">
        <f>N42/$F$37</f>
        <v>0.95</v>
      </c>
      <c r="Q42" s="129">
        <f>N42/O42</f>
        <v>1</v>
      </c>
      <c r="R42" s="127">
        <f>2*(P42*Q42)/(P42+Q42)</f>
        <v>0.97435897435897434</v>
      </c>
      <c r="T42" s="81">
        <f>U42-0</f>
        <v>7</v>
      </c>
      <c r="U42" s="81">
        <f>$G$37-1</f>
        <v>7</v>
      </c>
      <c r="V42" s="129">
        <f>T42/$G$37</f>
        <v>0.875</v>
      </c>
      <c r="W42" s="129">
        <f>T42/U42</f>
        <v>1</v>
      </c>
      <c r="X42" s="127">
        <f>2*(V42*W42)/(V42+W42)</f>
        <v>0.93333333333333335</v>
      </c>
      <c r="Z42" s="81">
        <f>AA42-2</f>
        <v>14</v>
      </c>
      <c r="AA42" s="81">
        <f>$I$37-0</f>
        <v>16</v>
      </c>
      <c r="AB42" s="129">
        <f>Z42/$I$37</f>
        <v>0.875</v>
      </c>
      <c r="AC42" s="129">
        <f>Z42/AA42</f>
        <v>0.875</v>
      </c>
      <c r="AD42" s="127">
        <f>2*(AB42*AC42)/(AB42+AC42)</f>
        <v>0.875</v>
      </c>
      <c r="AF42">
        <f>AG42-0</f>
        <v>4</v>
      </c>
      <c r="AG42">
        <v>4</v>
      </c>
      <c r="AH42" s="127">
        <f>AF42/$H$37</f>
        <v>0.5</v>
      </c>
      <c r="AI42" s="127">
        <f>AF42/AG42</f>
        <v>1</v>
      </c>
      <c r="AL42" s="122">
        <v>0</v>
      </c>
      <c r="AM42" s="101">
        <v>0</v>
      </c>
      <c r="AN42">
        <v>280</v>
      </c>
      <c r="AO42">
        <v>19</v>
      </c>
      <c r="AP42" s="101">
        <v>9</v>
      </c>
      <c r="AQ42" s="101">
        <v>9</v>
      </c>
      <c r="AR42">
        <v>3</v>
      </c>
      <c r="AS42">
        <v>3</v>
      </c>
      <c r="AT42">
        <v>1</v>
      </c>
      <c r="AU42" s="119">
        <v>8</v>
      </c>
      <c r="AV42" s="101">
        <f>($F$37-M42)/$F$37</f>
        <v>1</v>
      </c>
      <c r="AX42" s="101">
        <f>($G$37-AM42)/$G$37</f>
        <v>1</v>
      </c>
      <c r="AY42" s="101">
        <f>AQ42/AP42</f>
        <v>1</v>
      </c>
      <c r="AZ42" s="101">
        <f>AS42/AR42</f>
        <v>1</v>
      </c>
      <c r="BA42" s="85">
        <f>(AV42+AX42+AY42+AZ42)/4</f>
        <v>1</v>
      </c>
      <c r="BB42" s="13">
        <f>AO42/$H$37</f>
        <v>2.375</v>
      </c>
      <c r="BC42" s="118">
        <f>AU42/AO42</f>
        <v>0.42105263157894735</v>
      </c>
      <c r="BD42" s="13">
        <f>AN42/AO42</f>
        <v>14.736842105263158</v>
      </c>
      <c r="BE42" s="13">
        <f>AS42/$H$37</f>
        <v>0.375</v>
      </c>
      <c r="BF42" s="13">
        <f>AQ42/$H$37</f>
        <v>1.125</v>
      </c>
      <c r="BP42" t="str">
        <f t="shared" si="5"/>
        <v>5-2 &amp;  &amp; 0.95 &amp; 1 &amp; 0.974358974358974 &amp; 0.875 &amp; 1 &amp; 0.933333333333333 &amp; 0.875 &amp; 0.875 &amp; 0.875 &amp; 4 &amp; 4 &amp; 0.5 &amp; 1 \\ \hline</v>
      </c>
    </row>
    <row r="43" spans="1:68">
      <c r="P43" s="129"/>
      <c r="Q43" s="129"/>
      <c r="R43" s="127"/>
      <c r="V43" s="129"/>
      <c r="W43" s="129"/>
      <c r="X43" s="127"/>
      <c r="AB43" s="129"/>
      <c r="AC43" s="129"/>
      <c r="AD43" s="127"/>
      <c r="AF43"/>
      <c r="AG43"/>
      <c r="AH43" s="127"/>
      <c r="AI43" s="131"/>
    </row>
    <row r="44" spans="1:68" s="73" customFormat="1">
      <c r="A44" s="73" t="s">
        <v>318</v>
      </c>
      <c r="B44" s="94">
        <v>45178</v>
      </c>
      <c r="C44" s="93" t="s">
        <v>147</v>
      </c>
      <c r="D44" s="78">
        <f>VLOOKUP($C$44,Overview!$Q$2:$AS$64,23,FALSE)</f>
        <v>0.27964048396764468</v>
      </c>
      <c r="E44" s="78" t="str">
        <f>VLOOKUP($C$44,Overview!$Q$2:$AS$64,24,FALSE)</f>
        <v>low</v>
      </c>
      <c r="F44" s="75">
        <f>VLOOKUP(C44,Overview!$Q$2:$AS$64,13,FALSE)</f>
        <v>24</v>
      </c>
      <c r="G44" s="75">
        <f>VLOOKUP(C44,Overview!$Q$2:$AS$64,16,FALSE)</f>
        <v>5</v>
      </c>
      <c r="H44" s="75">
        <f>VLOOKUP(C44,Overview!$Q$2:$AS$64,18,FALSE)</f>
        <v>12</v>
      </c>
      <c r="I44" s="75">
        <f>VLOOKUP($C$44,Overview!$Q$2:$AS$64,19,FALSE)</f>
        <v>24</v>
      </c>
      <c r="K44" s="91"/>
      <c r="M44" s="114"/>
      <c r="N44" s="80"/>
      <c r="O44" s="80"/>
      <c r="P44" s="130"/>
      <c r="Q44" s="130"/>
      <c r="R44" s="128"/>
      <c r="S44" s="114"/>
      <c r="T44" s="80"/>
      <c r="U44" s="80"/>
      <c r="V44" s="130"/>
      <c r="W44" s="130"/>
      <c r="X44" s="128"/>
      <c r="Y44" s="114"/>
      <c r="Z44" s="80"/>
      <c r="AA44" s="80"/>
      <c r="AB44" s="130"/>
      <c r="AC44" s="130"/>
      <c r="AD44" s="128"/>
      <c r="AE44" s="114"/>
      <c r="AH44" s="128"/>
      <c r="AI44" s="128"/>
      <c r="AJ44" s="80"/>
      <c r="AK44" s="114"/>
      <c r="AL44" s="121"/>
      <c r="AM44" s="100"/>
      <c r="AP44" s="100"/>
      <c r="AQ44" s="100"/>
      <c r="AU44" s="120"/>
      <c r="AV44" s="100"/>
      <c r="AW44" s="100"/>
      <c r="AX44" s="100"/>
      <c r="AY44" s="100"/>
      <c r="AZ44" s="100"/>
      <c r="BA44" s="84"/>
      <c r="BC44" s="100"/>
      <c r="BP44"/>
    </row>
    <row r="45" spans="1:68" ht="16">
      <c r="A45" t="s">
        <v>305</v>
      </c>
      <c r="C45" s="310"/>
      <c r="K45" s="47" t="s">
        <v>378</v>
      </c>
      <c r="L45" s="77" t="s">
        <v>435</v>
      </c>
      <c r="N45" s="81">
        <f>O45-0</f>
        <v>24</v>
      </c>
      <c r="O45" s="81">
        <f>$F$44</f>
        <v>24</v>
      </c>
      <c r="P45" s="129">
        <f>N45/$F$44</f>
        <v>1</v>
      </c>
      <c r="Q45" s="129">
        <f>N45/O45</f>
        <v>1</v>
      </c>
      <c r="R45" s="127">
        <f>2*(P45*Q45)/(P45+Q45)</f>
        <v>1</v>
      </c>
      <c r="T45" s="81">
        <f>U45-0</f>
        <v>5</v>
      </c>
      <c r="U45" s="81">
        <f>$G$44-0</f>
        <v>5</v>
      </c>
      <c r="V45" s="129">
        <f>T45/$G$44</f>
        <v>1</v>
      </c>
      <c r="W45" s="129">
        <f>T45/U45</f>
        <v>1</v>
      </c>
      <c r="X45" s="127">
        <f>2*(V45*W45)/(V45+W45)</f>
        <v>1</v>
      </c>
      <c r="Z45" s="81">
        <f>AA45-8</f>
        <v>16</v>
      </c>
      <c r="AA45" s="81">
        <f>$I$44-0</f>
        <v>24</v>
      </c>
      <c r="AB45" s="129">
        <f>Z45/$I$44</f>
        <v>0.66666666666666663</v>
      </c>
      <c r="AC45" s="129">
        <f>Z45/AA45</f>
        <v>0.66666666666666663</v>
      </c>
      <c r="AD45" s="127">
        <f>2*(AB45*AC45)/(AB45+AC45)</f>
        <v>0.66666666666666663</v>
      </c>
      <c r="AF45">
        <v>0</v>
      </c>
      <c r="AG45">
        <v>0</v>
      </c>
      <c r="AH45" s="127">
        <f>AF45/$H$44</f>
        <v>0</v>
      </c>
      <c r="AI45" s="127">
        <v>0</v>
      </c>
      <c r="AL45" s="122">
        <v>0</v>
      </c>
      <c r="AM45" s="101">
        <v>0</v>
      </c>
      <c r="AN45">
        <v>285</v>
      </c>
      <c r="AO45">
        <v>18</v>
      </c>
      <c r="AP45" s="101">
        <v>17</v>
      </c>
      <c r="AQ45" s="101">
        <v>11</v>
      </c>
      <c r="AR45">
        <v>0</v>
      </c>
      <c r="AS45">
        <v>0</v>
      </c>
      <c r="AT45">
        <v>1</v>
      </c>
      <c r="AU45" s="119">
        <v>16</v>
      </c>
      <c r="AV45" s="101">
        <f>($F$44-M45)/$F$44</f>
        <v>1</v>
      </c>
      <c r="AX45" s="101">
        <f>($G$44-AM45)/$G$44</f>
        <v>1</v>
      </c>
      <c r="AY45" s="101">
        <f>AQ45/AP45</f>
        <v>0.6470588235294118</v>
      </c>
      <c r="AZ45" s="101">
        <v>0</v>
      </c>
      <c r="BA45" s="85">
        <f>(AV45+AX45+AY45+AZ45)/4</f>
        <v>0.66176470588235292</v>
      </c>
      <c r="BB45" s="13">
        <f>AO45/$H$44</f>
        <v>1.5</v>
      </c>
      <c r="BC45" s="118">
        <f>AU45/AO45</f>
        <v>0.88888888888888884</v>
      </c>
      <c r="BD45" s="13">
        <f>AN45/AO45</f>
        <v>15.833333333333334</v>
      </c>
      <c r="BE45" s="13">
        <f>AS45/$H$44</f>
        <v>0</v>
      </c>
      <c r="BF45" s="13">
        <f>AQ45/$H$44</f>
        <v>0.91666666666666663</v>
      </c>
      <c r="BP45" t="str">
        <f>_xlfn.CONCAT($C$44," &amp; ",C45," &amp; ",P45," &amp; ",Q45," &amp; ",R45," &amp; ",V45," &amp; ",W45," &amp; ",X45," &amp; ",AB45," &amp; ",AC45," &amp; ",AD45," &amp; ",AF45," &amp; ",AG45," &amp; ",AH45," &amp; ",AI45, " \\ \hline")</f>
        <v>3-6 &amp;  &amp; 1 &amp; 1 &amp; 1 &amp; 1 &amp; 1 &amp; 1 &amp; 0.666666666666667 &amp; 0.666666666666667 &amp; 0.666666666666667 &amp; 0 &amp; 0 &amp; 0 &amp; 0 \\ \hline</v>
      </c>
    </row>
    <row r="46" spans="1:68" ht="16">
      <c r="A46" t="s">
        <v>306</v>
      </c>
      <c r="C46" s="310"/>
      <c r="K46" s="47" t="s">
        <v>379</v>
      </c>
      <c r="L46" s="77" t="s">
        <v>436</v>
      </c>
      <c r="N46" s="81">
        <f>O46-0</f>
        <v>24</v>
      </c>
      <c r="O46" s="81">
        <f>$F$44</f>
        <v>24</v>
      </c>
      <c r="P46" s="129">
        <f>N46/$F$44</f>
        <v>1</v>
      </c>
      <c r="Q46" s="129">
        <f>N46/O46</f>
        <v>1</v>
      </c>
      <c r="R46" s="127">
        <f>2*(P46*Q46)/(P46+Q46)</f>
        <v>1</v>
      </c>
      <c r="T46" s="81">
        <f>U46-0</f>
        <v>5</v>
      </c>
      <c r="U46" s="81">
        <f>$G$44-0</f>
        <v>5</v>
      </c>
      <c r="V46" s="129">
        <f>T46/$G$44</f>
        <v>1</v>
      </c>
      <c r="W46" s="129">
        <f>T46/U46</f>
        <v>1</v>
      </c>
      <c r="X46" s="127">
        <f>2*(V46*W46)/(V46+W46)</f>
        <v>1</v>
      </c>
      <c r="Z46" s="81">
        <f>AA46-8</f>
        <v>16</v>
      </c>
      <c r="AA46" s="81">
        <f>$I$44-0</f>
        <v>24</v>
      </c>
      <c r="AB46" s="129">
        <f>Z46/$I$44</f>
        <v>0.66666666666666663</v>
      </c>
      <c r="AC46" s="129">
        <f>Z46/AA46</f>
        <v>0.66666666666666663</v>
      </c>
      <c r="AD46" s="127">
        <f>2*(AB46*AC46)/(AB46+AC46)</f>
        <v>0.66666666666666663</v>
      </c>
      <c r="AF46">
        <f>AG46-3</f>
        <v>4</v>
      </c>
      <c r="AG46">
        <v>7</v>
      </c>
      <c r="AH46" s="127">
        <f>AF46/$H$44</f>
        <v>0.33333333333333331</v>
      </c>
      <c r="AI46" s="127">
        <f>AF46/AG46</f>
        <v>0.5714285714285714</v>
      </c>
      <c r="AL46" s="122">
        <v>0</v>
      </c>
      <c r="AM46" s="101">
        <v>0</v>
      </c>
      <c r="AN46">
        <v>358</v>
      </c>
      <c r="AO46">
        <v>23</v>
      </c>
      <c r="AP46" s="101">
        <v>16</v>
      </c>
      <c r="AQ46" s="101">
        <v>14</v>
      </c>
      <c r="AR46">
        <v>7</v>
      </c>
      <c r="AS46">
        <v>7</v>
      </c>
      <c r="AT46">
        <v>0</v>
      </c>
      <c r="AU46" s="119">
        <v>13</v>
      </c>
      <c r="AV46" s="101">
        <f>($F$44-M46)/$F$44</f>
        <v>1</v>
      </c>
      <c r="AX46" s="101">
        <f>($G$44-AM46)/$G$44</f>
        <v>1</v>
      </c>
      <c r="AY46" s="101">
        <f>AQ46/AP46</f>
        <v>0.875</v>
      </c>
      <c r="AZ46" s="101">
        <f>AS46/AR46</f>
        <v>1</v>
      </c>
      <c r="BA46" s="85">
        <f>(AV46+AX46+AY46+AZ46)/4</f>
        <v>0.96875</v>
      </c>
      <c r="BB46" s="13">
        <f>AO46/$H$44</f>
        <v>1.9166666666666667</v>
      </c>
      <c r="BC46" s="118">
        <f>AU46/AO46</f>
        <v>0.56521739130434778</v>
      </c>
      <c r="BD46" s="13">
        <f>AN46/AO46</f>
        <v>15.565217391304348</v>
      </c>
      <c r="BE46" s="13">
        <f>AS46/$H$44</f>
        <v>0.58333333333333337</v>
      </c>
      <c r="BF46" s="13">
        <f>AQ46/$H$44</f>
        <v>1.1666666666666667</v>
      </c>
      <c r="BP46" t="str">
        <f t="shared" ref="BP46:BP49" si="6">_xlfn.CONCAT($C$44," &amp; ",C46," &amp; ",P46," &amp; ",Q46," &amp; ",R46," &amp; ",V46," &amp; ",W46," &amp; ",X46," &amp; ",AB46," &amp; ",AC46," &amp; ",AD46," &amp; ",AF46," &amp; ",AG46," &amp; ",AH46," &amp; ",AI46, " \\ \hline")</f>
        <v>3-6 &amp;  &amp; 1 &amp; 1 &amp; 1 &amp; 1 &amp; 1 &amp; 1 &amp; 0.666666666666667 &amp; 0.666666666666667 &amp; 0.666666666666667 &amp; 4 &amp; 7 &amp; 0.333333333333333 &amp; 0.571428571428571 \\ \hline</v>
      </c>
    </row>
    <row r="47" spans="1:68" ht="16">
      <c r="A47" t="s">
        <v>307</v>
      </c>
      <c r="C47" s="310"/>
      <c r="K47" s="47" t="s">
        <v>380</v>
      </c>
      <c r="L47" s="77" t="s">
        <v>437</v>
      </c>
      <c r="N47" s="81">
        <f>O47-0</f>
        <v>24</v>
      </c>
      <c r="O47" s="81">
        <f>$F$44</f>
        <v>24</v>
      </c>
      <c r="P47" s="129">
        <f>N47/$F$44</f>
        <v>1</v>
      </c>
      <c r="Q47" s="129">
        <f>N47/O47</f>
        <v>1</v>
      </c>
      <c r="R47" s="127">
        <f>2*(P47*Q47)/(P47+Q47)</f>
        <v>1</v>
      </c>
      <c r="T47" s="81">
        <f>U47-0</f>
        <v>5</v>
      </c>
      <c r="U47" s="81">
        <f>$G$44-0</f>
        <v>5</v>
      </c>
      <c r="V47" s="129">
        <f>T47/$G$44</f>
        <v>1</v>
      </c>
      <c r="W47" s="129">
        <f>T47/U47</f>
        <v>1</v>
      </c>
      <c r="X47" s="127">
        <f>2*(V47*W47)/(V47+W47)</f>
        <v>1</v>
      </c>
      <c r="Z47" s="81">
        <f>AA47-7</f>
        <v>17</v>
      </c>
      <c r="AA47" s="81">
        <f>$I$44-0</f>
        <v>24</v>
      </c>
      <c r="AB47" s="129">
        <f>Z47/$I$44</f>
        <v>0.70833333333333337</v>
      </c>
      <c r="AC47" s="129">
        <f>Z47/AA47</f>
        <v>0.70833333333333337</v>
      </c>
      <c r="AD47" s="127">
        <f>2*(AB47*AC47)/(AB47+AC47)</f>
        <v>0.70833333333333337</v>
      </c>
      <c r="AF47">
        <v>3</v>
      </c>
      <c r="AG47">
        <v>3</v>
      </c>
      <c r="AH47" s="127">
        <f>AF47/$H$44</f>
        <v>0.25</v>
      </c>
      <c r="AI47" s="127">
        <f>AF47/AG47</f>
        <v>1</v>
      </c>
      <c r="AL47" s="122">
        <v>0</v>
      </c>
      <c r="AM47" s="101">
        <v>0</v>
      </c>
      <c r="AN47">
        <v>245</v>
      </c>
      <c r="AO47">
        <v>16</v>
      </c>
      <c r="AP47" s="101">
        <v>13</v>
      </c>
      <c r="AQ47" s="101">
        <v>11</v>
      </c>
      <c r="AR47">
        <v>3</v>
      </c>
      <c r="AS47">
        <v>3</v>
      </c>
      <c r="AT47">
        <v>0</v>
      </c>
      <c r="AU47" s="119">
        <v>12</v>
      </c>
      <c r="AV47" s="101">
        <f>($F$44-M47)/$F$44</f>
        <v>1</v>
      </c>
      <c r="AX47" s="101">
        <f>($G$44-AM47)/$G$44</f>
        <v>1</v>
      </c>
      <c r="AY47" s="101">
        <f>AQ47/AP47</f>
        <v>0.84615384615384615</v>
      </c>
      <c r="AZ47" s="101">
        <f>AS47/AR47</f>
        <v>1</v>
      </c>
      <c r="BA47" s="85">
        <f>(AV47+AX47+AY47+AZ47)/4</f>
        <v>0.96153846153846156</v>
      </c>
      <c r="BB47" s="13">
        <f>AO47/$H$44</f>
        <v>1.3333333333333333</v>
      </c>
      <c r="BC47" s="118">
        <f>AU47/AO47</f>
        <v>0.75</v>
      </c>
      <c r="BD47" s="13">
        <f>AN47/AO47</f>
        <v>15.3125</v>
      </c>
      <c r="BE47" s="13">
        <f>AS47/$H$44</f>
        <v>0.25</v>
      </c>
      <c r="BF47" s="13">
        <f>AQ47/$H$44</f>
        <v>0.91666666666666663</v>
      </c>
      <c r="BP47" t="str">
        <f t="shared" si="6"/>
        <v>3-6 &amp;  &amp; 1 &amp; 1 &amp; 1 &amp; 1 &amp; 1 &amp; 1 &amp; 0.708333333333333 &amp; 0.708333333333333 &amp; 0.708333333333333 &amp; 3 &amp; 3 &amp; 0.25 &amp; 1 \\ \hline</v>
      </c>
    </row>
    <row r="48" spans="1:68" ht="16">
      <c r="A48" t="s">
        <v>308</v>
      </c>
      <c r="C48" s="310"/>
      <c r="K48" s="47" t="s">
        <v>381</v>
      </c>
      <c r="L48" s="77" t="s">
        <v>438</v>
      </c>
      <c r="N48" s="81">
        <f>O48-0</f>
        <v>24</v>
      </c>
      <c r="O48" s="81">
        <f>$F$44</f>
        <v>24</v>
      </c>
      <c r="P48" s="129">
        <f>N48/$F$44</f>
        <v>1</v>
      </c>
      <c r="Q48" s="129">
        <f>N48/O48</f>
        <v>1</v>
      </c>
      <c r="R48" s="127">
        <f>2*(P48*Q48)/(P48+Q48)</f>
        <v>1</v>
      </c>
      <c r="T48" s="81">
        <f>U48-0</f>
        <v>5</v>
      </c>
      <c r="U48" s="81">
        <f>$G$44-0</f>
        <v>5</v>
      </c>
      <c r="V48" s="129">
        <f>T48/$G$44</f>
        <v>1</v>
      </c>
      <c r="W48" s="129">
        <f>T48/U48</f>
        <v>1</v>
      </c>
      <c r="X48" s="127">
        <f>2*(V48*W48)/(V48+W48)</f>
        <v>1</v>
      </c>
      <c r="Z48" s="81">
        <f>AA48-3</f>
        <v>21</v>
      </c>
      <c r="AA48" s="81">
        <f>$I$44-0</f>
        <v>24</v>
      </c>
      <c r="AB48" s="129">
        <f>Z48/$I$44</f>
        <v>0.875</v>
      </c>
      <c r="AC48" s="129">
        <f>Z48/AA48</f>
        <v>0.875</v>
      </c>
      <c r="AD48" s="127">
        <f>2*(AB48*AC48)/(AB48+AC48)</f>
        <v>0.875</v>
      </c>
      <c r="AF48">
        <v>3</v>
      </c>
      <c r="AG48">
        <v>3</v>
      </c>
      <c r="AH48" s="127">
        <f>AF48/$H$44</f>
        <v>0.25</v>
      </c>
      <c r="AI48" s="127">
        <f>AF48/AG48</f>
        <v>1</v>
      </c>
      <c r="AL48" s="122">
        <v>0</v>
      </c>
      <c r="AM48" s="101">
        <v>0</v>
      </c>
      <c r="AN48">
        <v>305</v>
      </c>
      <c r="AO48">
        <v>23</v>
      </c>
      <c r="AP48" s="101">
        <v>19</v>
      </c>
      <c r="AQ48" s="101">
        <v>17</v>
      </c>
      <c r="AR48">
        <v>1</v>
      </c>
      <c r="AS48">
        <v>1</v>
      </c>
      <c r="AT48">
        <v>3</v>
      </c>
      <c r="AU48" s="119">
        <v>12</v>
      </c>
      <c r="AV48" s="101">
        <f>($F$44-M48)/$F$44</f>
        <v>1</v>
      </c>
      <c r="AX48" s="101">
        <f>($G$44-AM48)/$G$44</f>
        <v>1</v>
      </c>
      <c r="AY48" s="101">
        <f>AQ48/AP48</f>
        <v>0.89473684210526316</v>
      </c>
      <c r="AZ48" s="101">
        <f>AS48/AR48</f>
        <v>1</v>
      </c>
      <c r="BA48" s="85">
        <f>(AV48+AX48+AY48+AZ48)/4</f>
        <v>0.97368421052631582</v>
      </c>
      <c r="BB48" s="13">
        <f>AO48/$H$44</f>
        <v>1.9166666666666667</v>
      </c>
      <c r="BC48" s="118">
        <f>AU48/AO48</f>
        <v>0.52173913043478259</v>
      </c>
      <c r="BD48" s="13">
        <f>AN48/AO48</f>
        <v>13.260869565217391</v>
      </c>
      <c r="BE48" s="13">
        <f>AS48/$H$44</f>
        <v>8.3333333333333329E-2</v>
      </c>
      <c r="BF48" s="13">
        <f>AQ48/$H$44</f>
        <v>1.4166666666666667</v>
      </c>
      <c r="BP48" t="str">
        <f t="shared" si="6"/>
        <v>3-6 &amp;  &amp; 1 &amp; 1 &amp; 1 &amp; 1 &amp; 1 &amp; 1 &amp; 0.875 &amp; 0.875 &amp; 0.875 &amp; 3 &amp; 3 &amp; 0.25 &amp; 1 \\ \hline</v>
      </c>
    </row>
    <row r="49" spans="1:68" ht="16">
      <c r="A49" t="s">
        <v>309</v>
      </c>
      <c r="C49" s="310"/>
      <c r="K49" s="47" t="s">
        <v>382</v>
      </c>
      <c r="L49" s="77" t="s">
        <v>439</v>
      </c>
      <c r="N49" s="81">
        <f>O49-0</f>
        <v>24</v>
      </c>
      <c r="O49" s="81">
        <f>$F$44</f>
        <v>24</v>
      </c>
      <c r="P49" s="129">
        <f>N49/$F$44</f>
        <v>1</v>
      </c>
      <c r="Q49" s="129">
        <f>N49/O49</f>
        <v>1</v>
      </c>
      <c r="R49" s="127">
        <f>2*(P49*Q49)/(P49+Q49)</f>
        <v>1</v>
      </c>
      <c r="T49" s="81">
        <f>U49-0</f>
        <v>5</v>
      </c>
      <c r="U49" s="81">
        <f>$G$44-0</f>
        <v>5</v>
      </c>
      <c r="V49" s="129">
        <f>T49/$G$44</f>
        <v>1</v>
      </c>
      <c r="W49" s="129">
        <f>T49/U49</f>
        <v>1</v>
      </c>
      <c r="X49" s="127">
        <f>2*(V49*W49)/(V49+W49)</f>
        <v>1</v>
      </c>
      <c r="Z49" s="81">
        <f>AA49-8</f>
        <v>16</v>
      </c>
      <c r="AA49" s="81">
        <f>$I$44-0</f>
        <v>24</v>
      </c>
      <c r="AB49" s="129">
        <f>Z49/$I$44</f>
        <v>0.66666666666666663</v>
      </c>
      <c r="AC49" s="129">
        <f>Z49/AA49</f>
        <v>0.66666666666666663</v>
      </c>
      <c r="AD49" s="127">
        <f>2*(AB49*AC49)/(AB49+AC49)</f>
        <v>0.66666666666666663</v>
      </c>
      <c r="AF49">
        <f>AG49-2</f>
        <v>7</v>
      </c>
      <c r="AG49">
        <v>9</v>
      </c>
      <c r="AH49" s="127">
        <f>AF49/$H$44</f>
        <v>0.58333333333333337</v>
      </c>
      <c r="AI49" s="127">
        <f>AF49/AG49</f>
        <v>0.77777777777777779</v>
      </c>
      <c r="AL49" s="122">
        <v>0</v>
      </c>
      <c r="AM49" s="101">
        <v>0</v>
      </c>
      <c r="AN49">
        <v>349</v>
      </c>
      <c r="AO49">
        <v>23</v>
      </c>
      <c r="AP49" s="101">
        <v>13</v>
      </c>
      <c r="AQ49" s="101">
        <v>11</v>
      </c>
      <c r="AR49">
        <v>8</v>
      </c>
      <c r="AS49">
        <v>8</v>
      </c>
      <c r="AT49">
        <v>2</v>
      </c>
      <c r="AU49" s="119">
        <v>13</v>
      </c>
      <c r="AV49" s="101">
        <f>($F$44-M49)/$F$44</f>
        <v>1</v>
      </c>
      <c r="AX49" s="101">
        <f>($G$44-AM49)/$G$44</f>
        <v>1</v>
      </c>
      <c r="AY49" s="101">
        <f>AQ49/AP49</f>
        <v>0.84615384615384615</v>
      </c>
      <c r="AZ49" s="101">
        <f>AS49/AR49</f>
        <v>1</v>
      </c>
      <c r="BA49" s="85">
        <f>(AV49+AX49+AY49+AZ49)/4</f>
        <v>0.96153846153846156</v>
      </c>
      <c r="BB49" s="13">
        <f>AO49/$H$44</f>
        <v>1.9166666666666667</v>
      </c>
      <c r="BC49" s="118">
        <f>AU49/AO49</f>
        <v>0.56521739130434778</v>
      </c>
      <c r="BD49" s="13">
        <f>AN49/AO49</f>
        <v>15.173913043478262</v>
      </c>
      <c r="BE49" s="13">
        <f>AS49/$H$44</f>
        <v>0.66666666666666663</v>
      </c>
      <c r="BF49" s="13">
        <f>AQ49/$H$44</f>
        <v>0.91666666666666663</v>
      </c>
      <c r="BP49" t="str">
        <f t="shared" si="6"/>
        <v>3-6 &amp;  &amp; 1 &amp; 1 &amp; 1 &amp; 1 &amp; 1 &amp; 1 &amp; 0.666666666666667 &amp; 0.666666666666667 &amp; 0.666666666666667 &amp; 7 &amp; 9 &amp; 0.583333333333333 &amp; 0.777777777777778 \\ \hline</v>
      </c>
    </row>
    <row r="50" spans="1:68">
      <c r="P50" s="129"/>
      <c r="Q50" s="129"/>
      <c r="R50" s="127"/>
      <c r="V50" s="129"/>
      <c r="W50" s="129"/>
      <c r="X50" s="127"/>
      <c r="AB50" s="129"/>
      <c r="AC50" s="129"/>
      <c r="AD50" s="127"/>
      <c r="AF50"/>
      <c r="AG50"/>
      <c r="AH50" s="127"/>
      <c r="AI50" s="131"/>
    </row>
    <row r="51" spans="1:68" s="73" customFormat="1">
      <c r="A51" s="73" t="s">
        <v>317</v>
      </c>
      <c r="B51" s="94">
        <v>45178</v>
      </c>
      <c r="C51" s="93" t="s">
        <v>160</v>
      </c>
      <c r="D51" s="78">
        <f>VLOOKUP($C$51,Overview!$Q$2:$AS$64,23,FALSE)</f>
        <v>0.30047187189373031</v>
      </c>
      <c r="E51" s="78" t="str">
        <f>VLOOKUP($C$51,Overview!$Q$2:$AS$64,24,FALSE)</f>
        <v>low</v>
      </c>
      <c r="F51" s="75">
        <f>VLOOKUP(C51,Overview!$Q$2:$AS$64,13,FALSE)</f>
        <v>20</v>
      </c>
      <c r="G51" s="75">
        <f>VLOOKUP(C51,Overview!$Q$2:$AS$64,16,FALSE)</f>
        <v>8</v>
      </c>
      <c r="H51" s="75">
        <f>VLOOKUP(C51,Overview!$Q$2:$AS$64,18,FALSE)</f>
        <v>7</v>
      </c>
      <c r="I51" s="75">
        <f>VLOOKUP($C$51,Overview!$Q$2:$AS$64,19,FALSE)</f>
        <v>15</v>
      </c>
      <c r="K51" s="91"/>
      <c r="M51" s="114"/>
      <c r="N51" s="80"/>
      <c r="O51" s="80"/>
      <c r="P51" s="130"/>
      <c r="Q51" s="130"/>
      <c r="R51" s="128"/>
      <c r="S51" s="114"/>
      <c r="T51" s="80"/>
      <c r="U51" s="80"/>
      <c r="V51" s="130"/>
      <c r="W51" s="130"/>
      <c r="X51" s="128"/>
      <c r="Y51" s="114"/>
      <c r="Z51" s="80"/>
      <c r="AA51" s="80"/>
      <c r="AB51" s="130"/>
      <c r="AC51" s="130"/>
      <c r="AD51" s="128"/>
      <c r="AE51" s="114"/>
      <c r="AH51" s="128"/>
      <c r="AI51" s="128"/>
      <c r="AJ51" s="80"/>
      <c r="AK51" s="114"/>
      <c r="AL51" s="121"/>
      <c r="AM51" s="100"/>
      <c r="AP51" s="100"/>
      <c r="AQ51" s="100"/>
      <c r="AU51" s="120"/>
      <c r="AV51" s="100"/>
      <c r="AW51" s="100"/>
      <c r="AX51" s="100"/>
      <c r="AY51" s="100"/>
      <c r="AZ51" s="100"/>
      <c r="BA51" s="84"/>
      <c r="BC51" s="100"/>
      <c r="BP51"/>
    </row>
    <row r="52" spans="1:68" ht="16">
      <c r="A52" t="s">
        <v>305</v>
      </c>
      <c r="C52" s="310"/>
      <c r="K52" s="47" t="s">
        <v>378</v>
      </c>
      <c r="L52" s="77" t="s">
        <v>430</v>
      </c>
      <c r="N52" s="81">
        <f>O52-1</f>
        <v>18</v>
      </c>
      <c r="O52" s="81">
        <f>$F$51-1</f>
        <v>19</v>
      </c>
      <c r="P52" s="129">
        <f>N52/$F$51</f>
        <v>0.9</v>
      </c>
      <c r="Q52" s="129">
        <f>N52/O52</f>
        <v>0.94736842105263153</v>
      </c>
      <c r="R52" s="127">
        <f>2*(P52*Q52)/(P52+Q52)</f>
        <v>0.92307692307692313</v>
      </c>
      <c r="T52" s="81">
        <f>U52-1</f>
        <v>6</v>
      </c>
      <c r="U52" s="81">
        <f>$G$51-1</f>
        <v>7</v>
      </c>
      <c r="V52" s="129">
        <f>T52/$G$51</f>
        <v>0.75</v>
      </c>
      <c r="W52" s="129">
        <f>T52/U52</f>
        <v>0.8571428571428571</v>
      </c>
      <c r="X52" s="127">
        <f>2*(V52*W52)/(V52+W52)</f>
        <v>0.79999999999999993</v>
      </c>
      <c r="Z52" s="81">
        <f>AA52-3</f>
        <v>12</v>
      </c>
      <c r="AA52" s="81">
        <f>$I$51</f>
        <v>15</v>
      </c>
      <c r="AB52" s="129">
        <f>Z52/$I$51</f>
        <v>0.8</v>
      </c>
      <c r="AC52" s="129">
        <f>Z52/AA52</f>
        <v>0.8</v>
      </c>
      <c r="AD52" s="127">
        <f>2*(AB52*AC52)/(AB52+AC52)</f>
        <v>0.80000000000000016</v>
      </c>
      <c r="AF52">
        <f>AG52-0</f>
        <v>5</v>
      </c>
      <c r="AG52">
        <v>5</v>
      </c>
      <c r="AH52" s="127">
        <f>AF52/$H$51</f>
        <v>0.7142857142857143</v>
      </c>
      <c r="AI52" s="127">
        <f>AF52/AG52</f>
        <v>1</v>
      </c>
      <c r="AL52" s="122">
        <v>0</v>
      </c>
      <c r="AM52" s="101">
        <v>0</v>
      </c>
      <c r="AN52">
        <v>284</v>
      </c>
      <c r="AO52">
        <v>13</v>
      </c>
      <c r="AP52" s="101">
        <v>8</v>
      </c>
      <c r="AQ52" s="101">
        <v>7</v>
      </c>
      <c r="AR52">
        <v>2</v>
      </c>
      <c r="AS52">
        <v>2</v>
      </c>
      <c r="AT52">
        <v>3</v>
      </c>
      <c r="AU52" s="119">
        <v>8</v>
      </c>
      <c r="AV52" s="101">
        <f>($F$51-M52)/$F$51</f>
        <v>1</v>
      </c>
      <c r="AX52" s="101">
        <f>($G$51-AM52)/$G$51</f>
        <v>1</v>
      </c>
      <c r="AY52" s="101">
        <f>AQ52/AP52</f>
        <v>0.875</v>
      </c>
      <c r="AZ52" s="101">
        <f>AS52/AR52</f>
        <v>1</v>
      </c>
      <c r="BA52" s="85">
        <f>(AV52+AX52+AY52+AZ52)/4</f>
        <v>0.96875</v>
      </c>
      <c r="BB52" s="13">
        <f>AO52/$H$51</f>
        <v>1.8571428571428572</v>
      </c>
      <c r="BC52" s="118">
        <f>AU52/AO52</f>
        <v>0.61538461538461542</v>
      </c>
      <c r="BD52" s="13">
        <f>AN52/AO52</f>
        <v>21.846153846153847</v>
      </c>
      <c r="BE52" s="13">
        <f>AS52/$H$51</f>
        <v>0.2857142857142857</v>
      </c>
      <c r="BF52" s="13">
        <f>AQ52/$H$51</f>
        <v>1</v>
      </c>
      <c r="BP52" t="str">
        <f>_xlfn.CONCAT($C$51," &amp; ",C52," &amp; ",P52," &amp; ",Q52," &amp; ",R52," &amp; ",V52," &amp; ",W52," &amp; ",X52," &amp; ",AB52," &amp; ",AC52," &amp; ",AD52," &amp; ",AF52," &amp; ",AG52," &amp; ",AH52," &amp; ",AI52, " \\ \hline")</f>
        <v>8-1 &amp;  &amp; 0.9 &amp; 0.947368421052632 &amp; 0.923076923076923 &amp; 0.75 &amp; 0.857142857142857 &amp; 0.8 &amp; 0.8 &amp; 0.8 &amp; 0.8 &amp; 5 &amp; 5 &amp; 0.714285714285714 &amp; 1 \\ \hline</v>
      </c>
    </row>
    <row r="53" spans="1:68" ht="16">
      <c r="A53" t="s">
        <v>306</v>
      </c>
      <c r="C53" s="310"/>
      <c r="K53" s="47" t="s">
        <v>379</v>
      </c>
      <c r="L53" s="77" t="s">
        <v>431</v>
      </c>
      <c r="N53" s="81">
        <f>O53-1</f>
        <v>18</v>
      </c>
      <c r="O53" s="81">
        <f>$F$51-1</f>
        <v>19</v>
      </c>
      <c r="P53" s="129">
        <f>N53/$F$51</f>
        <v>0.9</v>
      </c>
      <c r="Q53" s="129">
        <f>N53/O53</f>
        <v>0.94736842105263153</v>
      </c>
      <c r="R53" s="127">
        <f>2*(P53*Q53)/(P53+Q53)</f>
        <v>0.92307692307692313</v>
      </c>
      <c r="T53" s="81">
        <f>U53-1</f>
        <v>6</v>
      </c>
      <c r="U53" s="81">
        <f>$G$51-1</f>
        <v>7</v>
      </c>
      <c r="V53" s="129">
        <f>T53/$G$51</f>
        <v>0.75</v>
      </c>
      <c r="W53" s="129">
        <f>T53/U53</f>
        <v>0.8571428571428571</v>
      </c>
      <c r="X53" s="127">
        <f>2*(V53*W53)/(V53+W53)</f>
        <v>0.79999999999999993</v>
      </c>
      <c r="Z53" s="81">
        <f>AA53-5</f>
        <v>10</v>
      </c>
      <c r="AA53" s="81">
        <f>$I$51</f>
        <v>15</v>
      </c>
      <c r="AB53" s="129">
        <f>Z53/$I$51</f>
        <v>0.66666666666666663</v>
      </c>
      <c r="AC53" s="129">
        <f>Z53/AA53</f>
        <v>0.66666666666666663</v>
      </c>
      <c r="AD53" s="127">
        <f>2*(AB53*AC53)/(AB53+AC53)</f>
        <v>0.66666666666666663</v>
      </c>
      <c r="AF53">
        <f>AG53-0</f>
        <v>7</v>
      </c>
      <c r="AG53">
        <v>7</v>
      </c>
      <c r="AH53" s="127">
        <f>AF53/$H$51</f>
        <v>1</v>
      </c>
      <c r="AI53" s="127">
        <f>AF53/AG53</f>
        <v>1</v>
      </c>
      <c r="AL53" s="122">
        <v>0</v>
      </c>
      <c r="AM53" s="101">
        <v>0</v>
      </c>
      <c r="AN53">
        <v>306</v>
      </c>
      <c r="AO53">
        <v>20</v>
      </c>
      <c r="AP53" s="101">
        <v>13</v>
      </c>
      <c r="AQ53" s="101">
        <v>13</v>
      </c>
      <c r="AR53">
        <v>7</v>
      </c>
      <c r="AS53">
        <v>7</v>
      </c>
      <c r="AT53">
        <v>0</v>
      </c>
      <c r="AU53" s="119">
        <v>8</v>
      </c>
      <c r="AV53" s="101">
        <f>($F$51-M53)/$F$51</f>
        <v>1</v>
      </c>
      <c r="AX53" s="101">
        <f>($G$51-AM53)/$G$51</f>
        <v>1</v>
      </c>
      <c r="AY53" s="101">
        <f>AQ53/AP53</f>
        <v>1</v>
      </c>
      <c r="AZ53" s="101">
        <f>AS53/AR53</f>
        <v>1</v>
      </c>
      <c r="BA53" s="85">
        <f>(AV53+AX53+AY53+AZ53)/4</f>
        <v>1</v>
      </c>
      <c r="BB53" s="13">
        <f>AO53/$H$51</f>
        <v>2.8571428571428572</v>
      </c>
      <c r="BC53" s="118">
        <f>AU53/AO53</f>
        <v>0.4</v>
      </c>
      <c r="BD53" s="13">
        <f>AN53/AO53</f>
        <v>15.3</v>
      </c>
      <c r="BE53" s="13">
        <f>AS53/$H$51</f>
        <v>1</v>
      </c>
      <c r="BF53" s="13">
        <f>AQ53/$H$51</f>
        <v>1.8571428571428572</v>
      </c>
      <c r="BP53" t="str">
        <f t="shared" ref="BP53:BP56" si="7">_xlfn.CONCAT($C$51," &amp; ",C53," &amp; ",P53," &amp; ",Q53," &amp; ",R53," &amp; ",V53," &amp; ",W53," &amp; ",X53," &amp; ",AB53," &amp; ",AC53," &amp; ",AD53," &amp; ",AF53," &amp; ",AG53," &amp; ",AH53," &amp; ",AI53, " \\ \hline")</f>
        <v>8-1 &amp;  &amp; 0.9 &amp; 0.947368421052632 &amp; 0.923076923076923 &amp; 0.75 &amp; 0.857142857142857 &amp; 0.8 &amp; 0.666666666666667 &amp; 0.666666666666667 &amp; 0.666666666666667 &amp; 7 &amp; 7 &amp; 1 &amp; 1 \\ \hline</v>
      </c>
    </row>
    <row r="54" spans="1:68" ht="16">
      <c r="A54" t="s">
        <v>307</v>
      </c>
      <c r="C54" s="310"/>
      <c r="K54" s="47" t="s">
        <v>380</v>
      </c>
      <c r="L54" s="77" t="s">
        <v>432</v>
      </c>
      <c r="N54" s="81">
        <f>O54-1</f>
        <v>18</v>
      </c>
      <c r="O54" s="81">
        <f>$F$51-1</f>
        <v>19</v>
      </c>
      <c r="P54" s="129">
        <f>N54/$F$51</f>
        <v>0.9</v>
      </c>
      <c r="Q54" s="129">
        <f>N54/O54</f>
        <v>0.94736842105263153</v>
      </c>
      <c r="R54" s="127">
        <f>2*(P54*Q54)/(P54+Q54)</f>
        <v>0.92307692307692313</v>
      </c>
      <c r="T54" s="81">
        <f>U54-1</f>
        <v>6</v>
      </c>
      <c r="U54" s="81">
        <f>$G$51-1</f>
        <v>7</v>
      </c>
      <c r="V54" s="129">
        <f>T54/$G$51</f>
        <v>0.75</v>
      </c>
      <c r="W54" s="129">
        <f>T54/U54</f>
        <v>0.8571428571428571</v>
      </c>
      <c r="X54" s="127">
        <f>2*(V54*W54)/(V54+W54)</f>
        <v>0.79999999999999993</v>
      </c>
      <c r="Z54" s="81">
        <f>AA54-3</f>
        <v>12</v>
      </c>
      <c r="AA54" s="81">
        <f>$I$51</f>
        <v>15</v>
      </c>
      <c r="AB54" s="129">
        <f>Z54/$I$51</f>
        <v>0.8</v>
      </c>
      <c r="AC54" s="129">
        <f>Z54/AA54</f>
        <v>0.8</v>
      </c>
      <c r="AD54" s="127">
        <f>2*(AB54*AC54)/(AB54+AC54)</f>
        <v>0.80000000000000016</v>
      </c>
      <c r="AF54">
        <f>AG54-0</f>
        <v>5</v>
      </c>
      <c r="AG54">
        <v>5</v>
      </c>
      <c r="AH54" s="127">
        <f>AF54/$H$51</f>
        <v>0.7142857142857143</v>
      </c>
      <c r="AI54" s="127">
        <f>AF54/AG54</f>
        <v>1</v>
      </c>
      <c r="AL54" s="122">
        <v>0</v>
      </c>
      <c r="AM54" s="101">
        <v>0</v>
      </c>
      <c r="AN54">
        <v>285</v>
      </c>
      <c r="AO54">
        <v>13</v>
      </c>
      <c r="AP54" s="101">
        <v>7</v>
      </c>
      <c r="AQ54" s="101">
        <v>6</v>
      </c>
      <c r="AR54">
        <v>4</v>
      </c>
      <c r="AS54">
        <v>4</v>
      </c>
      <c r="AT54">
        <v>2</v>
      </c>
      <c r="AU54" s="119">
        <v>6</v>
      </c>
      <c r="AV54" s="101">
        <f>($F$51-M54)/$F$51</f>
        <v>1</v>
      </c>
      <c r="AX54" s="101">
        <f>($G$51-AM54)/$G$51</f>
        <v>1</v>
      </c>
      <c r="AY54" s="101">
        <f>AQ54/AP54</f>
        <v>0.8571428571428571</v>
      </c>
      <c r="AZ54" s="101">
        <f>AS54/AR54</f>
        <v>1</v>
      </c>
      <c r="BA54" s="85">
        <f>(AV54+AX54+AY54+AZ54)/4</f>
        <v>0.9642857142857143</v>
      </c>
      <c r="BB54" s="13">
        <f>AO54/$H$51</f>
        <v>1.8571428571428572</v>
      </c>
      <c r="BC54" s="118">
        <f>AU54/AO54</f>
        <v>0.46153846153846156</v>
      </c>
      <c r="BD54" s="13">
        <f>AN54/AO54</f>
        <v>21.923076923076923</v>
      </c>
      <c r="BE54" s="13">
        <f>AS54/$H$51</f>
        <v>0.5714285714285714</v>
      </c>
      <c r="BF54" s="13">
        <f>AQ54/$H$51</f>
        <v>0.8571428571428571</v>
      </c>
      <c r="BP54" t="str">
        <f t="shared" si="7"/>
        <v>8-1 &amp;  &amp; 0.9 &amp; 0.947368421052632 &amp; 0.923076923076923 &amp; 0.75 &amp; 0.857142857142857 &amp; 0.8 &amp; 0.8 &amp; 0.8 &amp; 0.8 &amp; 5 &amp; 5 &amp; 0.714285714285714 &amp; 1 \\ \hline</v>
      </c>
    </row>
    <row r="55" spans="1:68" ht="16">
      <c r="A55" t="s">
        <v>308</v>
      </c>
      <c r="C55" s="310"/>
      <c r="K55" s="47" t="s">
        <v>381</v>
      </c>
      <c r="L55" s="77" t="s">
        <v>433</v>
      </c>
      <c r="N55" s="81">
        <f>O55-1</f>
        <v>18</v>
      </c>
      <c r="O55" s="81">
        <f>$F$51-1</f>
        <v>19</v>
      </c>
      <c r="P55" s="129">
        <f>N55/$F$51</f>
        <v>0.9</v>
      </c>
      <c r="Q55" s="129">
        <f>N55/O55</f>
        <v>0.94736842105263153</v>
      </c>
      <c r="R55" s="127">
        <f>2*(P55*Q55)/(P55+Q55)</f>
        <v>0.92307692307692313</v>
      </c>
      <c r="T55" s="81">
        <f>U55-1</f>
        <v>6</v>
      </c>
      <c r="U55" s="81">
        <f>$G$51-1</f>
        <v>7</v>
      </c>
      <c r="V55" s="129">
        <f>T55/$G$51</f>
        <v>0.75</v>
      </c>
      <c r="W55" s="129">
        <f>T55/U55</f>
        <v>0.8571428571428571</v>
      </c>
      <c r="X55" s="127">
        <f>2*(V55*W55)/(V55+W55)</f>
        <v>0.79999999999999993</v>
      </c>
      <c r="Z55" s="81">
        <f>AA55-3</f>
        <v>12</v>
      </c>
      <c r="AA55" s="81">
        <f>$I$51</f>
        <v>15</v>
      </c>
      <c r="AB55" s="129">
        <f>Z55/$I$51</f>
        <v>0.8</v>
      </c>
      <c r="AC55" s="129">
        <f>Z55/AA55</f>
        <v>0.8</v>
      </c>
      <c r="AD55" s="127">
        <f>2*(AB55*AC55)/(AB55+AC55)</f>
        <v>0.80000000000000016</v>
      </c>
      <c r="AF55">
        <f>AG55-0</f>
        <v>6</v>
      </c>
      <c r="AG55">
        <v>6</v>
      </c>
      <c r="AH55" s="127">
        <f>AF55/$H$51</f>
        <v>0.8571428571428571</v>
      </c>
      <c r="AI55" s="127">
        <f>AF55/AG55</f>
        <v>1</v>
      </c>
      <c r="AL55" s="122">
        <v>0</v>
      </c>
      <c r="AM55" s="101">
        <v>0</v>
      </c>
      <c r="AN55">
        <v>302</v>
      </c>
      <c r="AO55">
        <v>15</v>
      </c>
      <c r="AP55" s="101">
        <v>9</v>
      </c>
      <c r="AQ55" s="101">
        <v>8</v>
      </c>
      <c r="AR55">
        <v>5</v>
      </c>
      <c r="AS55">
        <v>5</v>
      </c>
      <c r="AT55">
        <v>1</v>
      </c>
      <c r="AU55" s="119">
        <v>8</v>
      </c>
      <c r="AV55" s="101">
        <f>($F$51-M55)/$F$51</f>
        <v>1</v>
      </c>
      <c r="AX55" s="101">
        <f>($G$51-AM55)/$G$51</f>
        <v>1</v>
      </c>
      <c r="AY55" s="101">
        <f>AQ55/AP55</f>
        <v>0.88888888888888884</v>
      </c>
      <c r="AZ55" s="101">
        <f>AS55/AR55</f>
        <v>1</v>
      </c>
      <c r="BA55" s="85">
        <f>(AV55+AX55+AY55+AZ55)/4</f>
        <v>0.97222222222222221</v>
      </c>
      <c r="BB55" s="13">
        <f>AO55/$H$51</f>
        <v>2.1428571428571428</v>
      </c>
      <c r="BC55" s="118">
        <f>AU55/AO55</f>
        <v>0.53333333333333333</v>
      </c>
      <c r="BD55" s="13">
        <f>AN55/AO55</f>
        <v>20.133333333333333</v>
      </c>
      <c r="BE55" s="13">
        <f>AS55/$H$51</f>
        <v>0.7142857142857143</v>
      </c>
      <c r="BF55" s="13">
        <f>AQ55/$H$51</f>
        <v>1.1428571428571428</v>
      </c>
      <c r="BP55" t="str">
        <f t="shared" si="7"/>
        <v>8-1 &amp;  &amp; 0.9 &amp; 0.947368421052632 &amp; 0.923076923076923 &amp; 0.75 &amp; 0.857142857142857 &amp; 0.8 &amp; 0.8 &amp; 0.8 &amp; 0.8 &amp; 6 &amp; 6 &amp; 0.857142857142857 &amp; 1 \\ \hline</v>
      </c>
    </row>
    <row r="56" spans="1:68" ht="16">
      <c r="A56" t="s">
        <v>309</v>
      </c>
      <c r="C56" s="310"/>
      <c r="K56" s="47" t="s">
        <v>382</v>
      </c>
      <c r="L56" s="77" t="s">
        <v>434</v>
      </c>
      <c r="N56" s="81">
        <f>O56-1</f>
        <v>18</v>
      </c>
      <c r="O56" s="81">
        <f>$F$51-1</f>
        <v>19</v>
      </c>
      <c r="P56" s="129">
        <f>N56/$F$51</f>
        <v>0.9</v>
      </c>
      <c r="Q56" s="129">
        <f>N56/O56</f>
        <v>0.94736842105263153</v>
      </c>
      <c r="R56" s="127">
        <f>2*(P56*Q56)/(P56+Q56)</f>
        <v>0.92307692307692313</v>
      </c>
      <c r="T56" s="81">
        <f>U56-1</f>
        <v>6</v>
      </c>
      <c r="U56" s="81">
        <f>$G$51-1</f>
        <v>7</v>
      </c>
      <c r="V56" s="129">
        <f>T56/$G$51</f>
        <v>0.75</v>
      </c>
      <c r="W56" s="129">
        <f>T56/U56</f>
        <v>0.8571428571428571</v>
      </c>
      <c r="X56" s="127">
        <f>2*(V56*W56)/(V56+W56)</f>
        <v>0.79999999999999993</v>
      </c>
      <c r="Z56" s="81">
        <f>AA56-3</f>
        <v>12</v>
      </c>
      <c r="AA56" s="81">
        <f>$I$51</f>
        <v>15</v>
      </c>
      <c r="AB56" s="129">
        <f>Z56/$I$51</f>
        <v>0.8</v>
      </c>
      <c r="AC56" s="129">
        <f>Z56/AA56</f>
        <v>0.8</v>
      </c>
      <c r="AD56" s="127">
        <f>2*(AB56*AC56)/(AB56+AC56)</f>
        <v>0.80000000000000016</v>
      </c>
      <c r="AF56">
        <f>AG56-0</f>
        <v>5</v>
      </c>
      <c r="AG56">
        <v>5</v>
      </c>
      <c r="AH56" s="127">
        <f>AF56/$H$51</f>
        <v>0.7142857142857143</v>
      </c>
      <c r="AI56" s="127">
        <f>AF56/AG56</f>
        <v>1</v>
      </c>
      <c r="AL56" s="122">
        <v>0</v>
      </c>
      <c r="AM56" s="101">
        <v>0</v>
      </c>
      <c r="AN56">
        <v>286</v>
      </c>
      <c r="AO56">
        <v>13</v>
      </c>
      <c r="AP56" s="101">
        <v>8</v>
      </c>
      <c r="AQ56" s="101">
        <v>7</v>
      </c>
      <c r="AR56">
        <v>3</v>
      </c>
      <c r="AS56">
        <v>3</v>
      </c>
      <c r="AT56">
        <v>2</v>
      </c>
      <c r="AV56" s="101">
        <f>($F$51-M56)/$F$51</f>
        <v>1</v>
      </c>
      <c r="AX56" s="101">
        <f>($G$51-AM56)/$G$51</f>
        <v>1</v>
      </c>
      <c r="AY56" s="101">
        <f>AQ56/AP56</f>
        <v>0.875</v>
      </c>
      <c r="AZ56" s="101">
        <f>AS56/AR56</f>
        <v>1</v>
      </c>
      <c r="BA56" s="85">
        <f>(AV56+AX56+AY56+AZ56)/4</f>
        <v>0.96875</v>
      </c>
      <c r="BB56" s="13">
        <f>AO56/$H$51</f>
        <v>1.8571428571428572</v>
      </c>
      <c r="BC56" s="118">
        <f>AU56/AO56</f>
        <v>0</v>
      </c>
      <c r="BD56" s="13">
        <f>AN56/AO56</f>
        <v>22</v>
      </c>
      <c r="BE56" s="13">
        <f>AS56/$H$51</f>
        <v>0.42857142857142855</v>
      </c>
      <c r="BF56" s="13">
        <f>AQ56/$H$51</f>
        <v>1</v>
      </c>
      <c r="BP56" t="str">
        <f t="shared" si="7"/>
        <v>8-1 &amp;  &amp; 0.9 &amp; 0.947368421052632 &amp; 0.923076923076923 &amp; 0.75 &amp; 0.857142857142857 &amp; 0.8 &amp; 0.8 &amp; 0.8 &amp; 0.8 &amp; 5 &amp; 5 &amp; 0.714285714285714 &amp; 1 \\ \hline</v>
      </c>
    </row>
    <row r="57" spans="1:68">
      <c r="P57" s="129"/>
      <c r="Q57" s="129"/>
      <c r="R57" s="127"/>
      <c r="V57" s="129"/>
      <c r="W57" s="129"/>
      <c r="X57" s="127"/>
      <c r="AB57" s="129"/>
      <c r="AC57" s="129"/>
      <c r="AD57" s="127"/>
      <c r="AF57"/>
      <c r="AG57"/>
      <c r="AH57" s="127"/>
      <c r="AI57" s="131"/>
    </row>
    <row r="58" spans="1:68" s="73" customFormat="1">
      <c r="A58" s="73" t="s">
        <v>321</v>
      </c>
      <c r="B58" s="94">
        <v>45179</v>
      </c>
      <c r="C58" s="93" t="s">
        <v>159</v>
      </c>
      <c r="D58" s="78">
        <f>VLOOKUP($C$58,Overview!$Q$2:$AS$64,23,FALSE)</f>
        <v>0.33132630703029992</v>
      </c>
      <c r="E58" s="78" t="str">
        <f>VLOOKUP($C$58,Overview!$Q$2:$AS$64,24,FALSE)</f>
        <v>low</v>
      </c>
      <c r="F58" s="75">
        <f>VLOOKUP(C58,Overview!$Q$2:$AS$64,13,FALSE)</f>
        <v>21</v>
      </c>
      <c r="G58" s="75">
        <f>VLOOKUP(C58,Overview!$Q$2:$AS$64,16,FALSE)</f>
        <v>9</v>
      </c>
      <c r="H58" s="75">
        <f>VLOOKUP(C58,Overview!$Q$2:$AS$64,18,FALSE)</f>
        <v>8</v>
      </c>
      <c r="I58" s="75">
        <f>VLOOKUP($C$58,Overview!$Q$2:$AS$64,19,FALSE)</f>
        <v>18</v>
      </c>
      <c r="K58" s="91"/>
      <c r="M58" s="114"/>
      <c r="N58" s="80"/>
      <c r="O58" s="80"/>
      <c r="P58" s="130"/>
      <c r="Q58" s="130"/>
      <c r="R58" s="128"/>
      <c r="S58" s="114"/>
      <c r="T58" s="80"/>
      <c r="U58" s="80"/>
      <c r="V58" s="130"/>
      <c r="W58" s="130"/>
      <c r="X58" s="128"/>
      <c r="Y58" s="114"/>
      <c r="Z58" s="80"/>
      <c r="AA58" s="80"/>
      <c r="AB58" s="130"/>
      <c r="AC58" s="130"/>
      <c r="AD58" s="128"/>
      <c r="AE58" s="114"/>
      <c r="AH58" s="128"/>
      <c r="AI58" s="128"/>
      <c r="AJ58" s="80"/>
      <c r="AK58" s="114"/>
      <c r="AL58" s="121"/>
      <c r="AM58" s="100"/>
      <c r="AP58" s="100"/>
      <c r="AQ58" s="100"/>
      <c r="AU58" s="120"/>
      <c r="AV58" s="100"/>
      <c r="AW58" s="100"/>
      <c r="AX58" s="100"/>
      <c r="AY58" s="100"/>
      <c r="AZ58" s="100"/>
      <c r="BA58" s="84"/>
      <c r="BC58" s="100"/>
      <c r="BP58"/>
    </row>
    <row r="59" spans="1:68" ht="16">
      <c r="A59" t="s">
        <v>305</v>
      </c>
      <c r="C59" s="310"/>
      <c r="K59" s="47" t="s">
        <v>378</v>
      </c>
      <c r="L59" s="77" t="s">
        <v>450</v>
      </c>
      <c r="N59" s="81">
        <v>17</v>
      </c>
      <c r="O59" s="81">
        <f>$F$58-3</f>
        <v>18</v>
      </c>
      <c r="P59" s="129">
        <f>N59/$F$58</f>
        <v>0.80952380952380953</v>
      </c>
      <c r="Q59" s="129">
        <f>N59/O59</f>
        <v>0.94444444444444442</v>
      </c>
      <c r="R59" s="127">
        <f>2*(P59*Q59)/(P59+Q59)</f>
        <v>0.87179487179487181</v>
      </c>
      <c r="T59" s="81">
        <f>U59-1</f>
        <v>5</v>
      </c>
      <c r="U59" s="81">
        <f>G58-3</f>
        <v>6</v>
      </c>
      <c r="V59" s="129">
        <f>T59/$G$58</f>
        <v>0.55555555555555558</v>
      </c>
      <c r="W59" s="129">
        <f>T59/U59</f>
        <v>0.83333333333333337</v>
      </c>
      <c r="X59" s="127">
        <f>2*(V59*W59)/(V59+W59)</f>
        <v>0.66666666666666674</v>
      </c>
      <c r="Z59" s="81">
        <f>AA59-4</f>
        <v>12</v>
      </c>
      <c r="AA59" s="81">
        <f>I58-2</f>
        <v>16</v>
      </c>
      <c r="AB59" s="129">
        <f>Z59/$I$58</f>
        <v>0.66666666666666663</v>
      </c>
      <c r="AC59" s="129">
        <f>Z59/AA59</f>
        <v>0.75</v>
      </c>
      <c r="AD59" s="127">
        <f>2*(AB59*AC59)/(AB59+AC59)</f>
        <v>0.70588235294117652</v>
      </c>
      <c r="AF59">
        <v>1</v>
      </c>
      <c r="AG59">
        <v>1</v>
      </c>
      <c r="AH59" s="127">
        <f>AF59/$H$58</f>
        <v>0.125</v>
      </c>
      <c r="AI59" s="127">
        <f>AF59/AG59</f>
        <v>1</v>
      </c>
      <c r="AL59" s="122">
        <v>1</v>
      </c>
      <c r="AM59" s="101">
        <v>1</v>
      </c>
      <c r="AN59">
        <v>155</v>
      </c>
      <c r="AO59">
        <v>11</v>
      </c>
      <c r="AP59" s="101">
        <v>10</v>
      </c>
      <c r="AQ59" s="101">
        <v>10</v>
      </c>
      <c r="AR59">
        <v>1</v>
      </c>
      <c r="AS59">
        <v>1</v>
      </c>
      <c r="AT59">
        <v>0</v>
      </c>
      <c r="AU59" s="119">
        <v>7</v>
      </c>
      <c r="AV59" s="101">
        <f>($F$58-M59)/$F$58</f>
        <v>1</v>
      </c>
      <c r="AX59" s="101">
        <f>($G$58-AM59)/$G$58</f>
        <v>0.88888888888888884</v>
      </c>
      <c r="AY59" s="101">
        <f>AQ59/AP59</f>
        <v>1</v>
      </c>
      <c r="AZ59" s="101">
        <f>AS59/AR59</f>
        <v>1</v>
      </c>
      <c r="BA59" s="85">
        <f>(AV59+AX59+AY59+AZ59)/4</f>
        <v>0.97222222222222221</v>
      </c>
      <c r="BB59" s="13">
        <f>AO59/$H$58</f>
        <v>1.375</v>
      </c>
      <c r="BC59" s="118">
        <f>AU59/AO59</f>
        <v>0.63636363636363635</v>
      </c>
      <c r="BD59" s="13">
        <f>AN59/AO59</f>
        <v>14.090909090909092</v>
      </c>
      <c r="BE59" s="13">
        <f>AS59/$H$58</f>
        <v>0.125</v>
      </c>
      <c r="BF59" s="13">
        <f>AQ59/$H$58</f>
        <v>1.25</v>
      </c>
      <c r="BP59" t="str">
        <f>_xlfn.CONCAT($C$58," &amp; ",C59," &amp; ",P59," &amp; ",Q59," &amp; ",R59," &amp; ",V59," &amp; ",W59," &amp; ",X59," &amp; ",AB59," &amp; ",AC59," &amp; ",AD59," &amp; ",AF59," &amp; ",AG59," &amp; ",AH59," &amp; ",AI59, " \\ \hline")</f>
        <v>7-1 &amp;  &amp; 0.80952380952381 &amp; 0.944444444444444 &amp; 0.871794871794872 &amp; 0.555555555555556 &amp; 0.833333333333333 &amp; 0.666666666666667 &amp; 0.666666666666667 &amp; 0.75 &amp; 0.705882352941177 &amp; 1 &amp; 1 &amp; 0.125 &amp; 1 \\ \hline</v>
      </c>
    </row>
    <row r="60" spans="1:68" ht="16">
      <c r="A60" t="s">
        <v>306</v>
      </c>
      <c r="C60" s="310"/>
      <c r="K60" s="47" t="s">
        <v>379</v>
      </c>
      <c r="L60" s="77" t="s">
        <v>451</v>
      </c>
      <c r="N60" s="81">
        <f>O60-2</f>
        <v>18</v>
      </c>
      <c r="O60" s="81">
        <f>$F$58-1</f>
        <v>20</v>
      </c>
      <c r="P60" s="129">
        <f>N60/$F$58</f>
        <v>0.8571428571428571</v>
      </c>
      <c r="Q60" s="129">
        <f>N60/O60</f>
        <v>0.9</v>
      </c>
      <c r="R60" s="127">
        <f>2*(P60*Q60)/(P60+Q60)</f>
        <v>0.87804878048780477</v>
      </c>
      <c r="T60" s="81">
        <f>U60-2</f>
        <v>6</v>
      </c>
      <c r="U60" s="81">
        <f>$G$58-1</f>
        <v>8</v>
      </c>
      <c r="V60" s="129">
        <f>T60/$G$58</f>
        <v>0.66666666666666663</v>
      </c>
      <c r="W60" s="129">
        <f>T60/U60</f>
        <v>0.75</v>
      </c>
      <c r="X60" s="127">
        <f>2*(V60*W60)/(V60+W60)</f>
        <v>0.70588235294117652</v>
      </c>
      <c r="Z60" s="81">
        <f>AA60-4</f>
        <v>14</v>
      </c>
      <c r="AA60" s="81">
        <f>$I$58-0</f>
        <v>18</v>
      </c>
      <c r="AB60" s="129">
        <f>Z60/$I$58</f>
        <v>0.77777777777777779</v>
      </c>
      <c r="AC60" s="129">
        <f>Z60/AA60</f>
        <v>0.77777777777777779</v>
      </c>
      <c r="AD60" s="127">
        <f>2*(AB60*AC60)/(AB60+AC60)</f>
        <v>0.77777777777777779</v>
      </c>
      <c r="AF60">
        <v>3</v>
      </c>
      <c r="AG60">
        <v>3</v>
      </c>
      <c r="AH60" s="127">
        <f>AF60/$H$58</f>
        <v>0.375</v>
      </c>
      <c r="AI60" s="127">
        <f>AF60/AG60</f>
        <v>1</v>
      </c>
      <c r="AL60" s="122">
        <v>1</v>
      </c>
      <c r="AM60" s="101">
        <v>1</v>
      </c>
      <c r="AN60">
        <v>269</v>
      </c>
      <c r="AO60">
        <v>19</v>
      </c>
      <c r="AP60" s="101">
        <v>14</v>
      </c>
      <c r="AQ60" s="101">
        <v>13</v>
      </c>
      <c r="AR60">
        <v>4</v>
      </c>
      <c r="AS60">
        <v>4</v>
      </c>
      <c r="AT60">
        <v>1</v>
      </c>
      <c r="AU60" s="119">
        <v>9</v>
      </c>
      <c r="AV60" s="101">
        <f>($F$58-M60)/$F$58</f>
        <v>1</v>
      </c>
      <c r="AX60" s="101">
        <f>($G$58-AM60)/$G$58</f>
        <v>0.88888888888888884</v>
      </c>
      <c r="AY60" s="101">
        <f>AQ60/AP60</f>
        <v>0.9285714285714286</v>
      </c>
      <c r="AZ60" s="101">
        <f>AS60/AR60</f>
        <v>1</v>
      </c>
      <c r="BA60" s="85">
        <f>(AV60+AX60+AY60+AZ60)/4</f>
        <v>0.95436507936507931</v>
      </c>
      <c r="BB60" s="13">
        <f>AO60/$H$58</f>
        <v>2.375</v>
      </c>
      <c r="BC60" s="118">
        <f>AU60/AO60</f>
        <v>0.47368421052631576</v>
      </c>
      <c r="BD60" s="13">
        <f>AN60/AO60</f>
        <v>14.157894736842104</v>
      </c>
      <c r="BE60" s="13">
        <f>AS60/$H$58</f>
        <v>0.5</v>
      </c>
      <c r="BF60" s="13">
        <f>AQ60/$H$58</f>
        <v>1.625</v>
      </c>
      <c r="BP60" t="str">
        <f t="shared" ref="BP60:BP63" si="8">_xlfn.CONCAT($C$58," &amp; ",C60," &amp; ",P60," &amp; ",Q60," &amp; ",R60," &amp; ",V60," &amp; ",W60," &amp; ",X60," &amp; ",AB60," &amp; ",AC60," &amp; ",AD60," &amp; ",AF60," &amp; ",AG60," &amp; ",AH60," &amp; ",AI60, " \\ \hline")</f>
        <v>7-1 &amp;  &amp; 0.857142857142857 &amp; 0.9 &amp; 0.878048780487805 &amp; 0.666666666666667 &amp; 0.75 &amp; 0.705882352941177 &amp; 0.777777777777778 &amp; 0.777777777777778 &amp; 0.777777777777778 &amp; 3 &amp; 3 &amp; 0.375 &amp; 1 \\ \hline</v>
      </c>
    </row>
    <row r="61" spans="1:68" ht="16">
      <c r="A61" t="s">
        <v>307</v>
      </c>
      <c r="C61" s="310"/>
      <c r="K61" s="47" t="s">
        <v>380</v>
      </c>
      <c r="L61" s="77" t="s">
        <v>452</v>
      </c>
      <c r="N61" s="81">
        <f>O61-1</f>
        <v>19</v>
      </c>
      <c r="O61" s="81">
        <f>$F$58-1</f>
        <v>20</v>
      </c>
      <c r="P61" s="129">
        <f>N61/$F$58</f>
        <v>0.90476190476190477</v>
      </c>
      <c r="Q61" s="129">
        <f>N61/O61</f>
        <v>0.95</v>
      </c>
      <c r="R61" s="127">
        <f>2*(P61*Q61)/(P61+Q61)</f>
        <v>0.92682926829268286</v>
      </c>
      <c r="T61" s="81">
        <f>U61-1</f>
        <v>7</v>
      </c>
      <c r="U61" s="81">
        <f>$G$58-1</f>
        <v>8</v>
      </c>
      <c r="V61" s="129">
        <f>T61/$G$58</f>
        <v>0.77777777777777779</v>
      </c>
      <c r="W61" s="129">
        <f>T61/U61</f>
        <v>0.875</v>
      </c>
      <c r="X61" s="127">
        <f>2*(V61*W61)/(V61+W61)</f>
        <v>0.82352941176470595</v>
      </c>
      <c r="Z61" s="81">
        <f>AA61-2</f>
        <v>16</v>
      </c>
      <c r="AA61" s="81">
        <f>$I$58-0</f>
        <v>18</v>
      </c>
      <c r="AB61" s="129">
        <f>Z61/$I$58</f>
        <v>0.88888888888888884</v>
      </c>
      <c r="AC61" s="129">
        <f>Z61/AA61</f>
        <v>0.88888888888888884</v>
      </c>
      <c r="AD61" s="127">
        <f>2*(AB61*AC61)/(AB61+AC61)</f>
        <v>0.88888888888888884</v>
      </c>
      <c r="AF61">
        <v>4</v>
      </c>
      <c r="AG61">
        <v>4</v>
      </c>
      <c r="AH61" s="127">
        <f>AF61/$H$58</f>
        <v>0.5</v>
      </c>
      <c r="AI61" s="127">
        <f>AF61/AG61</f>
        <v>1</v>
      </c>
      <c r="AL61" s="122">
        <v>0</v>
      </c>
      <c r="AM61" s="101">
        <v>0</v>
      </c>
      <c r="AN61">
        <v>274</v>
      </c>
      <c r="AO61" s="107">
        <v>14</v>
      </c>
      <c r="AP61" s="101">
        <v>10</v>
      </c>
      <c r="AQ61" s="101">
        <v>10</v>
      </c>
      <c r="AR61">
        <v>4</v>
      </c>
      <c r="AS61">
        <v>4</v>
      </c>
      <c r="AT61">
        <v>0</v>
      </c>
      <c r="AU61" s="119">
        <v>8</v>
      </c>
      <c r="AV61" s="101">
        <f>($F$58-M61)/$F$58</f>
        <v>1</v>
      </c>
      <c r="AX61" s="101">
        <f>($G$58-AM61)/$G$58</f>
        <v>1</v>
      </c>
      <c r="AY61" s="101">
        <f>AQ61/AP61</f>
        <v>1</v>
      </c>
      <c r="AZ61" s="101">
        <f>AS61/AR61</f>
        <v>1</v>
      </c>
      <c r="BA61" s="85">
        <f>(AV61+AX61+AY61+AZ61)/4</f>
        <v>1</v>
      </c>
      <c r="BB61" s="13">
        <f>AO61/$H$58</f>
        <v>1.75</v>
      </c>
      <c r="BC61" s="118">
        <f>AU61/AO61</f>
        <v>0.5714285714285714</v>
      </c>
      <c r="BD61" s="13">
        <f>AN61/AO61</f>
        <v>19.571428571428573</v>
      </c>
      <c r="BE61" s="13">
        <f>AS61/$H$58</f>
        <v>0.5</v>
      </c>
      <c r="BF61" s="13">
        <f>AQ61/$H$58</f>
        <v>1.25</v>
      </c>
      <c r="BP61" t="str">
        <f t="shared" si="8"/>
        <v>7-1 &amp;  &amp; 0.904761904761905 &amp; 0.95 &amp; 0.926829268292683 &amp; 0.777777777777778 &amp; 0.875 &amp; 0.823529411764706 &amp; 0.888888888888889 &amp; 0.888888888888889 &amp; 0.888888888888889 &amp; 4 &amp; 4 &amp; 0.5 &amp; 1 \\ \hline</v>
      </c>
    </row>
    <row r="62" spans="1:68" ht="16">
      <c r="A62" t="s">
        <v>308</v>
      </c>
      <c r="C62" s="310"/>
      <c r="K62" s="47" t="s">
        <v>381</v>
      </c>
      <c r="L62" s="77" t="s">
        <v>453</v>
      </c>
      <c r="N62" s="81">
        <f>O62-1</f>
        <v>19</v>
      </c>
      <c r="O62" s="81">
        <f>$F$58-1</f>
        <v>20</v>
      </c>
      <c r="P62" s="129">
        <f>N62/$F$58</f>
        <v>0.90476190476190477</v>
      </c>
      <c r="Q62" s="129">
        <f>N62/O62</f>
        <v>0.95</v>
      </c>
      <c r="R62" s="127">
        <f>2*(P62*Q62)/(P62+Q62)</f>
        <v>0.92682926829268286</v>
      </c>
      <c r="T62" s="81">
        <f>U62-1</f>
        <v>7</v>
      </c>
      <c r="U62" s="81">
        <f>$G$58-1</f>
        <v>8</v>
      </c>
      <c r="V62" s="129">
        <f>T62/$G$58</f>
        <v>0.77777777777777779</v>
      </c>
      <c r="W62" s="129">
        <f>T62/U62</f>
        <v>0.875</v>
      </c>
      <c r="X62" s="127">
        <f>2*(V62*W62)/(V62+W62)</f>
        <v>0.82352941176470595</v>
      </c>
      <c r="Z62" s="81">
        <f>AA62-1</f>
        <v>17</v>
      </c>
      <c r="AA62" s="81">
        <f>$I$58-0</f>
        <v>18</v>
      </c>
      <c r="AB62" s="129">
        <f>Z62/$I$58</f>
        <v>0.94444444444444442</v>
      </c>
      <c r="AC62" s="129">
        <f>Z62/AA62</f>
        <v>0.94444444444444442</v>
      </c>
      <c r="AD62" s="127">
        <f>2*(AB62*AC62)/(AB62+AC62)</f>
        <v>0.94444444444444442</v>
      </c>
      <c r="AF62">
        <v>4</v>
      </c>
      <c r="AG62">
        <v>4</v>
      </c>
      <c r="AH62" s="127">
        <f>AF62/$H$58</f>
        <v>0.5</v>
      </c>
      <c r="AI62" s="127">
        <f>AF62/AG62</f>
        <v>1</v>
      </c>
      <c r="AL62" s="122">
        <v>0</v>
      </c>
      <c r="AM62" s="101">
        <v>0</v>
      </c>
      <c r="AN62">
        <v>270</v>
      </c>
      <c r="AO62">
        <v>14</v>
      </c>
      <c r="AP62" s="101">
        <v>9</v>
      </c>
      <c r="AQ62" s="101">
        <v>9</v>
      </c>
      <c r="AR62">
        <v>4</v>
      </c>
      <c r="AS62">
        <v>4</v>
      </c>
      <c r="AT62">
        <v>1</v>
      </c>
      <c r="AU62" s="119">
        <v>10</v>
      </c>
      <c r="AV62" s="101">
        <f>($F$58-M62)/$F$58</f>
        <v>1</v>
      </c>
      <c r="AX62" s="101">
        <f>($G$58-AM62)/$G$58</f>
        <v>1</v>
      </c>
      <c r="AY62" s="101">
        <f>AQ62/AP62</f>
        <v>1</v>
      </c>
      <c r="AZ62" s="101">
        <f>AS62/AR62</f>
        <v>1</v>
      </c>
      <c r="BA62" s="85">
        <f>(AV62+AX62+AY62+AZ62)/4</f>
        <v>1</v>
      </c>
      <c r="BB62" s="13">
        <f>AO62/$H$58</f>
        <v>1.75</v>
      </c>
      <c r="BC62" s="118">
        <f>AU62/AO62</f>
        <v>0.7142857142857143</v>
      </c>
      <c r="BD62" s="13">
        <f>AN62/AO62</f>
        <v>19.285714285714285</v>
      </c>
      <c r="BE62" s="13">
        <f>AS62/$H$58</f>
        <v>0.5</v>
      </c>
      <c r="BF62" s="13">
        <f>AQ62/$H$58</f>
        <v>1.125</v>
      </c>
      <c r="BP62" t="str">
        <f t="shared" si="8"/>
        <v>7-1 &amp;  &amp; 0.904761904761905 &amp; 0.95 &amp; 0.926829268292683 &amp; 0.777777777777778 &amp; 0.875 &amp; 0.823529411764706 &amp; 0.944444444444444 &amp; 0.944444444444444 &amp; 0.944444444444444 &amp; 4 &amp; 4 &amp; 0.5 &amp; 1 \\ \hline</v>
      </c>
    </row>
    <row r="63" spans="1:68" ht="16">
      <c r="A63" t="s">
        <v>309</v>
      </c>
      <c r="C63" s="310"/>
      <c r="K63" s="47" t="s">
        <v>382</v>
      </c>
      <c r="L63" s="77" t="s">
        <v>454</v>
      </c>
      <c r="N63" s="81">
        <f>O63-1</f>
        <v>19</v>
      </c>
      <c r="O63" s="81">
        <f>$F$58-1</f>
        <v>20</v>
      </c>
      <c r="P63" s="129">
        <f>N63/$F$58</f>
        <v>0.90476190476190477</v>
      </c>
      <c r="Q63" s="129">
        <f>N63/O63</f>
        <v>0.95</v>
      </c>
      <c r="R63" s="127">
        <f>2*(P63*Q63)/(P63+Q63)</f>
        <v>0.92682926829268286</v>
      </c>
      <c r="T63" s="81">
        <f>U63-2</f>
        <v>6</v>
      </c>
      <c r="U63" s="81">
        <f>$G$58-1</f>
        <v>8</v>
      </c>
      <c r="V63" s="129">
        <f>T63/$G$58</f>
        <v>0.66666666666666663</v>
      </c>
      <c r="W63" s="129">
        <f>T63/U63</f>
        <v>0.75</v>
      </c>
      <c r="X63" s="127">
        <f>2*(V63*W63)/(V63+W63)</f>
        <v>0.70588235294117652</v>
      </c>
      <c r="Z63" s="81">
        <f>AA63-4</f>
        <v>14</v>
      </c>
      <c r="AA63" s="81">
        <f>$I$58-0</f>
        <v>18</v>
      </c>
      <c r="AB63" s="129">
        <f>Z63/$I$58</f>
        <v>0.77777777777777779</v>
      </c>
      <c r="AC63" s="129">
        <f>Z63/AA63</f>
        <v>0.77777777777777779</v>
      </c>
      <c r="AD63" s="127">
        <f>2*(AB63*AC63)/(AB63+AC63)</f>
        <v>0.77777777777777779</v>
      </c>
      <c r="AF63">
        <v>2</v>
      </c>
      <c r="AG63">
        <v>2</v>
      </c>
      <c r="AH63" s="127">
        <f>AF63/$H$58</f>
        <v>0.25</v>
      </c>
      <c r="AI63" s="127">
        <f>AF63/AG63</f>
        <v>1</v>
      </c>
      <c r="AL63" s="122">
        <v>1</v>
      </c>
      <c r="AM63" s="101">
        <v>1</v>
      </c>
      <c r="AN63">
        <v>248</v>
      </c>
      <c r="AO63" s="107">
        <v>15</v>
      </c>
      <c r="AP63" s="101">
        <v>11</v>
      </c>
      <c r="AQ63" s="101">
        <v>11</v>
      </c>
      <c r="AR63">
        <v>2</v>
      </c>
      <c r="AS63">
        <v>2</v>
      </c>
      <c r="AT63">
        <v>2</v>
      </c>
      <c r="AU63" s="119">
        <v>10</v>
      </c>
      <c r="AV63" s="101">
        <f>($F$58-M63)/$F$58</f>
        <v>1</v>
      </c>
      <c r="AX63" s="101">
        <f>($G$58-AM63)/$G$58</f>
        <v>0.88888888888888884</v>
      </c>
      <c r="AY63" s="101">
        <f>AQ63/AP63</f>
        <v>1</v>
      </c>
      <c r="AZ63" s="101">
        <f>AS63/AR63</f>
        <v>1</v>
      </c>
      <c r="BA63" s="85">
        <f>(AV63+AX63+AY63+AZ63)/4</f>
        <v>0.97222222222222221</v>
      </c>
      <c r="BB63" s="13">
        <f>AO63/$H$58</f>
        <v>1.875</v>
      </c>
      <c r="BC63" s="118">
        <f>AU63/AO63</f>
        <v>0.66666666666666663</v>
      </c>
      <c r="BD63" s="13">
        <f>AN63/AO63</f>
        <v>16.533333333333335</v>
      </c>
      <c r="BE63" s="13">
        <f>AS63/$H$58</f>
        <v>0.25</v>
      </c>
      <c r="BF63" s="13">
        <f>AQ63/$H$58</f>
        <v>1.375</v>
      </c>
      <c r="BP63" t="str">
        <f t="shared" si="8"/>
        <v>7-1 &amp;  &amp; 0.904761904761905 &amp; 0.95 &amp; 0.926829268292683 &amp; 0.666666666666667 &amp; 0.75 &amp; 0.705882352941177 &amp; 0.777777777777778 &amp; 0.777777777777778 &amp; 0.777777777777778 &amp; 2 &amp; 2 &amp; 0.25 &amp; 1 \\ \hline</v>
      </c>
    </row>
    <row r="64" spans="1:68">
      <c r="C64" s="98"/>
      <c r="K64" s="48"/>
      <c r="L64" s="77"/>
      <c r="P64" s="129"/>
      <c r="Q64" s="129"/>
      <c r="R64" s="127"/>
      <c r="V64" s="129"/>
      <c r="W64" s="129"/>
      <c r="X64" s="127"/>
      <c r="AB64" s="129"/>
      <c r="AC64" s="129"/>
      <c r="AD64" s="127"/>
      <c r="AF64"/>
      <c r="AG64"/>
      <c r="AH64" s="127"/>
      <c r="AI64" s="127"/>
      <c r="AO64" s="107"/>
      <c r="BB64" s="13"/>
      <c r="BC64" s="118"/>
      <c r="BD64" s="13"/>
      <c r="BE64" s="13"/>
      <c r="BF64" s="13"/>
    </row>
    <row r="65" spans="1:68" s="73" customFormat="1">
      <c r="A65" s="73" t="s">
        <v>320</v>
      </c>
      <c r="B65" s="94">
        <v>45179</v>
      </c>
      <c r="C65" s="93" t="s">
        <v>157</v>
      </c>
      <c r="D65" s="78">
        <f>VLOOKUP($C$65,Overview!$Q$2:$AS$64,23,FALSE)</f>
        <v>0.37572494412610796</v>
      </c>
      <c r="E65" s="78" t="str">
        <f>VLOOKUP($C$65,Overview!$Q$2:$AS$64,24,FALSE)</f>
        <v>low</v>
      </c>
      <c r="F65" s="75">
        <f>VLOOKUP(C65,Overview!$Q$2:$AS$64,13,FALSE)</f>
        <v>24</v>
      </c>
      <c r="G65" s="75">
        <f>VLOOKUP(C65,Overview!$Q$2:$AS$64,16,FALSE)</f>
        <v>8</v>
      </c>
      <c r="H65" s="75">
        <f>VLOOKUP(C65,Overview!$Q$2:$AS$64,18,FALSE)</f>
        <v>10</v>
      </c>
      <c r="I65" s="75">
        <f>VLOOKUP($C$65,Overview!$Q$2:$AS$64,19,FALSE)</f>
        <v>20</v>
      </c>
      <c r="K65" s="91"/>
      <c r="M65" s="114"/>
      <c r="N65" s="80"/>
      <c r="O65" s="80"/>
      <c r="P65" s="130"/>
      <c r="Q65" s="130"/>
      <c r="R65" s="128"/>
      <c r="S65" s="114"/>
      <c r="T65" s="80"/>
      <c r="U65" s="80"/>
      <c r="V65" s="130"/>
      <c r="W65" s="130"/>
      <c r="X65" s="128"/>
      <c r="Y65" s="114"/>
      <c r="Z65" s="80"/>
      <c r="AA65" s="80"/>
      <c r="AB65" s="130"/>
      <c r="AC65" s="130"/>
      <c r="AD65" s="128"/>
      <c r="AE65" s="114"/>
      <c r="AH65" s="128"/>
      <c r="AI65" s="128"/>
      <c r="AJ65" s="80"/>
      <c r="AK65" s="114"/>
      <c r="AL65" s="121"/>
      <c r="AM65" s="100"/>
      <c r="AP65" s="100"/>
      <c r="AQ65" s="100"/>
      <c r="AU65" s="120"/>
      <c r="AV65" s="100"/>
      <c r="AW65" s="100"/>
      <c r="AX65" s="100"/>
      <c r="AY65" s="100"/>
      <c r="AZ65" s="100"/>
      <c r="BA65" s="84"/>
      <c r="BC65" s="100"/>
      <c r="BP65"/>
    </row>
    <row r="66" spans="1:68" ht="16">
      <c r="A66" t="s">
        <v>305</v>
      </c>
      <c r="C66" s="310"/>
      <c r="K66" s="47" t="s">
        <v>378</v>
      </c>
      <c r="L66" s="77" t="s">
        <v>445</v>
      </c>
      <c r="N66" s="81">
        <f>O66-0</f>
        <v>24</v>
      </c>
      <c r="O66" s="81">
        <f>$F$65-0</f>
        <v>24</v>
      </c>
      <c r="P66" s="129">
        <f>N66/$F$65</f>
        <v>1</v>
      </c>
      <c r="Q66" s="129">
        <f>N66/O66</f>
        <v>1</v>
      </c>
      <c r="R66" s="127">
        <f>2*(P66*Q66)/(P66+Q66)</f>
        <v>1</v>
      </c>
      <c r="T66" s="81">
        <f>U66-0</f>
        <v>8</v>
      </c>
      <c r="U66" s="81">
        <f>$G$65-0</f>
        <v>8</v>
      </c>
      <c r="V66" s="129">
        <f>T66/$G$65</f>
        <v>1</v>
      </c>
      <c r="W66" s="129">
        <f>T66/U66</f>
        <v>1</v>
      </c>
      <c r="X66" s="127">
        <f>2*(V66*W66)/(V66+W66)</f>
        <v>1</v>
      </c>
      <c r="Z66" s="81">
        <f>AA66-0</f>
        <v>20</v>
      </c>
      <c r="AA66" s="81">
        <f>$I$65-0</f>
        <v>20</v>
      </c>
      <c r="AB66" s="129">
        <f>Z66/$I$65</f>
        <v>1</v>
      </c>
      <c r="AC66" s="129">
        <f>Z66/AA66</f>
        <v>1</v>
      </c>
      <c r="AD66" s="127">
        <f>2*(AB66*AC66)/(AB66+AC66)</f>
        <v>1</v>
      </c>
      <c r="AF66">
        <v>2</v>
      </c>
      <c r="AG66">
        <v>2</v>
      </c>
      <c r="AH66" s="127">
        <f>AF66/$H$65</f>
        <v>0.2</v>
      </c>
      <c r="AI66" s="127">
        <f>AF66/AG66</f>
        <v>1</v>
      </c>
      <c r="AL66" s="122">
        <v>0</v>
      </c>
      <c r="AM66" s="101">
        <v>0</v>
      </c>
      <c r="AN66">
        <v>228</v>
      </c>
      <c r="AO66">
        <v>12</v>
      </c>
      <c r="AP66" s="101">
        <v>10</v>
      </c>
      <c r="AQ66" s="101">
        <v>10</v>
      </c>
      <c r="AR66">
        <v>2</v>
      </c>
      <c r="AS66">
        <v>2</v>
      </c>
      <c r="AT66">
        <v>0</v>
      </c>
      <c r="AU66" s="119">
        <v>8</v>
      </c>
      <c r="AV66" s="101">
        <f>($F$65-M66)/$F$65</f>
        <v>1</v>
      </c>
      <c r="AX66" s="101">
        <f>($G$65-AM66)/$G$65</f>
        <v>1</v>
      </c>
      <c r="AY66" s="101">
        <f>AQ66/AP66</f>
        <v>1</v>
      </c>
      <c r="AZ66" s="101">
        <f>AS66/AR66</f>
        <v>1</v>
      </c>
      <c r="BA66" s="85">
        <f>(AV66+AX66+AY66+AZ66)/4</f>
        <v>1</v>
      </c>
      <c r="BB66" s="13">
        <f>AO66/$H$65</f>
        <v>1.2</v>
      </c>
      <c r="BC66" s="118">
        <f>AU66/AO66</f>
        <v>0.66666666666666663</v>
      </c>
      <c r="BD66" s="13">
        <f>AN66/AO66</f>
        <v>19</v>
      </c>
      <c r="BE66" s="13">
        <f>AS66/$H$65</f>
        <v>0.2</v>
      </c>
      <c r="BF66" s="13">
        <f>AQ66/$H$65</f>
        <v>1</v>
      </c>
      <c r="BP66" t="str">
        <f>_xlfn.CONCAT($C$65," &amp; ",C66," &amp; ",P66," &amp; ",Q66," &amp; ",R66," &amp; ",V66," &amp; ",W66," &amp; ",X66," &amp; ",AB66," &amp; ",AC66," &amp; ",AD66," &amp; ",AF66," &amp; ",AG66," &amp; ",AH66," &amp; ",AI66, " \\ \hline")</f>
        <v>6-3 &amp;  &amp; 1 &amp; 1 &amp; 1 &amp; 1 &amp; 1 &amp; 1 &amp; 1 &amp; 1 &amp; 1 &amp; 2 &amp; 2 &amp; 0.2 &amp; 1 \\ \hline</v>
      </c>
    </row>
    <row r="67" spans="1:68" ht="16">
      <c r="A67" t="s">
        <v>306</v>
      </c>
      <c r="C67" s="310"/>
      <c r="K67" s="47" t="s">
        <v>379</v>
      </c>
      <c r="L67" s="77" t="s">
        <v>446</v>
      </c>
      <c r="N67" s="81">
        <f>O67-1</f>
        <v>23</v>
      </c>
      <c r="O67" s="81">
        <f>$F$65-0</f>
        <v>24</v>
      </c>
      <c r="P67" s="129">
        <f>N67/$F$65</f>
        <v>0.95833333333333337</v>
      </c>
      <c r="Q67" s="129">
        <f>N67/O67</f>
        <v>0.95833333333333337</v>
      </c>
      <c r="R67" s="127">
        <f>2*(P67*Q67)/(P67+Q67)</f>
        <v>0.95833333333333337</v>
      </c>
      <c r="T67" s="81">
        <f>U67-1</f>
        <v>7</v>
      </c>
      <c r="U67" s="81">
        <f>$G$65-0</f>
        <v>8</v>
      </c>
      <c r="V67" s="129">
        <f>T67/$G$65</f>
        <v>0.875</v>
      </c>
      <c r="W67" s="129">
        <f>T67/U67</f>
        <v>0.875</v>
      </c>
      <c r="X67" s="127">
        <f>2*(V67*W67)/(V67+W67)</f>
        <v>0.875</v>
      </c>
      <c r="Z67" s="81">
        <f>AA67-0</f>
        <v>20</v>
      </c>
      <c r="AA67" s="81">
        <f>$I$65-0</f>
        <v>20</v>
      </c>
      <c r="AB67" s="129">
        <f>Z67/$I$65</f>
        <v>1</v>
      </c>
      <c r="AC67" s="129">
        <f>Z67/AA67</f>
        <v>1</v>
      </c>
      <c r="AD67" s="127">
        <f>2*(AB67*AC67)/(AB67+AC67)</f>
        <v>1</v>
      </c>
      <c r="AF67">
        <v>8</v>
      </c>
      <c r="AG67">
        <v>9</v>
      </c>
      <c r="AH67" s="127">
        <f>AF67/$H$65</f>
        <v>0.8</v>
      </c>
      <c r="AI67" s="127">
        <f>AF67/AG67</f>
        <v>0.88888888888888884</v>
      </c>
      <c r="AL67" s="122">
        <v>0</v>
      </c>
      <c r="AM67" s="101">
        <v>0</v>
      </c>
      <c r="AN67">
        <v>307</v>
      </c>
      <c r="AO67">
        <v>18</v>
      </c>
      <c r="AP67" s="101">
        <v>11</v>
      </c>
      <c r="AQ67" s="101">
        <v>11</v>
      </c>
      <c r="AR67">
        <v>7</v>
      </c>
      <c r="AS67">
        <v>7</v>
      </c>
      <c r="AT67">
        <v>0</v>
      </c>
      <c r="AU67" s="119">
        <v>9</v>
      </c>
      <c r="AV67" s="101">
        <f>($F$65-M67)/$F$65</f>
        <v>1</v>
      </c>
      <c r="AX67" s="101">
        <f>($G$65-AM67)/$G$65</f>
        <v>1</v>
      </c>
      <c r="AY67" s="101">
        <f>AQ67/AP67</f>
        <v>1</v>
      </c>
      <c r="AZ67" s="101">
        <f>AS67/AR67</f>
        <v>1</v>
      </c>
      <c r="BA67" s="85">
        <f>(AV67+AX67+AY67+AZ67)/4</f>
        <v>1</v>
      </c>
      <c r="BB67" s="13">
        <f>AO67/$H$65</f>
        <v>1.8</v>
      </c>
      <c r="BC67" s="118">
        <f>AU67/AO67</f>
        <v>0.5</v>
      </c>
      <c r="BD67" s="13">
        <f>AN67/AO67</f>
        <v>17.055555555555557</v>
      </c>
      <c r="BE67" s="13">
        <f>AS67/$H$65</f>
        <v>0.7</v>
      </c>
      <c r="BF67" s="13">
        <f>AQ67/$H$65</f>
        <v>1.1000000000000001</v>
      </c>
      <c r="BP67" t="str">
        <f t="shared" ref="BP67:BP70" si="9">_xlfn.CONCAT($C$65," &amp; ",C67," &amp; ",P67," &amp; ",Q67," &amp; ",R67," &amp; ",V67," &amp; ",W67," &amp; ",X67," &amp; ",AB67," &amp; ",AC67," &amp; ",AD67," &amp; ",AF67," &amp; ",AG67," &amp; ",AH67," &amp; ",AI67, " \\ \hline")</f>
        <v>6-3 &amp;  &amp; 0.958333333333333 &amp; 0.958333333333333 &amp; 0.958333333333333 &amp; 0.875 &amp; 0.875 &amp; 0.875 &amp; 1 &amp; 1 &amp; 1 &amp; 8 &amp; 9 &amp; 0.8 &amp; 0.888888888888889 \\ \hline</v>
      </c>
    </row>
    <row r="68" spans="1:68" ht="16">
      <c r="A68" t="s">
        <v>307</v>
      </c>
      <c r="C68" s="310"/>
      <c r="K68" s="47" t="s">
        <v>380</v>
      </c>
      <c r="L68" s="77" t="s">
        <v>447</v>
      </c>
      <c r="N68" s="81">
        <f>O68-0</f>
        <v>24</v>
      </c>
      <c r="O68" s="81">
        <f>$F$65-0</f>
        <v>24</v>
      </c>
      <c r="P68" s="129">
        <f>N68/$F$65</f>
        <v>1</v>
      </c>
      <c r="Q68" s="129">
        <f>N68/O68</f>
        <v>1</v>
      </c>
      <c r="R68" s="127">
        <f>2*(P68*Q68)/(P68+Q68)</f>
        <v>1</v>
      </c>
      <c r="T68" s="81">
        <f>U68-0</f>
        <v>8</v>
      </c>
      <c r="U68" s="81">
        <f>$G$65-0</f>
        <v>8</v>
      </c>
      <c r="V68" s="129">
        <f>T68/$G$65</f>
        <v>1</v>
      </c>
      <c r="W68" s="129">
        <f>T68/U68</f>
        <v>1</v>
      </c>
      <c r="X68" s="127">
        <f>2*(V68*W68)/(V68+W68)</f>
        <v>1</v>
      </c>
      <c r="Z68" s="81">
        <f>AA68-1</f>
        <v>19</v>
      </c>
      <c r="AA68" s="81">
        <f>$I$65-0</f>
        <v>20</v>
      </c>
      <c r="AB68" s="129">
        <f>Z68/$I$65</f>
        <v>0.95</v>
      </c>
      <c r="AC68" s="129">
        <f>Z68/AA68</f>
        <v>0.95</v>
      </c>
      <c r="AD68" s="127">
        <f>2*(AB68*AC68)/(AB68+AC68)</f>
        <v>0.95000000000000007</v>
      </c>
      <c r="AF68">
        <v>6</v>
      </c>
      <c r="AG68">
        <v>6</v>
      </c>
      <c r="AH68" s="127">
        <f>AF68/$H$65</f>
        <v>0.6</v>
      </c>
      <c r="AI68" s="127">
        <f>AF68/AG68</f>
        <v>1</v>
      </c>
      <c r="AL68" s="122">
        <v>0</v>
      </c>
      <c r="AM68" s="101">
        <v>0</v>
      </c>
      <c r="AN68">
        <v>326</v>
      </c>
      <c r="AO68">
        <v>13</v>
      </c>
      <c r="AP68" s="101">
        <v>11</v>
      </c>
      <c r="AQ68" s="101">
        <v>8</v>
      </c>
      <c r="AR68">
        <v>2</v>
      </c>
      <c r="AS68">
        <v>2</v>
      </c>
      <c r="AT68">
        <v>0</v>
      </c>
      <c r="AU68" s="119">
        <v>10</v>
      </c>
      <c r="AV68" s="101">
        <f>($F$65-M68)/$F$65</f>
        <v>1</v>
      </c>
      <c r="AX68" s="101">
        <f>($G$65-AM68)/$G$65</f>
        <v>1</v>
      </c>
      <c r="AY68" s="101">
        <f>AQ68/AP68</f>
        <v>0.72727272727272729</v>
      </c>
      <c r="AZ68" s="101">
        <f>AS68/AR68</f>
        <v>1</v>
      </c>
      <c r="BA68" s="85">
        <f>(AV68+AX68+AY68+AZ68)/4</f>
        <v>0.93181818181818188</v>
      </c>
      <c r="BB68" s="13">
        <f>AO68/$H$65</f>
        <v>1.3</v>
      </c>
      <c r="BC68" s="118">
        <f>AU68/AO68</f>
        <v>0.76923076923076927</v>
      </c>
      <c r="BD68" s="13">
        <f>AN68/AO68</f>
        <v>25.076923076923077</v>
      </c>
      <c r="BE68" s="13">
        <f>AS68/$H$65</f>
        <v>0.2</v>
      </c>
      <c r="BF68" s="13">
        <f>AQ68/$H$65</f>
        <v>0.8</v>
      </c>
      <c r="BP68" t="str">
        <f t="shared" si="9"/>
        <v>6-3 &amp;  &amp; 1 &amp; 1 &amp; 1 &amp; 1 &amp; 1 &amp; 1 &amp; 0.95 &amp; 0.95 &amp; 0.95 &amp; 6 &amp; 6 &amp; 0.6 &amp; 1 \\ \hline</v>
      </c>
    </row>
    <row r="69" spans="1:68" ht="16">
      <c r="A69" t="s">
        <v>308</v>
      </c>
      <c r="C69" s="310"/>
      <c r="K69" s="47" t="s">
        <v>381</v>
      </c>
      <c r="L69" s="77" t="s">
        <v>448</v>
      </c>
      <c r="N69" s="81">
        <f>O69-0</f>
        <v>23</v>
      </c>
      <c r="O69" s="81">
        <f>$F$65-1</f>
        <v>23</v>
      </c>
      <c r="P69" s="129">
        <f>N69/$F$65</f>
        <v>0.95833333333333337</v>
      </c>
      <c r="Q69" s="129">
        <f>N69/O69</f>
        <v>1</v>
      </c>
      <c r="R69" s="127">
        <f>2*(P69*Q69)/(P69+Q69)</f>
        <v>0.97872340425531912</v>
      </c>
      <c r="T69" s="81">
        <f>U69-0</f>
        <v>7</v>
      </c>
      <c r="U69" s="81">
        <f>$G$65-1</f>
        <v>7</v>
      </c>
      <c r="V69" s="129">
        <f>T69/$G$65</f>
        <v>0.875</v>
      </c>
      <c r="W69" s="129">
        <f>T69/U69</f>
        <v>1</v>
      </c>
      <c r="X69" s="127">
        <f>2*(V69*W69)/(V69+W69)</f>
        <v>0.93333333333333335</v>
      </c>
      <c r="Z69" s="81">
        <f>AA69-1</f>
        <v>19</v>
      </c>
      <c r="AA69" s="81">
        <f>$I$65-0</f>
        <v>20</v>
      </c>
      <c r="AB69" s="129">
        <f>Z69/$I$65</f>
        <v>0.95</v>
      </c>
      <c r="AC69" s="129">
        <f>Z69/AA69</f>
        <v>0.95</v>
      </c>
      <c r="AD69" s="127">
        <f>2*(AB69*AC69)/(AB69+AC69)</f>
        <v>0.95000000000000007</v>
      </c>
      <c r="AF69">
        <v>7</v>
      </c>
      <c r="AG69">
        <v>8</v>
      </c>
      <c r="AH69" s="127">
        <f>AF69/$H$65</f>
        <v>0.7</v>
      </c>
      <c r="AI69" s="127">
        <f>AF69/AG69</f>
        <v>0.875</v>
      </c>
      <c r="AL69" s="122">
        <v>0</v>
      </c>
      <c r="AM69" s="101">
        <v>0</v>
      </c>
      <c r="AN69">
        <v>344</v>
      </c>
      <c r="AO69">
        <v>12</v>
      </c>
      <c r="AP69" s="101">
        <v>12</v>
      </c>
      <c r="AQ69" s="101">
        <v>9</v>
      </c>
      <c r="AR69">
        <v>1</v>
      </c>
      <c r="AS69">
        <v>1</v>
      </c>
      <c r="AT69">
        <v>0</v>
      </c>
      <c r="AU69" s="119">
        <v>12</v>
      </c>
      <c r="AV69" s="101">
        <f>($F$65-M69)/$F$65</f>
        <v>1</v>
      </c>
      <c r="AX69" s="101">
        <f>($G$65-AM69)/$G$65</f>
        <v>1</v>
      </c>
      <c r="AY69" s="101">
        <f>AQ69/AP69</f>
        <v>0.75</v>
      </c>
      <c r="AZ69" s="101">
        <f>AS69/AR69</f>
        <v>1</v>
      </c>
      <c r="BA69" s="85">
        <f>(AV69+AX69+AY69+AZ69)/4</f>
        <v>0.9375</v>
      </c>
      <c r="BB69" s="13">
        <f>AO69/$H$65</f>
        <v>1.2</v>
      </c>
      <c r="BC69" s="118">
        <f>AU69/AO69</f>
        <v>1</v>
      </c>
      <c r="BD69" s="13">
        <f>AN69/AO69</f>
        <v>28.666666666666668</v>
      </c>
      <c r="BE69" s="13">
        <f>AS69/$H$65</f>
        <v>0.1</v>
      </c>
      <c r="BF69" s="13">
        <f>AQ69/$H$65</f>
        <v>0.9</v>
      </c>
      <c r="BP69" t="str">
        <f t="shared" si="9"/>
        <v>6-3 &amp;  &amp; 0.958333333333333 &amp; 1 &amp; 0.978723404255319 &amp; 0.875 &amp; 1 &amp; 0.933333333333333 &amp; 0.95 &amp; 0.95 &amp; 0.95 &amp; 7 &amp; 8 &amp; 0.7 &amp; 0.875 \\ \hline</v>
      </c>
    </row>
    <row r="70" spans="1:68" ht="16">
      <c r="A70" t="s">
        <v>309</v>
      </c>
      <c r="C70" s="310"/>
      <c r="K70" s="47" t="s">
        <v>382</v>
      </c>
      <c r="L70" s="77" t="s">
        <v>449</v>
      </c>
      <c r="N70" s="81">
        <f>O70-0</f>
        <v>20</v>
      </c>
      <c r="O70" s="81">
        <f>$F$65-4</f>
        <v>20</v>
      </c>
      <c r="P70" s="129">
        <f>N70/$F$65</f>
        <v>0.83333333333333337</v>
      </c>
      <c r="Q70" s="129">
        <f>N70/O70</f>
        <v>1</v>
      </c>
      <c r="R70" s="127">
        <f>2*(P70*Q70)/(P70+Q70)</f>
        <v>0.90909090909090906</v>
      </c>
      <c r="T70" s="81">
        <f>U70-0</f>
        <v>6</v>
      </c>
      <c r="U70" s="81">
        <f>$G$65-2</f>
        <v>6</v>
      </c>
      <c r="V70" s="129">
        <f>T70/$G$65</f>
        <v>0.75</v>
      </c>
      <c r="W70" s="129">
        <f>T70/U70</f>
        <v>1</v>
      </c>
      <c r="X70" s="127">
        <f>2*(V70*W70)/(V70+W70)</f>
        <v>0.8571428571428571</v>
      </c>
      <c r="Z70" s="81">
        <f>AA70-1</f>
        <v>19</v>
      </c>
      <c r="AA70" s="81">
        <f>$I$65-0</f>
        <v>20</v>
      </c>
      <c r="AB70" s="129">
        <f>Z70/$I$65</f>
        <v>0.95</v>
      </c>
      <c r="AC70" s="129">
        <f>Z70/AA70</f>
        <v>0.95</v>
      </c>
      <c r="AD70" s="127">
        <f>2*(AB70*AC70)/(AB70+AC70)</f>
        <v>0.95000000000000007</v>
      </c>
      <c r="AF70">
        <v>5</v>
      </c>
      <c r="AG70">
        <v>6</v>
      </c>
      <c r="AH70" s="127">
        <f>AF70/$H$65</f>
        <v>0.5</v>
      </c>
      <c r="AI70" s="127">
        <f>AF70/AG70</f>
        <v>0.83333333333333337</v>
      </c>
      <c r="AL70" s="122">
        <v>0</v>
      </c>
      <c r="AM70" s="101">
        <v>0</v>
      </c>
      <c r="AN70">
        <v>282</v>
      </c>
      <c r="AO70">
        <v>10</v>
      </c>
      <c r="AP70" s="101">
        <v>10</v>
      </c>
      <c r="AQ70" s="101">
        <v>7</v>
      </c>
      <c r="AR70">
        <v>0</v>
      </c>
      <c r="AS70">
        <v>0</v>
      </c>
      <c r="AT70">
        <v>0</v>
      </c>
      <c r="AU70" s="119">
        <v>10</v>
      </c>
      <c r="AV70" s="101">
        <f>($F$65-M70)/$F$65</f>
        <v>1</v>
      </c>
      <c r="AX70" s="101">
        <f>($G$65-AM70)/$G$65</f>
        <v>1</v>
      </c>
      <c r="AY70" s="101">
        <f>AQ70/AP70</f>
        <v>0.7</v>
      </c>
      <c r="AZ70" s="101">
        <v>0</v>
      </c>
      <c r="BA70" s="85">
        <f>(AV70+AX70+AY70+AZ70)/4</f>
        <v>0.67500000000000004</v>
      </c>
      <c r="BB70" s="13">
        <f>AO70/$H$65</f>
        <v>1</v>
      </c>
      <c r="BC70" s="118">
        <f>AU70/AO70</f>
        <v>1</v>
      </c>
      <c r="BD70" s="13">
        <f>AN70/AO70</f>
        <v>28.2</v>
      </c>
      <c r="BE70" s="13">
        <f>AS70/$H$65</f>
        <v>0</v>
      </c>
      <c r="BF70" s="13">
        <f>AQ70/$H$65</f>
        <v>0.7</v>
      </c>
      <c r="BP70" t="str">
        <f t="shared" si="9"/>
        <v>6-3 &amp;  &amp; 0.833333333333333 &amp; 1 &amp; 0.909090909090909 &amp; 0.75 &amp; 1 &amp; 0.857142857142857 &amp; 0.95 &amp; 0.95 &amp; 0.95 &amp; 5 &amp; 6 &amp; 0.5 &amp; 0.833333333333333 \\ \hline</v>
      </c>
    </row>
    <row r="71" spans="1:68">
      <c r="P71" s="129"/>
      <c r="Q71" s="129"/>
      <c r="R71" s="127"/>
      <c r="V71" s="129"/>
      <c r="W71" s="129"/>
      <c r="X71" s="127"/>
      <c r="AB71" s="129"/>
      <c r="AC71" s="129"/>
      <c r="AD71" s="127"/>
      <c r="AF71"/>
      <c r="AG71"/>
      <c r="AH71" s="127"/>
      <c r="AI71" s="131"/>
    </row>
    <row r="72" spans="1:68" s="75" customFormat="1">
      <c r="A72" s="73" t="s">
        <v>322</v>
      </c>
      <c r="B72" s="94">
        <v>45183</v>
      </c>
      <c r="C72" s="93" t="s">
        <v>169</v>
      </c>
      <c r="D72" s="78">
        <f>VLOOKUP($C$72,Overview!$Q$2:$AS$64,23,FALSE)</f>
        <v>0.42192215666912153</v>
      </c>
      <c r="E72" s="78" t="str">
        <f>VLOOKUP($C$72,Overview!$Q$2:$AS$64,24,FALSE)</f>
        <v>low</v>
      </c>
      <c r="F72" s="75">
        <f>VLOOKUP(C72,Overview!$Q$2:$AS$64,13,FALSE)</f>
        <v>27</v>
      </c>
      <c r="G72" s="75">
        <f>VLOOKUP(C72,Overview!$Q$2:$AS$64,16,FALSE)</f>
        <v>11</v>
      </c>
      <c r="H72" s="75">
        <f>VLOOKUP(C72,Overview!$Q$2:$AS$64,18,FALSE)</f>
        <v>12</v>
      </c>
      <c r="I72" s="75">
        <f>VLOOKUP($C$72,Overview!$Q$2:$AS$64,19,FALSE)</f>
        <v>25</v>
      </c>
      <c r="K72" s="96"/>
      <c r="M72" s="115"/>
      <c r="N72" s="97"/>
      <c r="O72" s="97"/>
      <c r="P72" s="130"/>
      <c r="Q72" s="130"/>
      <c r="R72" s="128"/>
      <c r="S72" s="115"/>
      <c r="T72" s="97"/>
      <c r="U72" s="97"/>
      <c r="V72" s="130"/>
      <c r="W72" s="130"/>
      <c r="X72" s="128"/>
      <c r="Y72" s="115"/>
      <c r="Z72" s="97"/>
      <c r="AA72" s="97"/>
      <c r="AB72" s="130"/>
      <c r="AC72" s="130"/>
      <c r="AD72" s="128"/>
      <c r="AE72" s="115"/>
      <c r="AH72" s="128"/>
      <c r="AI72" s="132"/>
      <c r="AJ72" s="97"/>
      <c r="AK72" s="115"/>
      <c r="AL72" s="122"/>
      <c r="AM72" s="101"/>
      <c r="AP72" s="101"/>
      <c r="AQ72" s="101"/>
      <c r="AU72" s="119"/>
      <c r="AV72" s="101"/>
      <c r="AW72" s="101"/>
      <c r="AX72" s="101"/>
      <c r="AY72" s="101"/>
      <c r="AZ72" s="101"/>
      <c r="BA72" s="83"/>
      <c r="BC72" s="101"/>
      <c r="BP72"/>
    </row>
    <row r="73" spans="1:68" ht="16">
      <c r="A73" t="s">
        <v>305</v>
      </c>
      <c r="C73" s="310"/>
      <c r="K73" s="47" t="s">
        <v>378</v>
      </c>
      <c r="L73" s="108" t="s">
        <v>574</v>
      </c>
      <c r="N73" s="81">
        <f>O73-3</f>
        <v>20</v>
      </c>
      <c r="O73" s="81">
        <f>F72-4</f>
        <v>23</v>
      </c>
      <c r="P73" s="129">
        <f>N73/$F$72</f>
        <v>0.7407407407407407</v>
      </c>
      <c r="Q73" s="129">
        <f>N73/O73</f>
        <v>0.86956521739130432</v>
      </c>
      <c r="R73" s="127">
        <f>2*(P73*Q73)/(P73+Q73)</f>
        <v>0.79999999999999993</v>
      </c>
      <c r="T73" s="81">
        <f>U73-2</f>
        <v>7</v>
      </c>
      <c r="U73" s="81">
        <f>G72-2</f>
        <v>9</v>
      </c>
      <c r="V73" s="129">
        <f>T73/$G$72</f>
        <v>0.63636363636363635</v>
      </c>
      <c r="W73" s="129">
        <f>T73/U73</f>
        <v>0.77777777777777779</v>
      </c>
      <c r="X73" s="127">
        <f>2*(V73*W73)/(V73+W73)</f>
        <v>0.70000000000000007</v>
      </c>
      <c r="Z73" s="81">
        <f>AA73-0</f>
        <v>21</v>
      </c>
      <c r="AA73" s="81">
        <f>I72-4</f>
        <v>21</v>
      </c>
      <c r="AB73" s="129">
        <f>Z73/$I$72</f>
        <v>0.84</v>
      </c>
      <c r="AC73" s="129">
        <f>Z73/AA73</f>
        <v>1</v>
      </c>
      <c r="AD73" s="127">
        <f>2*(AB73*AC73)/(AB73+AC73)</f>
        <v>0.91304347826086962</v>
      </c>
      <c r="AF73">
        <v>3</v>
      </c>
      <c r="AG73">
        <v>3</v>
      </c>
      <c r="AH73" s="127">
        <f>AF73/$H$72</f>
        <v>0.25</v>
      </c>
      <c r="AI73" s="127">
        <f>AF73/AG73</f>
        <v>1</v>
      </c>
      <c r="AL73" s="122">
        <v>13</v>
      </c>
      <c r="AM73" s="101">
        <v>3</v>
      </c>
      <c r="AN73">
        <v>155</v>
      </c>
      <c r="AO73">
        <v>9</v>
      </c>
      <c r="AP73" s="101">
        <v>6</v>
      </c>
      <c r="AQ73" s="101">
        <v>6</v>
      </c>
      <c r="AR73">
        <v>1</v>
      </c>
      <c r="AS73">
        <v>1</v>
      </c>
      <c r="AT73">
        <v>2</v>
      </c>
      <c r="AU73" s="119">
        <v>3</v>
      </c>
      <c r="AV73" s="101">
        <f>($F$72-M73)/$F$72</f>
        <v>1</v>
      </c>
      <c r="AX73" s="101">
        <f>($G$72-AM73)/$G$72</f>
        <v>0.72727272727272729</v>
      </c>
      <c r="AY73" s="101">
        <f>AQ73/AP73</f>
        <v>1</v>
      </c>
      <c r="AZ73" s="101">
        <f>AS73/AR73</f>
        <v>1</v>
      </c>
      <c r="BA73" s="85">
        <f>(AV73+AX73+AY73+AZ73)/4</f>
        <v>0.93181818181818188</v>
      </c>
      <c r="BB73" s="13">
        <f>AO73/$H$72</f>
        <v>0.75</v>
      </c>
      <c r="BC73" s="118">
        <f>AU73/AO73</f>
        <v>0.33333333333333331</v>
      </c>
      <c r="BD73" s="13">
        <f>AN73/AO73</f>
        <v>17.222222222222221</v>
      </c>
      <c r="BE73" s="13">
        <f>AS73/$H$72</f>
        <v>8.3333333333333329E-2</v>
      </c>
      <c r="BF73" s="13">
        <f>AQ73/$H$72</f>
        <v>0.5</v>
      </c>
      <c r="BP73" t="str">
        <f>_xlfn.CONCAT($C$72," &amp; ",C73," &amp; ",P73," &amp; ",Q73," &amp; ",R73," &amp; ",V73," &amp; ",W73," &amp; ",X73," &amp; ",AB73," &amp; ",AC73," &amp; ",AD73," &amp; ",AF73," &amp; ",AG73," &amp; ",AH73," &amp; ",AI73, " \\ \hline")</f>
        <v>10-1 &amp;  &amp; 0.740740740740741 &amp; 0.869565217391304 &amp; 0.8 &amp; 0.636363636363636 &amp; 0.777777777777778 &amp; 0.7 &amp; 0.84 &amp; 1 &amp; 0.91304347826087 &amp; 3 &amp; 3 &amp; 0.25 &amp; 1 \\ \hline</v>
      </c>
    </row>
    <row r="74" spans="1:68" ht="16">
      <c r="A74" t="s">
        <v>306</v>
      </c>
      <c r="C74" s="310"/>
      <c r="K74" s="47" t="s">
        <v>379</v>
      </c>
      <c r="L74" s="108" t="s">
        <v>575</v>
      </c>
      <c r="N74" s="81">
        <f>O74-4</f>
        <v>15</v>
      </c>
      <c r="O74" s="81">
        <f>F72-8</f>
        <v>19</v>
      </c>
      <c r="P74" s="129">
        <f>N74/$F$72</f>
        <v>0.55555555555555558</v>
      </c>
      <c r="Q74" s="129">
        <f>N74/O74</f>
        <v>0.78947368421052633</v>
      </c>
      <c r="R74" s="127">
        <f>2*(P74*Q74)/(P74+Q74)</f>
        <v>0.65217391304347827</v>
      </c>
      <c r="T74" s="81">
        <f>U74-2</f>
        <v>6</v>
      </c>
      <c r="U74" s="81">
        <f>G72-3</f>
        <v>8</v>
      </c>
      <c r="V74" s="129">
        <f>T74/$G$72</f>
        <v>0.54545454545454541</v>
      </c>
      <c r="W74" s="129">
        <f>T74/U74</f>
        <v>0.75</v>
      </c>
      <c r="X74" s="127">
        <f>2*(V74*W74)/(V74+W74)</f>
        <v>0.63157894736842102</v>
      </c>
      <c r="Z74" s="81">
        <f>AA74-4</f>
        <v>13</v>
      </c>
      <c r="AA74" s="81">
        <f>I72-8</f>
        <v>17</v>
      </c>
      <c r="AB74" s="129">
        <f>Z74/$I$72</f>
        <v>0.52</v>
      </c>
      <c r="AC74" s="129">
        <f>Z74/AA74</f>
        <v>0.76470588235294112</v>
      </c>
      <c r="AD74" s="127">
        <f>2*(AB74*AC74)/(AB74+AC74)</f>
        <v>0.61904761904761907</v>
      </c>
      <c r="AF74">
        <v>3</v>
      </c>
      <c r="AG74">
        <v>3</v>
      </c>
      <c r="AH74" s="127">
        <f>AF74/$H$72</f>
        <v>0.25</v>
      </c>
      <c r="AI74" s="127">
        <f>AF74/AG74</f>
        <v>1</v>
      </c>
      <c r="AV74" s="101">
        <f>($F$72-M74)/$F$72</f>
        <v>1</v>
      </c>
      <c r="AX74" s="101">
        <f>($G$72-AM74)/$G$72</f>
        <v>1</v>
      </c>
      <c r="AY74" s="101" t="e">
        <f>AQ74/AP74</f>
        <v>#DIV/0!</v>
      </c>
      <c r="AZ74" s="101" t="e">
        <f>AS74/AR74</f>
        <v>#DIV/0!</v>
      </c>
      <c r="BA74" s="85" t="e">
        <f>(AV74+AX74+AY74+AZ74)/4</f>
        <v>#DIV/0!</v>
      </c>
      <c r="BB74" s="13">
        <f>AO74/$H$72</f>
        <v>0</v>
      </c>
      <c r="BC74" s="118" t="e">
        <f>AU74/AO74</f>
        <v>#DIV/0!</v>
      </c>
      <c r="BD74" s="13" t="e">
        <f>AN74/AO74</f>
        <v>#DIV/0!</v>
      </c>
      <c r="BE74" s="13">
        <f>AS74/$H$72</f>
        <v>0</v>
      </c>
      <c r="BF74" s="13">
        <f>AQ74/$H$72</f>
        <v>0</v>
      </c>
      <c r="BP74" t="str">
        <f t="shared" ref="BP74:BP77" si="10">_xlfn.CONCAT($C$72," &amp; ",C74," &amp; ",P74," &amp; ",Q74," &amp; ",R74," &amp; ",V74," &amp; ",W74," &amp; ",X74," &amp; ",AB74," &amp; ",AC74," &amp; ",AD74," &amp; ",AF74," &amp; ",AG74," &amp; ",AH74," &amp; ",AI74, " \\ \hline")</f>
        <v>10-1 &amp;  &amp; 0.555555555555556 &amp; 0.789473684210526 &amp; 0.652173913043478 &amp; 0.545454545454545 &amp; 0.75 &amp; 0.631578947368421 &amp; 0.52 &amp; 0.764705882352941 &amp; 0.619047619047619 &amp; 3 &amp; 3 &amp; 0.25 &amp; 1 \\ \hline</v>
      </c>
    </row>
    <row r="75" spans="1:68" ht="16">
      <c r="A75" t="s">
        <v>307</v>
      </c>
      <c r="C75" s="310"/>
      <c r="K75" s="47" t="s">
        <v>380</v>
      </c>
      <c r="L75" s="77" t="s">
        <v>576</v>
      </c>
      <c r="N75" s="81">
        <f>O75-5</f>
        <v>18</v>
      </c>
      <c r="O75" s="81">
        <f>F72-4</f>
        <v>23</v>
      </c>
      <c r="P75" s="129">
        <f>N75/$F$72</f>
        <v>0.66666666666666663</v>
      </c>
      <c r="Q75" s="129">
        <f>N75/O75</f>
        <v>0.78260869565217395</v>
      </c>
      <c r="R75" s="127">
        <f>2*(P75*Q75)/(P75+Q75)</f>
        <v>0.72</v>
      </c>
      <c r="T75" s="81">
        <f>U75-2</f>
        <v>6</v>
      </c>
      <c r="U75" s="81">
        <f>G72-3</f>
        <v>8</v>
      </c>
      <c r="V75" s="129">
        <f>T75/$G$72</f>
        <v>0.54545454545454541</v>
      </c>
      <c r="W75" s="129">
        <f>T75/U75</f>
        <v>0.75</v>
      </c>
      <c r="X75" s="127">
        <f>2*(V75*W75)/(V75+W75)</f>
        <v>0.63157894736842102</v>
      </c>
      <c r="Z75" s="81">
        <f>AA75-0</f>
        <v>21</v>
      </c>
      <c r="AA75" s="81">
        <f>I72-4</f>
        <v>21</v>
      </c>
      <c r="AB75" s="129">
        <f>Z75/$I$72</f>
        <v>0.84</v>
      </c>
      <c r="AC75" s="129">
        <f>Z75/AA75</f>
        <v>1</v>
      </c>
      <c r="AD75" s="127">
        <f>2*(AB75*AC75)/(AB75+AC75)</f>
        <v>0.91304347826086962</v>
      </c>
      <c r="AF75">
        <v>6</v>
      </c>
      <c r="AG75">
        <v>6</v>
      </c>
      <c r="AH75" s="127">
        <f>AF75/$H$72</f>
        <v>0.5</v>
      </c>
      <c r="AI75" s="127">
        <f>AF75/AG75</f>
        <v>1</v>
      </c>
      <c r="AV75" s="101">
        <f>($F$72-M75)/$F$72</f>
        <v>1</v>
      </c>
      <c r="AX75" s="101">
        <f>($G$72-AM75)/$G$72</f>
        <v>1</v>
      </c>
      <c r="AY75" s="101" t="e">
        <f>AQ75/AP75</f>
        <v>#DIV/0!</v>
      </c>
      <c r="AZ75" s="101" t="e">
        <f>AS75/AR75</f>
        <v>#DIV/0!</v>
      </c>
      <c r="BA75" s="85" t="e">
        <f>(AV75+AX75+AY75+AZ75)/4</f>
        <v>#DIV/0!</v>
      </c>
      <c r="BB75" s="13">
        <f>AO75/$H$72</f>
        <v>0</v>
      </c>
      <c r="BC75" s="118" t="e">
        <f>AU75/AO75</f>
        <v>#DIV/0!</v>
      </c>
      <c r="BD75" s="13" t="e">
        <f>AN75/AO75</f>
        <v>#DIV/0!</v>
      </c>
      <c r="BE75" s="13">
        <f>AS75/$H$72</f>
        <v>0</v>
      </c>
      <c r="BF75" s="13">
        <f>AQ75/$H$72</f>
        <v>0</v>
      </c>
      <c r="BP75" t="str">
        <f t="shared" si="10"/>
        <v>10-1 &amp;  &amp; 0.666666666666667 &amp; 0.782608695652174 &amp; 0.72 &amp; 0.545454545454545 &amp; 0.75 &amp; 0.631578947368421 &amp; 0.84 &amp; 1 &amp; 0.91304347826087 &amp; 6 &amp; 6 &amp; 0.5 &amp; 1 \\ \hline</v>
      </c>
    </row>
    <row r="76" spans="1:68" ht="16">
      <c r="A76" t="s">
        <v>308</v>
      </c>
      <c r="C76" s="310"/>
      <c r="K76" s="47" t="s">
        <v>381</v>
      </c>
      <c r="L76" s="77" t="s">
        <v>577</v>
      </c>
      <c r="N76" s="81">
        <f>O76-3</f>
        <v>20</v>
      </c>
      <c r="O76" s="81">
        <f>F72-4</f>
        <v>23</v>
      </c>
      <c r="P76" s="129">
        <f>N76/$F$72</f>
        <v>0.7407407407407407</v>
      </c>
      <c r="Q76" s="129">
        <f>N76/O76</f>
        <v>0.86956521739130432</v>
      </c>
      <c r="R76" s="127">
        <f>2*(P76*Q76)/(P76+Q76)</f>
        <v>0.79999999999999993</v>
      </c>
      <c r="T76" s="81">
        <f>U76-2</f>
        <v>7</v>
      </c>
      <c r="U76" s="81">
        <f>G72-2</f>
        <v>9</v>
      </c>
      <c r="V76" s="129">
        <f>T76/$G$72</f>
        <v>0.63636363636363635</v>
      </c>
      <c r="W76" s="129">
        <f>T76/U76</f>
        <v>0.77777777777777779</v>
      </c>
      <c r="X76" s="127">
        <f>2*(V76*W76)/(V76+W76)</f>
        <v>0.70000000000000007</v>
      </c>
      <c r="Z76" s="81">
        <f>AA76-0</f>
        <v>21</v>
      </c>
      <c r="AA76" s="81">
        <f>I72-4</f>
        <v>21</v>
      </c>
      <c r="AB76" s="129">
        <f>Z76/$I$72</f>
        <v>0.84</v>
      </c>
      <c r="AC76" s="129">
        <f>Z76/AA76</f>
        <v>1</v>
      </c>
      <c r="AD76" s="127">
        <f>2*(AB76*AC76)/(AB76+AC76)</f>
        <v>0.91304347826086962</v>
      </c>
      <c r="AF76">
        <v>4</v>
      </c>
      <c r="AG76">
        <v>4</v>
      </c>
      <c r="AH76" s="127">
        <f>AF76/$H$72</f>
        <v>0.33333333333333331</v>
      </c>
      <c r="AI76" s="127">
        <f>AF76/AG76</f>
        <v>1</v>
      </c>
      <c r="AV76" s="101">
        <f>($F$72-M76)/$F$72</f>
        <v>1</v>
      </c>
      <c r="AX76" s="101">
        <f>($G$72-AM76)/$G$72</f>
        <v>1</v>
      </c>
      <c r="AY76" s="101" t="e">
        <f>AQ76/AP76</f>
        <v>#DIV/0!</v>
      </c>
      <c r="AZ76" s="101" t="e">
        <f>AS76/AR76</f>
        <v>#DIV/0!</v>
      </c>
      <c r="BA76" s="85" t="e">
        <f>(AV76+AX76+AY76+AZ76)/4</f>
        <v>#DIV/0!</v>
      </c>
      <c r="BB76" s="13">
        <f>AO76/$H$72</f>
        <v>0</v>
      </c>
      <c r="BC76" s="118" t="e">
        <f>AU76/AO76</f>
        <v>#DIV/0!</v>
      </c>
      <c r="BD76" s="13" t="e">
        <f>AN76/AO76</f>
        <v>#DIV/0!</v>
      </c>
      <c r="BE76" s="13">
        <f>AS76/$H$72</f>
        <v>0</v>
      </c>
      <c r="BF76" s="13">
        <f>AQ76/$H$72</f>
        <v>0</v>
      </c>
      <c r="BP76" t="str">
        <f t="shared" si="10"/>
        <v>10-1 &amp;  &amp; 0.740740740740741 &amp; 0.869565217391304 &amp; 0.8 &amp; 0.636363636363636 &amp; 0.777777777777778 &amp; 0.7 &amp; 0.84 &amp; 1 &amp; 0.91304347826087 &amp; 4 &amp; 4 &amp; 0.333333333333333 &amp; 1 \\ \hline</v>
      </c>
    </row>
    <row r="77" spans="1:68" ht="16">
      <c r="A77" t="s">
        <v>309</v>
      </c>
      <c r="C77" s="310"/>
      <c r="K77" s="47" t="s">
        <v>382</v>
      </c>
      <c r="L77" s="77" t="s">
        <v>578</v>
      </c>
      <c r="N77" s="81">
        <f>O77-6</f>
        <v>20</v>
      </c>
      <c r="O77" s="81">
        <f>F72-1</f>
        <v>26</v>
      </c>
      <c r="P77" s="129">
        <f>N77/$F$72</f>
        <v>0.7407407407407407</v>
      </c>
      <c r="Q77" s="129">
        <f>N77/O77</f>
        <v>0.76923076923076927</v>
      </c>
      <c r="R77" s="127">
        <f>2*(P77*Q77)/(P77+Q77)</f>
        <v>0.75471698113207542</v>
      </c>
      <c r="T77" s="81">
        <f>U77-3</f>
        <v>7</v>
      </c>
      <c r="U77" s="81">
        <f>G72-1</f>
        <v>10</v>
      </c>
      <c r="V77" s="129">
        <f>T77/$G$72</f>
        <v>0.63636363636363635</v>
      </c>
      <c r="W77" s="129">
        <f>T77/U77</f>
        <v>0.7</v>
      </c>
      <c r="X77" s="127">
        <f>2*(V77*W77)/(V77+W77)</f>
        <v>0.66666666666666663</v>
      </c>
      <c r="Z77" s="81">
        <f>AA77-1</f>
        <v>23</v>
      </c>
      <c r="AA77" s="81">
        <f>I72-1</f>
        <v>24</v>
      </c>
      <c r="AB77" s="129">
        <f>Z77/$I$72</f>
        <v>0.92</v>
      </c>
      <c r="AC77" s="129">
        <f>Z77/AA77</f>
        <v>0.95833333333333337</v>
      </c>
      <c r="AD77" s="127">
        <f>2*(AB77*AC77)/(AB77+AC77)</f>
        <v>0.93877551020408168</v>
      </c>
      <c r="AF77">
        <v>4</v>
      </c>
      <c r="AG77">
        <v>4</v>
      </c>
      <c r="AH77" s="127">
        <f>AF77/$H$72</f>
        <v>0.33333333333333331</v>
      </c>
      <c r="AI77" s="127">
        <f>AF77/AG77</f>
        <v>1</v>
      </c>
      <c r="AV77" s="101">
        <f>($F$72-M77)/$F$72</f>
        <v>1</v>
      </c>
      <c r="AX77" s="101">
        <f>($G$72-AM77)/$G$72</f>
        <v>1</v>
      </c>
      <c r="AY77" s="101" t="e">
        <f>AQ77/AP77</f>
        <v>#DIV/0!</v>
      </c>
      <c r="AZ77" s="101" t="e">
        <f>AS77/AR77</f>
        <v>#DIV/0!</v>
      </c>
      <c r="BA77" s="85" t="e">
        <f>(AV77+AX77+AY77+AZ77)/4</f>
        <v>#DIV/0!</v>
      </c>
      <c r="BB77" s="13">
        <f>AO77/$H$72</f>
        <v>0</v>
      </c>
      <c r="BC77" s="118" t="e">
        <f>AU77/AO77</f>
        <v>#DIV/0!</v>
      </c>
      <c r="BD77" s="13" t="e">
        <f>AN77/AO77</f>
        <v>#DIV/0!</v>
      </c>
      <c r="BE77" s="13">
        <f>AS77/$H$72</f>
        <v>0</v>
      </c>
      <c r="BF77" s="13">
        <f>AQ77/$H$72</f>
        <v>0</v>
      </c>
      <c r="BP77" t="str">
        <f t="shared" si="10"/>
        <v>10-1 &amp;  &amp; 0.740740740740741 &amp; 0.769230769230769 &amp; 0.754716981132075 &amp; 0.636363636363636 &amp; 0.7 &amp; 0.666666666666667 &amp; 0.92 &amp; 0.958333333333333 &amp; 0.938775510204082 &amp; 4 &amp; 4 &amp; 0.333333333333333 &amp; 1 \\ \hline</v>
      </c>
    </row>
    <row r="78" spans="1:68">
      <c r="P78" s="129"/>
      <c r="Q78" s="129"/>
      <c r="R78" s="127"/>
      <c r="V78" s="129"/>
      <c r="W78" s="129"/>
      <c r="X78" s="127"/>
      <c r="AB78" s="129"/>
      <c r="AC78" s="129"/>
      <c r="AD78" s="127"/>
      <c r="AF78"/>
      <c r="AG78"/>
      <c r="AH78" s="127"/>
      <c r="AI78" s="131"/>
    </row>
    <row r="79" spans="1:68" s="75" customFormat="1">
      <c r="A79" s="75" t="s">
        <v>323</v>
      </c>
      <c r="B79" s="94">
        <v>45179</v>
      </c>
      <c r="C79" s="99" t="s">
        <v>162</v>
      </c>
      <c r="D79" s="78">
        <f>VLOOKUP($C$79,Overview!$Q$2:$AS$64,23,FALSE)</f>
        <v>0.50627224900379741</v>
      </c>
      <c r="E79" s="78" t="str">
        <f>VLOOKUP($C$79,Overview!$Q$2:$AS$64,24,FALSE)</f>
        <v>low</v>
      </c>
      <c r="F79" s="75">
        <f>VLOOKUP(C79,Overview!$Q$2:$AS$64,13,FALSE)</f>
        <v>31</v>
      </c>
      <c r="G79" s="75">
        <f>VLOOKUP(C79,Overview!$Q$2:$AS$64,16,FALSE)</f>
        <v>9</v>
      </c>
      <c r="H79" s="75">
        <f>VLOOKUP(C79,Overview!$Q$2:$AS$64,18,FALSE)</f>
        <v>11</v>
      </c>
      <c r="I79" s="75">
        <f>VLOOKUP($C$79,Overview!$Q$2:$AS$64,19,FALSE)</f>
        <v>29</v>
      </c>
      <c r="K79" s="96"/>
      <c r="M79" s="115"/>
      <c r="N79" s="97"/>
      <c r="O79" s="97"/>
      <c r="P79" s="130"/>
      <c r="Q79" s="130"/>
      <c r="R79" s="128"/>
      <c r="S79" s="115"/>
      <c r="T79" s="97"/>
      <c r="U79" s="97"/>
      <c r="V79" s="130"/>
      <c r="W79" s="130"/>
      <c r="X79" s="128"/>
      <c r="Y79" s="115"/>
      <c r="Z79" s="97"/>
      <c r="AA79" s="97"/>
      <c r="AB79" s="130"/>
      <c r="AC79" s="130"/>
      <c r="AD79" s="128"/>
      <c r="AE79" s="115"/>
      <c r="AH79" s="128"/>
      <c r="AI79" s="132"/>
      <c r="AJ79" s="97"/>
      <c r="AK79" s="115"/>
      <c r="AL79" s="122"/>
      <c r="AM79" s="101"/>
      <c r="AP79" s="101"/>
      <c r="AQ79" s="101"/>
      <c r="AU79" s="119"/>
      <c r="AV79" s="101"/>
      <c r="AW79" s="101"/>
      <c r="AX79" s="101"/>
      <c r="AY79" s="101"/>
      <c r="AZ79" s="101"/>
      <c r="BA79" s="83"/>
      <c r="BC79" s="101"/>
      <c r="BP79"/>
    </row>
    <row r="80" spans="1:68" ht="16">
      <c r="A80" t="s">
        <v>305</v>
      </c>
      <c r="C80" s="310"/>
      <c r="K80" s="47" t="s">
        <v>378</v>
      </c>
      <c r="L80" s="77" t="s">
        <v>455</v>
      </c>
      <c r="N80" s="163">
        <f>O80-4</f>
        <v>20</v>
      </c>
      <c r="O80" s="163">
        <f>F79-7</f>
        <v>24</v>
      </c>
      <c r="P80" s="129">
        <f>N80/$F$79</f>
        <v>0.64516129032258063</v>
      </c>
      <c r="Q80" s="129">
        <f>N80/O80</f>
        <v>0.83333333333333337</v>
      </c>
      <c r="R80" s="127">
        <f>2*(P80*Q80)/(P80+Q80)</f>
        <v>0.72727272727272718</v>
      </c>
      <c r="T80" s="81">
        <f>U80-3</f>
        <v>5</v>
      </c>
      <c r="U80" s="81">
        <f>G79-1</f>
        <v>8</v>
      </c>
      <c r="V80" s="129">
        <f>T80/$G$79</f>
        <v>0.55555555555555558</v>
      </c>
      <c r="W80" s="129">
        <f>T80/U80</f>
        <v>0.625</v>
      </c>
      <c r="X80" s="127">
        <f>2*(V80*W80)/(V80+W80)</f>
        <v>0.58823529411764708</v>
      </c>
      <c r="Z80" s="81">
        <f>AA80-6</f>
        <v>18</v>
      </c>
      <c r="AA80" s="81">
        <f>I79-5</f>
        <v>24</v>
      </c>
      <c r="AB80" s="129">
        <f>Z80/$I$79</f>
        <v>0.62068965517241381</v>
      </c>
      <c r="AC80" s="129">
        <f>Z80/AA80</f>
        <v>0.75</v>
      </c>
      <c r="AD80" s="127">
        <f>2*(AB80*AC80)/(AB80+AC80)</f>
        <v>0.679245283018868</v>
      </c>
      <c r="AF80">
        <v>0</v>
      </c>
      <c r="AG80">
        <v>0</v>
      </c>
      <c r="AH80" s="127">
        <f>AF80/$H$79</f>
        <v>0</v>
      </c>
      <c r="AI80" s="127">
        <v>0</v>
      </c>
      <c r="AL80" s="122">
        <v>3</v>
      </c>
      <c r="AM80" s="101">
        <v>1</v>
      </c>
      <c r="AN80">
        <v>273</v>
      </c>
      <c r="AO80">
        <v>14</v>
      </c>
      <c r="AP80" s="101">
        <v>14</v>
      </c>
      <c r="AQ80" s="101">
        <v>13</v>
      </c>
      <c r="AR80">
        <v>0</v>
      </c>
      <c r="AS80">
        <v>0</v>
      </c>
      <c r="AT80">
        <v>0</v>
      </c>
      <c r="AU80" s="119">
        <v>10</v>
      </c>
      <c r="AV80" s="101">
        <f>($F$79-M80)/$F$79</f>
        <v>1</v>
      </c>
      <c r="AX80" s="101">
        <f>($G$79-AM80)/$G$79</f>
        <v>0.88888888888888884</v>
      </c>
      <c r="AY80" s="101">
        <f>AQ80/AP80</f>
        <v>0.9285714285714286</v>
      </c>
      <c r="AZ80" s="101">
        <v>0</v>
      </c>
      <c r="BA80" s="85">
        <f>(AV80+AX80+AY80+AZ80)/4</f>
        <v>0.70436507936507931</v>
      </c>
      <c r="BB80" s="13">
        <f>AO80/$H$79</f>
        <v>1.2727272727272727</v>
      </c>
      <c r="BC80" s="118">
        <f>AU80/AO80</f>
        <v>0.7142857142857143</v>
      </c>
      <c r="BD80" s="13">
        <f>AN80/AO80</f>
        <v>19.5</v>
      </c>
      <c r="BE80" s="13">
        <f>AS80/$H$79</f>
        <v>0</v>
      </c>
      <c r="BF80" s="13">
        <f>AQ80/$H$79</f>
        <v>1.1818181818181819</v>
      </c>
      <c r="BP80" t="str">
        <f>_xlfn.CONCAT($C$79," &amp; ",C80," &amp; ",P80," &amp; ",Q80," &amp; ",R80," &amp; ",V80," &amp; ",W80," &amp; ",X80," &amp; ",AB80," &amp; ",AC80," &amp; ",AD80," &amp; ",AF80," &amp; ",AG80," &amp; ",AH80," &amp; ",AI80, " \\ \hline")</f>
        <v>8-3 &amp;  &amp; 0.645161290322581 &amp; 0.833333333333333 &amp; 0.727272727272727 &amp; 0.555555555555556 &amp; 0.625 &amp; 0.588235294117647 &amp; 0.620689655172414 &amp; 0.75 &amp; 0.679245283018868 &amp; 0 &amp; 0 &amp; 0 &amp; 0 \\ \hline</v>
      </c>
    </row>
    <row r="81" spans="1:68" ht="16">
      <c r="A81" t="s">
        <v>306</v>
      </c>
      <c r="C81" s="310"/>
      <c r="K81" s="47" t="s">
        <v>379</v>
      </c>
      <c r="L81" s="77" t="s">
        <v>456</v>
      </c>
      <c r="N81" s="81">
        <f>O81-4</f>
        <v>22</v>
      </c>
      <c r="O81" s="81">
        <f>F79-5</f>
        <v>26</v>
      </c>
      <c r="P81" s="129">
        <f>N81/$F$79</f>
        <v>0.70967741935483875</v>
      </c>
      <c r="Q81" s="129">
        <f>N81/O81</f>
        <v>0.84615384615384615</v>
      </c>
      <c r="R81" s="127">
        <f>2*(P81*Q81)/(P81+Q81)</f>
        <v>0.77192982456140358</v>
      </c>
      <c r="T81" s="81">
        <f>U81-3</f>
        <v>6</v>
      </c>
      <c r="U81" s="81">
        <f>G79-0</f>
        <v>9</v>
      </c>
      <c r="V81" s="129">
        <f>T81/$G$79</f>
        <v>0.66666666666666663</v>
      </c>
      <c r="W81" s="129">
        <f>T81/U81</f>
        <v>0.66666666666666663</v>
      </c>
      <c r="X81" s="127">
        <f>2*(V81*W81)/(V81+W81)</f>
        <v>0.66666666666666663</v>
      </c>
      <c r="Z81" s="81">
        <f>AA81-6</f>
        <v>18</v>
      </c>
      <c r="AA81" s="81">
        <f>I79-5</f>
        <v>24</v>
      </c>
      <c r="AB81" s="129">
        <f>Z81/$I$79</f>
        <v>0.62068965517241381</v>
      </c>
      <c r="AC81" s="129">
        <f>Z81/AA81</f>
        <v>0.75</v>
      </c>
      <c r="AD81" s="127">
        <f>2*(AB81*AC81)/(AB81+AC81)</f>
        <v>0.679245283018868</v>
      </c>
      <c r="AF81">
        <v>2</v>
      </c>
      <c r="AG81">
        <v>2</v>
      </c>
      <c r="AH81" s="127">
        <f>AF81/$H$79</f>
        <v>0.18181818181818182</v>
      </c>
      <c r="AI81" s="127">
        <f>AF81/AG81</f>
        <v>1</v>
      </c>
      <c r="AL81" s="122">
        <v>4</v>
      </c>
      <c r="AM81" s="101">
        <v>2</v>
      </c>
      <c r="AN81">
        <v>347</v>
      </c>
      <c r="AO81">
        <v>17</v>
      </c>
      <c r="AP81" s="101">
        <v>14</v>
      </c>
      <c r="AQ81" s="101">
        <v>11</v>
      </c>
      <c r="AR81">
        <v>3</v>
      </c>
      <c r="AS81">
        <v>2</v>
      </c>
      <c r="AT81">
        <v>0</v>
      </c>
      <c r="AU81" s="119">
        <v>9</v>
      </c>
      <c r="AV81" s="101">
        <f>($F$79-M81)/$F$79</f>
        <v>1</v>
      </c>
      <c r="AX81" s="101">
        <f>($G$79-AM81)/$G$79</f>
        <v>0.77777777777777779</v>
      </c>
      <c r="AY81" s="101">
        <f>AQ81/AP81</f>
        <v>0.7857142857142857</v>
      </c>
      <c r="AZ81" s="101">
        <f>AS81/AR81</f>
        <v>0.66666666666666663</v>
      </c>
      <c r="BA81" s="85">
        <f>(AV81+AX81+AY81+AZ81)/4</f>
        <v>0.80753968253968245</v>
      </c>
      <c r="BB81" s="13">
        <f>AO81/$H$79</f>
        <v>1.5454545454545454</v>
      </c>
      <c r="BC81" s="118">
        <f>AU81/AO81</f>
        <v>0.52941176470588236</v>
      </c>
      <c r="BD81" s="13">
        <f>AN81/AO81</f>
        <v>20.411764705882351</v>
      </c>
      <c r="BE81" s="13">
        <f>AS81/$H$79</f>
        <v>0.18181818181818182</v>
      </c>
      <c r="BF81" s="13">
        <f>AQ81/$H$79</f>
        <v>1</v>
      </c>
      <c r="BP81" t="str">
        <f t="shared" ref="BP81:BP84" si="11">_xlfn.CONCAT($C$79," &amp; ",C81," &amp; ",P81," &amp; ",Q81," &amp; ",R81," &amp; ",V81," &amp; ",W81," &amp; ",X81," &amp; ",AB81," &amp; ",AC81," &amp; ",AD81," &amp; ",AF81," &amp; ",AG81," &amp; ",AH81," &amp; ",AI81, " \\ \hline")</f>
        <v>8-3 &amp;  &amp; 0.709677419354839 &amp; 0.846153846153846 &amp; 0.771929824561404 &amp; 0.666666666666667 &amp; 0.666666666666667 &amp; 0.666666666666667 &amp; 0.620689655172414 &amp; 0.75 &amp; 0.679245283018868 &amp; 2 &amp; 2 &amp; 0.181818181818182 &amp; 1 \\ \hline</v>
      </c>
    </row>
    <row r="82" spans="1:68" ht="16">
      <c r="A82" t="s">
        <v>307</v>
      </c>
      <c r="C82" s="310"/>
      <c r="K82" s="47" t="s">
        <v>380</v>
      </c>
      <c r="L82" s="77" t="s">
        <v>457</v>
      </c>
      <c r="N82" s="81">
        <f>O82-5</f>
        <v>21</v>
      </c>
      <c r="O82" s="81">
        <f>F79-5</f>
        <v>26</v>
      </c>
      <c r="P82" s="129">
        <f>N82/$F$79</f>
        <v>0.67741935483870963</v>
      </c>
      <c r="Q82" s="129">
        <f>N82/O82</f>
        <v>0.80769230769230771</v>
      </c>
      <c r="R82" s="127">
        <f>2*(P82*Q82)/(P82+Q82)</f>
        <v>0.73684210526315785</v>
      </c>
      <c r="T82" s="81">
        <f>U82-3</f>
        <v>6</v>
      </c>
      <c r="U82" s="81">
        <f>G79</f>
        <v>9</v>
      </c>
      <c r="V82" s="129">
        <f>T82/$G$79</f>
        <v>0.66666666666666663</v>
      </c>
      <c r="W82" s="129">
        <f>T82/U82</f>
        <v>0.66666666666666663</v>
      </c>
      <c r="X82" s="127">
        <f>2*(V82*W82)/(V82+W82)</f>
        <v>0.66666666666666663</v>
      </c>
      <c r="Z82" s="81">
        <f>AA82-12</f>
        <v>12</v>
      </c>
      <c r="AA82" s="81">
        <f>I79-5</f>
        <v>24</v>
      </c>
      <c r="AB82" s="129">
        <f>Z82/$I$79</f>
        <v>0.41379310344827586</v>
      </c>
      <c r="AC82" s="129">
        <f>Z82/AA82</f>
        <v>0.5</v>
      </c>
      <c r="AD82" s="127">
        <f>2*(AB82*AC82)/(AB82+AC82)</f>
        <v>0.45283018867924529</v>
      </c>
      <c r="AF82">
        <v>2</v>
      </c>
      <c r="AG82">
        <v>2</v>
      </c>
      <c r="AH82" s="127">
        <f>AF82/$H$79</f>
        <v>0.18181818181818182</v>
      </c>
      <c r="AI82" s="127">
        <f>AF82/AG82</f>
        <v>1</v>
      </c>
      <c r="AL82" s="122">
        <v>3</v>
      </c>
      <c r="AM82" s="101">
        <v>2</v>
      </c>
      <c r="AN82">
        <v>282</v>
      </c>
      <c r="AO82">
        <v>16</v>
      </c>
      <c r="AP82" s="101">
        <v>14</v>
      </c>
      <c r="AQ82" s="101">
        <v>8</v>
      </c>
      <c r="AR82">
        <v>2</v>
      </c>
      <c r="AS82">
        <v>2</v>
      </c>
      <c r="AT82">
        <v>0</v>
      </c>
      <c r="AU82" s="119">
        <v>6</v>
      </c>
      <c r="AV82" s="101">
        <f>($F$79-M82)/$F$79</f>
        <v>1</v>
      </c>
      <c r="AX82" s="101">
        <f>($G$79-AM82)/$G$79</f>
        <v>0.77777777777777779</v>
      </c>
      <c r="AY82" s="101">
        <f>AQ82/AP82</f>
        <v>0.5714285714285714</v>
      </c>
      <c r="AZ82" s="101">
        <f>AS82/AR82</f>
        <v>1</v>
      </c>
      <c r="BA82" s="85">
        <f>(AV82+AX82+AY82+AZ82)/4</f>
        <v>0.83730158730158721</v>
      </c>
      <c r="BB82" s="13">
        <f>AO82/$H$79</f>
        <v>1.4545454545454546</v>
      </c>
      <c r="BC82" s="118">
        <f>AU82/AO82</f>
        <v>0.375</v>
      </c>
      <c r="BD82" s="13">
        <f>AN82/AO82</f>
        <v>17.625</v>
      </c>
      <c r="BE82" s="13">
        <f>AS82/$H$79</f>
        <v>0.18181818181818182</v>
      </c>
      <c r="BF82" s="13">
        <f>AQ82/$H$79</f>
        <v>0.72727272727272729</v>
      </c>
      <c r="BP82" t="str">
        <f t="shared" si="11"/>
        <v>8-3 &amp;  &amp; 0.67741935483871 &amp; 0.807692307692308 &amp; 0.736842105263158 &amp; 0.666666666666667 &amp; 0.666666666666667 &amp; 0.666666666666667 &amp; 0.413793103448276 &amp; 0.5 &amp; 0.452830188679245 &amp; 2 &amp; 2 &amp; 0.181818181818182 &amp; 1 \\ \hline</v>
      </c>
    </row>
    <row r="83" spans="1:68" ht="16">
      <c r="A83" t="s">
        <v>308</v>
      </c>
      <c r="C83" s="310"/>
      <c r="K83" s="47" t="s">
        <v>381</v>
      </c>
      <c r="L83" s="77" t="s">
        <v>458</v>
      </c>
      <c r="N83" s="81">
        <f>O83-6</f>
        <v>21</v>
      </c>
      <c r="O83" s="81">
        <f>F79-4</f>
        <v>27</v>
      </c>
      <c r="P83" s="129">
        <f>N83/$F$79</f>
        <v>0.67741935483870963</v>
      </c>
      <c r="Q83" s="129">
        <f>N83/O83</f>
        <v>0.77777777777777779</v>
      </c>
      <c r="R83" s="127">
        <f>2*(P83*Q83)/(P83+Q83)</f>
        <v>0.72413793103448276</v>
      </c>
      <c r="T83" s="81">
        <f>U83-2</f>
        <v>7</v>
      </c>
      <c r="U83" s="81">
        <f>G79</f>
        <v>9</v>
      </c>
      <c r="V83" s="129">
        <f>T83/$G$79</f>
        <v>0.77777777777777779</v>
      </c>
      <c r="W83" s="129">
        <f>T83/U83</f>
        <v>0.77777777777777779</v>
      </c>
      <c r="X83" s="127">
        <f>2*(V83*W83)/(V83+W83)</f>
        <v>0.77777777777777779</v>
      </c>
      <c r="Z83" s="81">
        <f>AA83-5</f>
        <v>20</v>
      </c>
      <c r="AA83" s="81">
        <f>I79-4</f>
        <v>25</v>
      </c>
      <c r="AB83" s="129">
        <f>Z83/$I$79</f>
        <v>0.68965517241379315</v>
      </c>
      <c r="AC83" s="129">
        <f>Z83/AA83</f>
        <v>0.8</v>
      </c>
      <c r="AD83" s="127">
        <f>2*(AB83*AC83)/(AB83+AC83)</f>
        <v>0.74074074074074081</v>
      </c>
      <c r="AF83">
        <v>2</v>
      </c>
      <c r="AG83">
        <v>2</v>
      </c>
      <c r="AH83" s="127">
        <f>AF83/$H$79</f>
        <v>0.18181818181818182</v>
      </c>
      <c r="AI83" s="127">
        <f>AF83/AG83</f>
        <v>1</v>
      </c>
      <c r="AL83" s="122">
        <v>4</v>
      </c>
      <c r="AM83" s="101">
        <v>2</v>
      </c>
      <c r="AN83">
        <v>309</v>
      </c>
      <c r="AO83">
        <v>15</v>
      </c>
      <c r="AP83" s="101">
        <v>13</v>
      </c>
      <c r="AQ83" s="101">
        <v>12</v>
      </c>
      <c r="AR83">
        <v>2</v>
      </c>
      <c r="AS83">
        <v>2</v>
      </c>
      <c r="AT83">
        <v>0</v>
      </c>
      <c r="AU83" s="119">
        <v>11</v>
      </c>
      <c r="AV83" s="101">
        <f>($F$79-M83)/$F$79</f>
        <v>1</v>
      </c>
      <c r="AX83" s="101">
        <f>($G$79-AM83)/$G$79</f>
        <v>0.77777777777777779</v>
      </c>
      <c r="AY83" s="101">
        <f>AQ83/AP83</f>
        <v>0.92307692307692313</v>
      </c>
      <c r="AZ83" s="101">
        <f>AS83/AR83</f>
        <v>1</v>
      </c>
      <c r="BA83" s="85">
        <f>(AV83+AX83+AY83+AZ83)/4</f>
        <v>0.92521367521367526</v>
      </c>
      <c r="BB83" s="13">
        <f>AO83/$H$79</f>
        <v>1.3636363636363635</v>
      </c>
      <c r="BC83" s="118">
        <f>AU83/AO83</f>
        <v>0.73333333333333328</v>
      </c>
      <c r="BD83" s="13">
        <f>AN83/AO83</f>
        <v>20.6</v>
      </c>
      <c r="BE83" s="13">
        <f>AS83/$H$79</f>
        <v>0.18181818181818182</v>
      </c>
      <c r="BF83" s="13">
        <f>AQ83/$H$79</f>
        <v>1.0909090909090908</v>
      </c>
      <c r="BP83" t="str">
        <f t="shared" si="11"/>
        <v>8-3 &amp;  &amp; 0.67741935483871 &amp; 0.777777777777778 &amp; 0.724137931034483 &amp; 0.777777777777778 &amp; 0.777777777777778 &amp; 0.777777777777778 &amp; 0.689655172413793 &amp; 0.8 &amp; 0.740740740740741 &amp; 2 &amp; 2 &amp; 0.181818181818182 &amp; 1 \\ \hline</v>
      </c>
    </row>
    <row r="84" spans="1:68" ht="16">
      <c r="A84" t="s">
        <v>309</v>
      </c>
      <c r="C84" s="310"/>
      <c r="K84" s="47" t="s">
        <v>382</v>
      </c>
      <c r="L84" s="77" t="s">
        <v>459</v>
      </c>
      <c r="N84" s="81">
        <f>O84-7</f>
        <v>21</v>
      </c>
      <c r="O84" s="81">
        <f>F79-3</f>
        <v>28</v>
      </c>
      <c r="P84" s="129">
        <f>N84/$F$79</f>
        <v>0.67741935483870963</v>
      </c>
      <c r="Q84" s="129">
        <f>N84/O84</f>
        <v>0.75</v>
      </c>
      <c r="R84" s="127">
        <f>2*(P84*Q84)/(P84+Q84)</f>
        <v>0.71186440677966112</v>
      </c>
      <c r="T84" s="81">
        <f>U84-2</f>
        <v>7</v>
      </c>
      <c r="U84" s="81">
        <v>9</v>
      </c>
      <c r="V84" s="129">
        <f>T84/$G$79</f>
        <v>0.77777777777777779</v>
      </c>
      <c r="W84" s="129">
        <f>T84/U84</f>
        <v>0.77777777777777779</v>
      </c>
      <c r="X84" s="127">
        <f>2*(V84*W84)/(V84+W84)</f>
        <v>0.77777777777777779</v>
      </c>
      <c r="Z84" s="81">
        <f>AA84-15</f>
        <v>11</v>
      </c>
      <c r="AA84" s="81">
        <f>I79-3</f>
        <v>26</v>
      </c>
      <c r="AB84" s="129">
        <f>Z84/$I$79</f>
        <v>0.37931034482758619</v>
      </c>
      <c r="AC84" s="129">
        <f>Z84/AA84</f>
        <v>0.42307692307692307</v>
      </c>
      <c r="AD84" s="127">
        <f>2*(AB84*AC84)/(AB84+AC84)</f>
        <v>0.4</v>
      </c>
      <c r="AF84">
        <v>2</v>
      </c>
      <c r="AG84">
        <v>2</v>
      </c>
      <c r="AH84" s="127">
        <f>AF84/$H$79</f>
        <v>0.18181818181818182</v>
      </c>
      <c r="AI84" s="127">
        <f>AF84/AG84</f>
        <v>1</v>
      </c>
      <c r="AL84" s="122">
        <v>5</v>
      </c>
      <c r="AM84" s="101">
        <v>2</v>
      </c>
      <c r="AN84">
        <v>310</v>
      </c>
      <c r="AO84">
        <v>14</v>
      </c>
      <c r="AP84" s="101">
        <v>12</v>
      </c>
      <c r="AQ84" s="101">
        <v>7</v>
      </c>
      <c r="AR84">
        <v>2</v>
      </c>
      <c r="AS84">
        <v>2</v>
      </c>
      <c r="AT84">
        <v>0</v>
      </c>
      <c r="AU84" s="119">
        <v>10</v>
      </c>
      <c r="AV84" s="101">
        <f>($F$79-M84)/$F$79</f>
        <v>1</v>
      </c>
      <c r="AX84" s="101">
        <f>($G$79-AM84)/$G$79</f>
        <v>0.77777777777777779</v>
      </c>
      <c r="AY84" s="101">
        <f>AQ84/AP84</f>
        <v>0.58333333333333337</v>
      </c>
      <c r="AZ84" s="101">
        <f>AS84/AR84</f>
        <v>1</v>
      </c>
      <c r="BA84" s="85">
        <f>(AV84+AX84+AY84+AZ84)/4</f>
        <v>0.84027777777777779</v>
      </c>
      <c r="BB84" s="13">
        <f>AO84/$H$79</f>
        <v>1.2727272727272727</v>
      </c>
      <c r="BC84" s="118">
        <f>AU84/AO84</f>
        <v>0.7142857142857143</v>
      </c>
      <c r="BD84" s="13">
        <f>AN84/AO84</f>
        <v>22.142857142857142</v>
      </c>
      <c r="BE84" s="13">
        <f>AS84/$H$79</f>
        <v>0.18181818181818182</v>
      </c>
      <c r="BF84" s="13">
        <f>AQ84/$H$79</f>
        <v>0.63636363636363635</v>
      </c>
      <c r="BP84" t="str">
        <f t="shared" si="11"/>
        <v>8-3 &amp;  &amp; 0.67741935483871 &amp; 0.75 &amp; 0.711864406779661 &amp; 0.777777777777778 &amp; 0.777777777777778 &amp; 0.777777777777778 &amp; 0.379310344827586 &amp; 0.423076923076923 &amp; 0.4 &amp; 2 &amp; 2 &amp; 0.181818181818182 &amp; 1 \\ \hline</v>
      </c>
    </row>
    <row r="85" spans="1:68">
      <c r="P85" s="129"/>
      <c r="Q85" s="129"/>
      <c r="R85" s="127"/>
      <c r="V85" s="129"/>
      <c r="W85" s="129"/>
      <c r="X85" s="127"/>
      <c r="AB85" s="129"/>
      <c r="AC85" s="129"/>
      <c r="AD85" s="127"/>
      <c r="AF85"/>
      <c r="AG85"/>
      <c r="AH85" s="127"/>
      <c r="AI85" s="131"/>
    </row>
    <row r="86" spans="1:68" s="75" customFormat="1">
      <c r="A86" s="75" t="s">
        <v>324</v>
      </c>
      <c r="B86" s="94">
        <v>45179</v>
      </c>
      <c r="C86" s="93" t="s">
        <v>161</v>
      </c>
      <c r="D86" s="78">
        <f>VLOOKUP($C$86,Overview!$Q$2:$AS$64,23,FALSE)</f>
        <v>0.52174731599712521</v>
      </c>
      <c r="E86" s="78" t="str">
        <f>VLOOKUP($C$86,Overview!$Q$2:$AS$64,24,FALSE)</f>
        <v>low</v>
      </c>
      <c r="F86" s="75">
        <f>VLOOKUP(C86,Overview!$Q$2:$AS$64,13,FALSE)</f>
        <v>32</v>
      </c>
      <c r="G86" s="75">
        <f>VLOOKUP(C86,Overview!$Q$2:$AS$64,16,FALSE)</f>
        <v>9</v>
      </c>
      <c r="H86" s="75">
        <f>VLOOKUP(C86,Overview!$Q$2:$AS$64,18,FALSE)</f>
        <v>11</v>
      </c>
      <c r="I86" s="75">
        <f>VLOOKUP($C$86,Overview!$Q$2:$AS$64,19,FALSE)</f>
        <v>30</v>
      </c>
      <c r="K86" s="96"/>
      <c r="M86" s="115"/>
      <c r="N86" s="97"/>
      <c r="O86" s="97"/>
      <c r="P86" s="130"/>
      <c r="Q86" s="130"/>
      <c r="R86" s="128"/>
      <c r="S86" s="115"/>
      <c r="T86" s="97"/>
      <c r="U86" s="97"/>
      <c r="V86" s="130"/>
      <c r="W86" s="130"/>
      <c r="X86" s="128"/>
      <c r="Y86" s="115"/>
      <c r="Z86" s="97"/>
      <c r="AA86" s="97"/>
      <c r="AB86" s="130"/>
      <c r="AC86" s="130"/>
      <c r="AD86" s="128"/>
      <c r="AE86" s="115"/>
      <c r="AH86" s="128"/>
      <c r="AI86" s="132"/>
      <c r="AJ86" s="97"/>
      <c r="AK86" s="115"/>
      <c r="AL86" s="122"/>
      <c r="AM86" s="101"/>
      <c r="AP86" s="101"/>
      <c r="AQ86" s="101"/>
      <c r="AU86" s="119"/>
      <c r="AV86" s="101"/>
      <c r="AW86" s="101"/>
      <c r="AX86" s="101"/>
      <c r="AY86" s="101"/>
      <c r="AZ86" s="101"/>
      <c r="BA86" s="83"/>
      <c r="BC86" s="101"/>
      <c r="BP86"/>
    </row>
    <row r="87" spans="1:68" ht="16">
      <c r="A87" t="s">
        <v>305</v>
      </c>
      <c r="C87" s="310"/>
      <c r="K87" s="47" t="s">
        <v>378</v>
      </c>
      <c r="L87" s="77" t="s">
        <v>460</v>
      </c>
      <c r="N87" s="81">
        <f>O87-3</f>
        <v>20</v>
      </c>
      <c r="O87" s="81">
        <f>F86-9</f>
        <v>23</v>
      </c>
      <c r="P87" s="129">
        <f>N87/$F$86</f>
        <v>0.625</v>
      </c>
      <c r="Q87" s="129">
        <f>N87/O87</f>
        <v>0.86956521739130432</v>
      </c>
      <c r="R87" s="127">
        <f>2*(P87*Q87)/(P87+Q87)</f>
        <v>0.72727272727272729</v>
      </c>
      <c r="T87" s="81">
        <f>U87-2</f>
        <v>5</v>
      </c>
      <c r="U87" s="81">
        <f>G86-2</f>
        <v>7</v>
      </c>
      <c r="V87" s="129">
        <f>T87/$G$86</f>
        <v>0.55555555555555558</v>
      </c>
      <c r="W87" s="129">
        <f>T87/U87</f>
        <v>0.7142857142857143</v>
      </c>
      <c r="X87" s="127">
        <f>2*(V87*W87)/(V87+W87)</f>
        <v>0.62500000000000011</v>
      </c>
      <c r="Z87" s="81">
        <f>AA87-6</f>
        <v>17</v>
      </c>
      <c r="AA87" s="81">
        <f>I86-7</f>
        <v>23</v>
      </c>
      <c r="AB87" s="129">
        <f>Z87/$I$86</f>
        <v>0.56666666666666665</v>
      </c>
      <c r="AC87" s="129">
        <f>Z87/AA87</f>
        <v>0.73913043478260865</v>
      </c>
      <c r="AD87" s="127">
        <f>2*(AB87*AC87)/(AB87+AC87)</f>
        <v>0.64150943396226412</v>
      </c>
      <c r="AF87">
        <v>0</v>
      </c>
      <c r="AG87">
        <v>0</v>
      </c>
      <c r="AH87" s="127">
        <f>AF87/$H$86</f>
        <v>0</v>
      </c>
      <c r="AI87" s="127">
        <v>0</v>
      </c>
      <c r="AL87" s="122">
        <v>9</v>
      </c>
      <c r="AM87" s="101">
        <v>2</v>
      </c>
      <c r="AN87">
        <v>229</v>
      </c>
      <c r="AO87">
        <v>12</v>
      </c>
      <c r="AP87" s="101">
        <v>12</v>
      </c>
      <c r="AQ87" s="101">
        <v>4</v>
      </c>
      <c r="AR87">
        <v>0</v>
      </c>
      <c r="AS87">
        <v>0</v>
      </c>
      <c r="AT87">
        <v>0</v>
      </c>
      <c r="AU87" s="119">
        <v>10</v>
      </c>
      <c r="AV87" s="101">
        <f>($F$86-M87)/$F$86</f>
        <v>1</v>
      </c>
      <c r="AX87" s="101">
        <f>($G$86-AM87)/$G$86</f>
        <v>0.77777777777777779</v>
      </c>
      <c r="AY87" s="101">
        <f>AQ87/AP87</f>
        <v>0.33333333333333331</v>
      </c>
      <c r="AZ87" s="101">
        <v>0</v>
      </c>
      <c r="BA87" s="85">
        <f>(AV87+AX87+AY87+AZ87)/4</f>
        <v>0.52777777777777779</v>
      </c>
      <c r="BB87" s="13">
        <f>AO87/$H$86</f>
        <v>1.0909090909090908</v>
      </c>
      <c r="BC87" s="118">
        <f>AU87/AO87</f>
        <v>0.83333333333333337</v>
      </c>
      <c r="BD87" s="13">
        <f>AN87/AO87</f>
        <v>19.083333333333332</v>
      </c>
      <c r="BE87" s="13">
        <f>AS87/$H$86</f>
        <v>0</v>
      </c>
      <c r="BF87" s="13">
        <f>AQ87/$H$86</f>
        <v>0.36363636363636365</v>
      </c>
      <c r="BP87" t="str">
        <f>_xlfn.CONCAT($C$86," &amp; ",C87," &amp; ",P87," &amp; ",Q87," &amp; ",R87," &amp; ",V87," &amp; ",W87," &amp; ",X87," &amp; ",AB87," &amp; ",AC87," &amp; ",AD87," &amp; ",AF87," &amp; ",AG87," &amp; ",AH87," &amp; ",AI87, " \\ \hline")</f>
        <v>8-2 &amp;  &amp; 0.625 &amp; 0.869565217391304 &amp; 0.727272727272727 &amp; 0.555555555555556 &amp; 0.714285714285714 &amp; 0.625 &amp; 0.566666666666667 &amp; 0.739130434782609 &amp; 0.641509433962264 &amp; 0 &amp; 0 &amp; 0 &amp; 0 \\ \hline</v>
      </c>
    </row>
    <row r="88" spans="1:68" ht="16">
      <c r="A88" t="s">
        <v>306</v>
      </c>
      <c r="C88" s="310"/>
      <c r="K88" s="47" t="s">
        <v>379</v>
      </c>
      <c r="L88" s="77" t="s">
        <v>461</v>
      </c>
      <c r="N88" s="81">
        <f>O88-3</f>
        <v>22</v>
      </c>
      <c r="O88" s="81">
        <f>F86-7</f>
        <v>25</v>
      </c>
      <c r="P88" s="129">
        <f>N88/$F$86</f>
        <v>0.6875</v>
      </c>
      <c r="Q88" s="129">
        <f>N88/O88</f>
        <v>0.88</v>
      </c>
      <c r="R88" s="127">
        <f>2*(P88*Q88)/(P88+Q88)</f>
        <v>0.77192982456140358</v>
      </c>
      <c r="T88" s="81">
        <f>U88-2</f>
        <v>7</v>
      </c>
      <c r="U88" s="81">
        <f>G86-0</f>
        <v>9</v>
      </c>
      <c r="V88" s="129">
        <f>T88/$G$86</f>
        <v>0.77777777777777779</v>
      </c>
      <c r="W88" s="129">
        <f>T88/U88</f>
        <v>0.77777777777777779</v>
      </c>
      <c r="X88" s="127">
        <f>2*(V88*W88)/(V88+W88)</f>
        <v>0.77777777777777779</v>
      </c>
      <c r="Z88" s="81">
        <f>AA88-5</f>
        <v>18</v>
      </c>
      <c r="AA88" s="81">
        <f>I86-7</f>
        <v>23</v>
      </c>
      <c r="AB88" s="129">
        <f>Z88/$I$86</f>
        <v>0.6</v>
      </c>
      <c r="AC88" s="129">
        <f>Z88/AA88</f>
        <v>0.78260869565217395</v>
      </c>
      <c r="AD88" s="127">
        <f>2*(AB88*AC88)/(AB88+AC88)</f>
        <v>0.67924528301886788</v>
      </c>
      <c r="AF88">
        <v>3</v>
      </c>
      <c r="AG88">
        <v>3</v>
      </c>
      <c r="AH88" s="127">
        <f>AF88/$H$86</f>
        <v>0.27272727272727271</v>
      </c>
      <c r="AI88" s="127">
        <f>AF88/AG88</f>
        <v>1</v>
      </c>
      <c r="AL88" s="122">
        <v>4</v>
      </c>
      <c r="AM88" s="101">
        <v>1</v>
      </c>
      <c r="AN88">
        <v>338</v>
      </c>
      <c r="AO88">
        <v>14</v>
      </c>
      <c r="AP88" s="101">
        <v>11</v>
      </c>
      <c r="AQ88" s="101">
        <v>6</v>
      </c>
      <c r="AR88">
        <v>3</v>
      </c>
      <c r="AS88">
        <v>3</v>
      </c>
      <c r="AT88">
        <v>0</v>
      </c>
      <c r="AU88" s="119">
        <v>8</v>
      </c>
      <c r="AV88" s="101">
        <f>($F$86-M88)/$F$86</f>
        <v>1</v>
      </c>
      <c r="AX88" s="101">
        <f>($G$86-AM88)/$G$86</f>
        <v>0.88888888888888884</v>
      </c>
      <c r="AY88" s="101">
        <f>AQ88/AP88</f>
        <v>0.54545454545454541</v>
      </c>
      <c r="AZ88" s="101">
        <f>AS88/AR88</f>
        <v>1</v>
      </c>
      <c r="BA88" s="85">
        <f>(AV88+AX88+AY88+AZ88)/4</f>
        <v>0.85858585858585856</v>
      </c>
      <c r="BB88" s="13">
        <f>AO88/$H$86</f>
        <v>1.2727272727272727</v>
      </c>
      <c r="BC88" s="118">
        <f>AU88/AO88</f>
        <v>0.5714285714285714</v>
      </c>
      <c r="BD88" s="13">
        <f>AN88/AO88</f>
        <v>24.142857142857142</v>
      </c>
      <c r="BE88" s="13">
        <f>AS88/$H$86</f>
        <v>0.27272727272727271</v>
      </c>
      <c r="BF88" s="13">
        <f>AQ88/$H$86</f>
        <v>0.54545454545454541</v>
      </c>
      <c r="BP88" t="str">
        <f t="shared" ref="BP88:BP91" si="12">_xlfn.CONCAT($C$86," &amp; ",C88," &amp; ",P88," &amp; ",Q88," &amp; ",R88," &amp; ",V88," &amp; ",W88," &amp; ",X88," &amp; ",AB88," &amp; ",AC88," &amp; ",AD88," &amp; ",AF88," &amp; ",AG88," &amp; ",AH88," &amp; ",AI88, " \\ \hline")</f>
        <v>8-2 &amp;  &amp; 0.6875 &amp; 0.88 &amp; 0.771929824561404 &amp; 0.777777777777778 &amp; 0.777777777777778 &amp; 0.777777777777778 &amp; 0.6 &amp; 0.782608695652174 &amp; 0.679245283018868 &amp; 3 &amp; 3 &amp; 0.272727272727273 &amp; 1 \\ \hline</v>
      </c>
    </row>
    <row r="89" spans="1:68" ht="16">
      <c r="A89" t="s">
        <v>307</v>
      </c>
      <c r="C89" s="310"/>
      <c r="K89" s="47" t="s">
        <v>380</v>
      </c>
      <c r="L89" s="77" t="s">
        <v>462</v>
      </c>
      <c r="N89" s="81">
        <f>O89-3</f>
        <v>20</v>
      </c>
      <c r="O89" s="81">
        <f>F86-9</f>
        <v>23</v>
      </c>
      <c r="P89" s="129">
        <f>N89/$F$86</f>
        <v>0.625</v>
      </c>
      <c r="Q89" s="129">
        <f>N89/O89</f>
        <v>0.86956521739130432</v>
      </c>
      <c r="R89" s="127">
        <f>2*(P89*Q89)/(P89+Q89)</f>
        <v>0.72727272727272729</v>
      </c>
      <c r="T89" s="81">
        <f>U89-2</f>
        <v>5</v>
      </c>
      <c r="U89" s="81">
        <f>G86-2</f>
        <v>7</v>
      </c>
      <c r="V89" s="129">
        <f>T89/$G$86</f>
        <v>0.55555555555555558</v>
      </c>
      <c r="W89" s="129">
        <f>T89/U89</f>
        <v>0.7142857142857143</v>
      </c>
      <c r="X89" s="127">
        <f>2*(V89*W89)/(V89+W89)</f>
        <v>0.62500000000000011</v>
      </c>
      <c r="Z89" s="81">
        <f>AA89-5</f>
        <v>18</v>
      </c>
      <c r="AA89" s="81">
        <f>I86-7</f>
        <v>23</v>
      </c>
      <c r="AB89" s="129">
        <f>Z89/$I$86</f>
        <v>0.6</v>
      </c>
      <c r="AC89" s="129">
        <f>Z89/AA89</f>
        <v>0.78260869565217395</v>
      </c>
      <c r="AD89" s="127">
        <f>2*(AB89*AC89)/(AB89+AC89)</f>
        <v>0.67924528301886788</v>
      </c>
      <c r="AF89">
        <v>3</v>
      </c>
      <c r="AG89">
        <v>3</v>
      </c>
      <c r="AH89" s="127">
        <f>AF89/$H$86</f>
        <v>0.27272727272727271</v>
      </c>
      <c r="AI89" s="127">
        <f>AF89/AG89</f>
        <v>1</v>
      </c>
      <c r="AL89" s="122">
        <v>7</v>
      </c>
      <c r="AM89" s="101">
        <v>2</v>
      </c>
      <c r="AN89">
        <v>302</v>
      </c>
      <c r="AO89">
        <v>17</v>
      </c>
      <c r="AP89" s="101">
        <v>15</v>
      </c>
      <c r="AQ89" s="101">
        <v>10</v>
      </c>
      <c r="AR89">
        <v>2</v>
      </c>
      <c r="AS89">
        <v>2</v>
      </c>
      <c r="AT89">
        <v>0</v>
      </c>
      <c r="AU89" s="119">
        <v>12</v>
      </c>
      <c r="AV89" s="101">
        <f>($F$86-M89)/$F$86</f>
        <v>1</v>
      </c>
      <c r="AX89" s="101">
        <f>($G$86-AM89)/$G$86</f>
        <v>0.77777777777777779</v>
      </c>
      <c r="AY89" s="101">
        <f>AQ89/AP89</f>
        <v>0.66666666666666663</v>
      </c>
      <c r="AZ89" s="101">
        <f>AS89/AR89</f>
        <v>1</v>
      </c>
      <c r="BA89" s="85">
        <f>(AV89+AX89+AY89+AZ89)/4</f>
        <v>0.86111111111111105</v>
      </c>
      <c r="BB89" s="13">
        <f>AO89/$H$86</f>
        <v>1.5454545454545454</v>
      </c>
      <c r="BC89" s="118">
        <f>AU89/AO89</f>
        <v>0.70588235294117652</v>
      </c>
      <c r="BD89" s="13">
        <f>AN89/AO89</f>
        <v>17.764705882352942</v>
      </c>
      <c r="BE89" s="13">
        <f>AS89/$H$86</f>
        <v>0.18181818181818182</v>
      </c>
      <c r="BF89" s="13">
        <f>AQ89/$H$86</f>
        <v>0.90909090909090906</v>
      </c>
      <c r="BP89" t="str">
        <f t="shared" si="12"/>
        <v>8-2 &amp;  &amp; 0.625 &amp; 0.869565217391304 &amp; 0.727272727272727 &amp; 0.555555555555556 &amp; 0.714285714285714 &amp; 0.625 &amp; 0.6 &amp; 0.782608695652174 &amp; 0.679245283018868 &amp; 3 &amp; 3 &amp; 0.272727272727273 &amp; 1 \\ \hline</v>
      </c>
    </row>
    <row r="90" spans="1:68" ht="16">
      <c r="A90" t="s">
        <v>308</v>
      </c>
      <c r="C90" s="310"/>
      <c r="K90" s="47" t="s">
        <v>381</v>
      </c>
      <c r="L90" s="77" t="s">
        <v>463</v>
      </c>
      <c r="N90" s="81">
        <f>O90-3</f>
        <v>25</v>
      </c>
      <c r="O90" s="81">
        <f>F86-4</f>
        <v>28</v>
      </c>
      <c r="P90" s="129">
        <f>N90/$F$86</f>
        <v>0.78125</v>
      </c>
      <c r="Q90" s="129">
        <f>N90/O90</f>
        <v>0.8928571428571429</v>
      </c>
      <c r="R90" s="127">
        <f>2*(P90*Q90)/(P90+Q90)</f>
        <v>0.83333333333333337</v>
      </c>
      <c r="T90" s="81">
        <f>U90-2</f>
        <v>7</v>
      </c>
      <c r="U90" s="81">
        <f>G86-0</f>
        <v>9</v>
      </c>
      <c r="V90" s="129">
        <f>T90/$G$86</f>
        <v>0.77777777777777779</v>
      </c>
      <c r="W90" s="129">
        <f>T90/U90</f>
        <v>0.77777777777777779</v>
      </c>
      <c r="X90" s="127">
        <f>2*(V90*W90)/(V90+W90)</f>
        <v>0.77777777777777779</v>
      </c>
      <c r="Z90" s="81">
        <f>AA90-6</f>
        <v>20</v>
      </c>
      <c r="AA90" s="81">
        <f>I86-4</f>
        <v>26</v>
      </c>
      <c r="AB90" s="129">
        <f>Z90/$I$86</f>
        <v>0.66666666666666663</v>
      </c>
      <c r="AC90" s="129">
        <f>Z90/AA90</f>
        <v>0.76923076923076927</v>
      </c>
      <c r="AD90" s="127">
        <f>2*(AB90*AC90)/(AB90+AC90)</f>
        <v>0.71428571428571419</v>
      </c>
      <c r="AF90">
        <v>6</v>
      </c>
      <c r="AG90">
        <v>6</v>
      </c>
      <c r="AH90" s="127">
        <f>AF90/$H$86</f>
        <v>0.54545454545454541</v>
      </c>
      <c r="AI90" s="127">
        <f>AF90/AG90</f>
        <v>1</v>
      </c>
      <c r="AL90" s="122">
        <v>7</v>
      </c>
      <c r="AM90" s="101">
        <v>1</v>
      </c>
      <c r="AN90">
        <v>362</v>
      </c>
      <c r="AO90">
        <v>19</v>
      </c>
      <c r="AP90" s="101">
        <v>15</v>
      </c>
      <c r="AQ90" s="101">
        <v>8</v>
      </c>
      <c r="AR90">
        <v>4</v>
      </c>
      <c r="AS90">
        <v>3</v>
      </c>
      <c r="AT90">
        <v>0</v>
      </c>
      <c r="AU90" s="119">
        <v>11</v>
      </c>
      <c r="AV90" s="101">
        <f>($F$86-M90)/$F$86</f>
        <v>1</v>
      </c>
      <c r="AX90" s="101">
        <f>($G$86-AM90)/$G$86</f>
        <v>0.88888888888888884</v>
      </c>
      <c r="AY90" s="101">
        <f>AQ90/AP90</f>
        <v>0.53333333333333333</v>
      </c>
      <c r="AZ90" s="101">
        <f>AS90/AR90</f>
        <v>0.75</v>
      </c>
      <c r="BA90" s="85">
        <f>(AV90+AX90+AY90+AZ90)/4</f>
        <v>0.79305555555555551</v>
      </c>
      <c r="BB90" s="13">
        <f>AO90/$H$86</f>
        <v>1.7272727272727273</v>
      </c>
      <c r="BC90" s="118">
        <f>AU90/AO90</f>
        <v>0.57894736842105265</v>
      </c>
      <c r="BD90" s="13">
        <f>AN90/AO90</f>
        <v>19.05263157894737</v>
      </c>
      <c r="BE90" s="13">
        <f>AS90/$H$86</f>
        <v>0.27272727272727271</v>
      </c>
      <c r="BF90" s="13">
        <f>AQ90/$H$86</f>
        <v>0.72727272727272729</v>
      </c>
      <c r="BP90" t="str">
        <f t="shared" si="12"/>
        <v>8-2 &amp;  &amp; 0.78125 &amp; 0.892857142857143 &amp; 0.833333333333333 &amp; 0.777777777777778 &amp; 0.777777777777778 &amp; 0.777777777777778 &amp; 0.666666666666667 &amp; 0.769230769230769 &amp; 0.714285714285714 &amp; 6 &amp; 6 &amp; 0.545454545454545 &amp; 1 \\ \hline</v>
      </c>
    </row>
    <row r="91" spans="1:68" ht="16">
      <c r="A91" t="s">
        <v>309</v>
      </c>
      <c r="C91" s="310"/>
      <c r="K91" s="47" t="s">
        <v>382</v>
      </c>
      <c r="L91" s="77" t="s">
        <v>464</v>
      </c>
      <c r="N91" s="81">
        <f>O91-3</f>
        <v>25</v>
      </c>
      <c r="O91" s="81">
        <f>F86-4</f>
        <v>28</v>
      </c>
      <c r="P91" s="129">
        <f>N91/$F$86</f>
        <v>0.78125</v>
      </c>
      <c r="Q91" s="129">
        <f>N91/O91</f>
        <v>0.8928571428571429</v>
      </c>
      <c r="R91" s="127">
        <f>2*(P91*Q91)/(P91+Q91)</f>
        <v>0.83333333333333337</v>
      </c>
      <c r="T91" s="81">
        <f>U91-2</f>
        <v>7</v>
      </c>
      <c r="U91" s="81">
        <f>G86-0</f>
        <v>9</v>
      </c>
      <c r="V91" s="129">
        <f>T91/$G$86</f>
        <v>0.77777777777777779</v>
      </c>
      <c r="W91" s="129">
        <f>T91/U91</f>
        <v>0.77777777777777779</v>
      </c>
      <c r="X91" s="127">
        <f>2*(V91*W91)/(V91+W91)</f>
        <v>0.77777777777777779</v>
      </c>
      <c r="Z91" s="81">
        <f>AA91-8</f>
        <v>18</v>
      </c>
      <c r="AA91" s="81">
        <f>I86-4</f>
        <v>26</v>
      </c>
      <c r="AB91" s="129">
        <f>Z91/$I$86</f>
        <v>0.6</v>
      </c>
      <c r="AC91" s="129">
        <f>Z91/AA91</f>
        <v>0.69230769230769229</v>
      </c>
      <c r="AD91" s="127">
        <f>2*(AB91*AC91)/(AB91+AC91)</f>
        <v>0.6428571428571429</v>
      </c>
      <c r="AF91">
        <v>9</v>
      </c>
      <c r="AG91">
        <v>9</v>
      </c>
      <c r="AH91" s="127">
        <f>AF91/$H$86</f>
        <v>0.81818181818181823</v>
      </c>
      <c r="AI91" s="127">
        <f>AF91/AG91</f>
        <v>1</v>
      </c>
      <c r="AL91" s="122">
        <v>7</v>
      </c>
      <c r="AM91" s="101">
        <v>1</v>
      </c>
      <c r="AN91">
        <v>385</v>
      </c>
      <c r="AO91">
        <v>20</v>
      </c>
      <c r="AP91" s="101">
        <v>15</v>
      </c>
      <c r="AQ91" s="101">
        <v>8</v>
      </c>
      <c r="AR91">
        <v>5</v>
      </c>
      <c r="AS91">
        <v>4</v>
      </c>
      <c r="AT91">
        <v>0</v>
      </c>
      <c r="AV91" s="101">
        <f>($F$86-M91)/$F$86</f>
        <v>1</v>
      </c>
      <c r="AX91" s="101">
        <f>($G$86-AM91)/$G$86</f>
        <v>0.88888888888888884</v>
      </c>
      <c r="AY91" s="101">
        <f>AQ91/AP91</f>
        <v>0.53333333333333333</v>
      </c>
      <c r="AZ91" s="101">
        <f>AS91/AR91</f>
        <v>0.8</v>
      </c>
      <c r="BA91" s="85">
        <f>(AV91+AX91+AY91+AZ91)/4</f>
        <v>0.80555555555555558</v>
      </c>
      <c r="BB91" s="13">
        <f>AO91/$H$86</f>
        <v>1.8181818181818181</v>
      </c>
      <c r="BC91" s="118">
        <f>AU91/AO91</f>
        <v>0</v>
      </c>
      <c r="BD91" s="13">
        <f>AN91/AO91</f>
        <v>19.25</v>
      </c>
      <c r="BE91" s="13">
        <f>AS91/$H$86</f>
        <v>0.36363636363636365</v>
      </c>
      <c r="BF91" s="13">
        <f>AQ91/$H$86</f>
        <v>0.72727272727272729</v>
      </c>
      <c r="BP91" t="str">
        <f t="shared" si="12"/>
        <v>8-2 &amp;  &amp; 0.78125 &amp; 0.892857142857143 &amp; 0.833333333333333 &amp; 0.777777777777778 &amp; 0.777777777777778 &amp; 0.777777777777778 &amp; 0.6 &amp; 0.692307692307692 &amp; 0.642857142857143 &amp; 9 &amp; 9 &amp; 0.818181818181818 &amp; 1 \\ \hline</v>
      </c>
    </row>
    <row r="92" spans="1:68">
      <c r="P92" s="129"/>
      <c r="Q92" s="129"/>
      <c r="R92" s="127"/>
      <c r="V92" s="129"/>
      <c r="W92" s="129"/>
      <c r="X92" s="127"/>
      <c r="AB92" s="129"/>
      <c r="AC92" s="129"/>
      <c r="AD92" s="127"/>
      <c r="AF92"/>
      <c r="AG92"/>
      <c r="AH92" s="127"/>
      <c r="AI92" s="131"/>
    </row>
    <row r="93" spans="1:68" s="75" customFormat="1">
      <c r="A93" s="73" t="s">
        <v>326</v>
      </c>
      <c r="B93" s="95">
        <v>45178</v>
      </c>
      <c r="C93" s="93" t="s">
        <v>148</v>
      </c>
      <c r="D93" s="78">
        <f>VLOOKUP($C$93,Overview!$Q$2:$AS$64,23,FALSE)</f>
        <v>0.56186483688761291</v>
      </c>
      <c r="E93" s="78" t="str">
        <f>VLOOKUP($C$93,Overview!$Q$2:$AS$64,24,FALSE)</f>
        <v>low</v>
      </c>
      <c r="F93" s="75">
        <f>VLOOKUP(C93,Overview!$Q$2:$AS$64,13,FALSE)</f>
        <v>33</v>
      </c>
      <c r="G93" s="75">
        <f>VLOOKUP(C93,Overview!$Q$2:$AS$64,16,FALSE)</f>
        <v>8</v>
      </c>
      <c r="H93" s="75">
        <f>VLOOKUP(C93,Overview!$Q$2:$AS$64,18,FALSE)</f>
        <v>8</v>
      </c>
      <c r="I93" s="75">
        <f>VLOOKUP($C$93,Overview!$Q$2:$AS$64,19,FALSE)</f>
        <v>33</v>
      </c>
      <c r="K93" s="96"/>
      <c r="M93" s="115"/>
      <c r="N93" s="97"/>
      <c r="O93" s="97"/>
      <c r="P93" s="130"/>
      <c r="Q93" s="130"/>
      <c r="R93" s="128"/>
      <c r="S93" s="115"/>
      <c r="T93" s="97"/>
      <c r="U93" s="97"/>
      <c r="V93" s="130"/>
      <c r="W93" s="130"/>
      <c r="X93" s="128"/>
      <c r="Y93" s="115"/>
      <c r="Z93" s="97"/>
      <c r="AA93" s="97"/>
      <c r="AB93" s="130"/>
      <c r="AC93" s="130"/>
      <c r="AD93" s="128"/>
      <c r="AE93" s="115"/>
      <c r="AH93" s="128"/>
      <c r="AI93" s="132"/>
      <c r="AJ93" s="97"/>
      <c r="AK93" s="115"/>
      <c r="AL93" s="122"/>
      <c r="AM93" s="101"/>
      <c r="AP93" s="101"/>
      <c r="AQ93" s="101"/>
      <c r="AU93" s="119"/>
      <c r="AV93" s="101"/>
      <c r="AW93" s="101"/>
      <c r="AX93" s="101"/>
      <c r="AY93" s="101"/>
      <c r="AZ93" s="101"/>
      <c r="BA93" s="83"/>
      <c r="BC93" s="101"/>
      <c r="BP93"/>
    </row>
    <row r="94" spans="1:68" ht="16">
      <c r="A94" t="s">
        <v>305</v>
      </c>
      <c r="C94" s="310"/>
      <c r="K94" s="47" t="s">
        <v>378</v>
      </c>
      <c r="L94" s="77" t="s">
        <v>470</v>
      </c>
      <c r="N94" s="81">
        <f>O94-0</f>
        <v>32</v>
      </c>
      <c r="O94" s="81">
        <f>$F$93-1</f>
        <v>32</v>
      </c>
      <c r="P94" s="129">
        <f>N94/$F$93</f>
        <v>0.96969696969696972</v>
      </c>
      <c r="Q94" s="129">
        <f>N94/O94</f>
        <v>1</v>
      </c>
      <c r="R94" s="127">
        <f>2*(P94*Q94)/(P94+Q94)</f>
        <v>0.98461538461538467</v>
      </c>
      <c r="T94" s="81">
        <f>U94-0</f>
        <v>7</v>
      </c>
      <c r="U94" s="81">
        <f>$G$93-1</f>
        <v>7</v>
      </c>
      <c r="V94" s="129">
        <f>T94/$G$93</f>
        <v>0.875</v>
      </c>
      <c r="W94" s="129">
        <f>T94/U94</f>
        <v>1</v>
      </c>
      <c r="X94" s="127">
        <f>2*(V94*W94)/(V94+W94)</f>
        <v>0.93333333333333335</v>
      </c>
      <c r="Z94" s="81">
        <f>AA94-4</f>
        <v>28</v>
      </c>
      <c r="AA94" s="81">
        <f>I93-1</f>
        <v>32</v>
      </c>
      <c r="AB94" s="129">
        <f>Z94/$I$93</f>
        <v>0.84848484848484851</v>
      </c>
      <c r="AC94" s="129">
        <f>Z94/AA94</f>
        <v>0.875</v>
      </c>
      <c r="AD94" s="127">
        <f>2*(AB94*AC94)/(AB94+AC94)</f>
        <v>0.86153846153846148</v>
      </c>
      <c r="AF94">
        <v>2</v>
      </c>
      <c r="AG94">
        <v>2</v>
      </c>
      <c r="AH94" s="127">
        <f>AF94/$H$93</f>
        <v>0.25</v>
      </c>
      <c r="AI94" s="127">
        <f>AF94/AG94</f>
        <v>1</v>
      </c>
      <c r="AL94" s="122">
        <v>1</v>
      </c>
      <c r="AM94" s="101">
        <v>1</v>
      </c>
      <c r="AN94">
        <v>270</v>
      </c>
      <c r="AO94">
        <v>19</v>
      </c>
      <c r="AP94" s="101">
        <v>9</v>
      </c>
      <c r="AQ94" s="101">
        <v>9</v>
      </c>
      <c r="AR94">
        <v>10</v>
      </c>
      <c r="AS94">
        <v>8</v>
      </c>
      <c r="AT94">
        <v>0</v>
      </c>
      <c r="AU94" s="119">
        <v>1</v>
      </c>
      <c r="AV94" s="101">
        <f>($F$93-M94)/$F$93</f>
        <v>1</v>
      </c>
      <c r="AX94" s="101">
        <f>($G$93-AM94)/$G$93</f>
        <v>0.875</v>
      </c>
      <c r="AY94" s="101">
        <f>AQ94/AP94</f>
        <v>1</v>
      </c>
      <c r="AZ94" s="101">
        <f>AS94/AR94</f>
        <v>0.8</v>
      </c>
      <c r="BA94" s="85">
        <f>(AV94+AX94+AY94+AZ94)/4</f>
        <v>0.91874999999999996</v>
      </c>
      <c r="BB94" s="13">
        <f>AO94/$H$93</f>
        <v>2.375</v>
      </c>
      <c r="BC94" s="118">
        <f>AU94/AO94</f>
        <v>5.2631578947368418E-2</v>
      </c>
      <c r="BD94" s="13">
        <f>AN94/AO94</f>
        <v>14.210526315789474</v>
      </c>
      <c r="BE94" s="13">
        <f>AS94/$H$93</f>
        <v>1</v>
      </c>
      <c r="BF94" s="13">
        <f>AQ94/$H$93</f>
        <v>1.125</v>
      </c>
      <c r="BP94" t="str">
        <f>_xlfn.CONCAT($C$93," &amp; ",C94," &amp; ",P94," &amp; ",Q94," &amp; ",R94," &amp; ",V94," &amp; ",W94," &amp; ",X94," &amp; ",AB94," &amp; ",AC94," &amp; ",AD94," &amp; ",AF94," &amp; ",AG94," &amp; ",AH94," &amp; ",AI94, " \\ \hline")</f>
        <v>3-7 &amp;  &amp; 0.96969696969697 &amp; 1 &amp; 0.984615384615385 &amp; 0.875 &amp; 1 &amp; 0.933333333333333 &amp; 0.848484848484849 &amp; 0.875 &amp; 0.861538461538461 &amp; 2 &amp; 2 &amp; 0.25 &amp; 1 \\ \hline</v>
      </c>
    </row>
    <row r="95" spans="1:68" ht="16">
      <c r="A95" t="s">
        <v>306</v>
      </c>
      <c r="C95" s="310"/>
      <c r="K95" s="47" t="s">
        <v>379</v>
      </c>
      <c r="L95" s="77" t="s">
        <v>472</v>
      </c>
      <c r="N95" s="81">
        <f>O95-0</f>
        <v>30</v>
      </c>
      <c r="O95" s="81">
        <f>$F$93-3</f>
        <v>30</v>
      </c>
      <c r="P95" s="129">
        <f>N95/$F$93</f>
        <v>0.90909090909090906</v>
      </c>
      <c r="Q95" s="129">
        <f>N95/O95</f>
        <v>1</v>
      </c>
      <c r="R95" s="127">
        <f>2*(P95*Q95)/(P95+Q95)</f>
        <v>0.95238095238095233</v>
      </c>
      <c r="T95" s="81">
        <v>6</v>
      </c>
      <c r="U95" s="81">
        <f>$G$93-2</f>
        <v>6</v>
      </c>
      <c r="V95" s="129">
        <f>T95/$G$93</f>
        <v>0.75</v>
      </c>
      <c r="W95" s="129">
        <f>T95/U95</f>
        <v>1</v>
      </c>
      <c r="X95" s="127">
        <f>2*(V95*W95)/(V95+W95)</f>
        <v>0.8571428571428571</v>
      </c>
      <c r="Z95" s="81">
        <f>AA95-2</f>
        <v>28</v>
      </c>
      <c r="AA95" s="81">
        <f>$I$93-3</f>
        <v>30</v>
      </c>
      <c r="AB95" s="129">
        <f>Z95/$I$93</f>
        <v>0.84848484848484851</v>
      </c>
      <c r="AC95" s="129">
        <f>Z95/AA95</f>
        <v>0.93333333333333335</v>
      </c>
      <c r="AD95" s="127">
        <f>2*(AB95*AC95)/(AB95+AC95)</f>
        <v>0.88888888888888895</v>
      </c>
      <c r="AF95">
        <v>5</v>
      </c>
      <c r="AG95">
        <v>5</v>
      </c>
      <c r="AH95" s="127">
        <f>AF95/$H$93</f>
        <v>0.625</v>
      </c>
      <c r="AI95" s="127">
        <f>AF95/AG95</f>
        <v>1</v>
      </c>
      <c r="AL95" s="122">
        <v>1</v>
      </c>
      <c r="AM95" s="101">
        <v>1</v>
      </c>
      <c r="AN95">
        <v>318</v>
      </c>
      <c r="AO95">
        <v>20</v>
      </c>
      <c r="AP95" s="101">
        <v>8</v>
      </c>
      <c r="AQ95" s="101">
        <v>8</v>
      </c>
      <c r="AR95">
        <v>12</v>
      </c>
      <c r="AS95">
        <v>12</v>
      </c>
      <c r="AT95">
        <v>0</v>
      </c>
      <c r="AU95" s="119">
        <v>6</v>
      </c>
      <c r="AV95" s="101">
        <f>($F$93-M95)/$F$93</f>
        <v>1</v>
      </c>
      <c r="AX95" s="101">
        <f>($G$93-AM95)/$G$93</f>
        <v>0.875</v>
      </c>
      <c r="AY95" s="101">
        <f>AQ95/AP95</f>
        <v>1</v>
      </c>
      <c r="AZ95" s="101">
        <f>AS95/AR95</f>
        <v>1</v>
      </c>
      <c r="BA95" s="85">
        <f>(AV95+AX95+AY95+AZ95)/4</f>
        <v>0.96875</v>
      </c>
      <c r="BB95" s="13">
        <f>AO95/$H$93</f>
        <v>2.5</v>
      </c>
      <c r="BC95" s="118">
        <f>AU95/AO95</f>
        <v>0.3</v>
      </c>
      <c r="BD95" s="13">
        <f>AN95/AO95</f>
        <v>15.9</v>
      </c>
      <c r="BE95" s="13">
        <f>AS95/$H$93</f>
        <v>1.5</v>
      </c>
      <c r="BF95" s="13">
        <f>AQ95/$H$93</f>
        <v>1</v>
      </c>
      <c r="BP95" t="str">
        <f t="shared" ref="BP95:BP98" si="13">_xlfn.CONCAT($C$93," &amp; ",C95," &amp; ",P95," &amp; ",Q95," &amp; ",R95," &amp; ",V95," &amp; ",W95," &amp; ",X95," &amp; ",AB95," &amp; ",AC95," &amp; ",AD95," &amp; ",AF95," &amp; ",AG95," &amp; ",AH95," &amp; ",AI95, " \\ \hline")</f>
        <v>3-7 &amp;  &amp; 0.909090909090909 &amp; 1 &amp; 0.952380952380952 &amp; 0.75 &amp; 1 &amp; 0.857142857142857 &amp; 0.848484848484849 &amp; 0.933333333333333 &amp; 0.888888888888889 &amp; 5 &amp; 5 &amp; 0.625 &amp; 1 \\ \hline</v>
      </c>
    </row>
    <row r="96" spans="1:68" ht="16">
      <c r="A96" t="s">
        <v>307</v>
      </c>
      <c r="C96" s="310"/>
      <c r="K96" s="47" t="s">
        <v>380</v>
      </c>
      <c r="L96" s="77" t="s">
        <v>473</v>
      </c>
      <c r="N96" s="81">
        <f>O96-0</f>
        <v>32</v>
      </c>
      <c r="O96" s="81">
        <f>$F$93-1</f>
        <v>32</v>
      </c>
      <c r="P96" s="129">
        <f>N96/$F$93</f>
        <v>0.96969696969696972</v>
      </c>
      <c r="Q96" s="129">
        <f>N96/O96</f>
        <v>1</v>
      </c>
      <c r="R96" s="127">
        <f>2*(P96*Q96)/(P96+Q96)</f>
        <v>0.98461538461538467</v>
      </c>
      <c r="T96" s="81">
        <f>U96-0</f>
        <v>7</v>
      </c>
      <c r="U96" s="81">
        <f>$G$93-1</f>
        <v>7</v>
      </c>
      <c r="V96" s="129">
        <f>T96/$G$93</f>
        <v>0.875</v>
      </c>
      <c r="W96" s="129">
        <f>T96/U96</f>
        <v>1</v>
      </c>
      <c r="X96" s="127">
        <f>2*(V96*W96)/(V96+W96)</f>
        <v>0.93333333333333335</v>
      </c>
      <c r="Z96" s="81">
        <f>AA96-4</f>
        <v>28</v>
      </c>
      <c r="AA96" s="81">
        <f>I93-1</f>
        <v>32</v>
      </c>
      <c r="AB96" s="129">
        <f>Z96/$I$93</f>
        <v>0.84848484848484851</v>
      </c>
      <c r="AC96" s="129">
        <f>Z96/AA96</f>
        <v>0.875</v>
      </c>
      <c r="AD96" s="127">
        <f>2*(AB96*AC96)/(AB96+AC96)</f>
        <v>0.86153846153846148</v>
      </c>
      <c r="AF96">
        <v>2</v>
      </c>
      <c r="AG96">
        <v>2</v>
      </c>
      <c r="AH96" s="127">
        <f>AF96/$H$93</f>
        <v>0.25</v>
      </c>
      <c r="AI96" s="127">
        <f>AF96/AG96</f>
        <v>1</v>
      </c>
      <c r="AL96" s="122">
        <v>1</v>
      </c>
      <c r="AM96" s="101">
        <v>1</v>
      </c>
      <c r="AN96">
        <v>344</v>
      </c>
      <c r="AO96">
        <v>23</v>
      </c>
      <c r="AP96" s="101">
        <v>8</v>
      </c>
      <c r="AQ96" s="101">
        <v>8</v>
      </c>
      <c r="AR96">
        <v>15</v>
      </c>
      <c r="AS96">
        <v>13</v>
      </c>
      <c r="AT96">
        <v>0</v>
      </c>
      <c r="AU96" s="119">
        <v>6</v>
      </c>
      <c r="AV96" s="101">
        <f>($F$93-M96)/$F$93</f>
        <v>1</v>
      </c>
      <c r="AX96" s="101">
        <f>($G$93-AM96)/$G$93</f>
        <v>0.875</v>
      </c>
      <c r="AY96" s="101">
        <f>AQ96/AP96</f>
        <v>1</v>
      </c>
      <c r="AZ96" s="101">
        <f>AS96/AR96</f>
        <v>0.8666666666666667</v>
      </c>
      <c r="BA96" s="85">
        <f>(AV96+AX96+AY96+AZ96)/4</f>
        <v>0.93541666666666667</v>
      </c>
      <c r="BB96" s="13">
        <f>AO96/$H$93</f>
        <v>2.875</v>
      </c>
      <c r="BC96" s="118">
        <f>AU96/AO96</f>
        <v>0.2608695652173913</v>
      </c>
      <c r="BD96" s="13">
        <f>AN96/AO96</f>
        <v>14.956521739130435</v>
      </c>
      <c r="BE96" s="13">
        <f>AS96/$H$93</f>
        <v>1.625</v>
      </c>
      <c r="BF96" s="13">
        <f>AQ96/$H$93</f>
        <v>1</v>
      </c>
      <c r="BP96" t="str">
        <f t="shared" si="13"/>
        <v>3-7 &amp;  &amp; 0.96969696969697 &amp; 1 &amp; 0.984615384615385 &amp; 0.875 &amp; 1 &amp; 0.933333333333333 &amp; 0.848484848484849 &amp; 0.875 &amp; 0.861538461538461 &amp; 2 &amp; 2 &amp; 0.25 &amp; 1 \\ \hline</v>
      </c>
    </row>
    <row r="97" spans="1:68" ht="16">
      <c r="A97" t="s">
        <v>308</v>
      </c>
      <c r="C97" s="310"/>
      <c r="K97" s="47" t="s">
        <v>381</v>
      </c>
      <c r="L97" s="77" t="s">
        <v>474</v>
      </c>
      <c r="N97" s="81">
        <f>O97-0</f>
        <v>32</v>
      </c>
      <c r="O97" s="81">
        <f>$F$93-1</f>
        <v>32</v>
      </c>
      <c r="P97" s="129">
        <f>N97/$F$93</f>
        <v>0.96969696969696972</v>
      </c>
      <c r="Q97" s="129">
        <f>N97/O97</f>
        <v>1</v>
      </c>
      <c r="R97" s="127">
        <f>2*(P97*Q97)/(P97+Q97)</f>
        <v>0.98461538461538467</v>
      </c>
      <c r="T97" s="81">
        <v>7</v>
      </c>
      <c r="U97" s="81">
        <f>$G$93-1</f>
        <v>7</v>
      </c>
      <c r="V97" s="129">
        <f>T97/$G$93</f>
        <v>0.875</v>
      </c>
      <c r="W97" s="129">
        <f>T97/U97</f>
        <v>1</v>
      </c>
      <c r="X97" s="127">
        <f>2*(V97*W97)/(V97+W97)</f>
        <v>0.93333333333333335</v>
      </c>
      <c r="Z97" s="81">
        <f>AA97-0</f>
        <v>32</v>
      </c>
      <c r="AA97" s="81">
        <f>I93-1</f>
        <v>32</v>
      </c>
      <c r="AB97" s="129">
        <f>Z97/$I$93</f>
        <v>0.96969696969696972</v>
      </c>
      <c r="AC97" s="129">
        <f>Z97/AA97</f>
        <v>1</v>
      </c>
      <c r="AD97" s="127">
        <f>2*(AB97*AC97)/(AB97+AC97)</f>
        <v>0.98461538461538467</v>
      </c>
      <c r="AF97">
        <v>8</v>
      </c>
      <c r="AG97">
        <v>8</v>
      </c>
      <c r="AH97" s="127">
        <f>AF97/$H$93</f>
        <v>1</v>
      </c>
      <c r="AI97" s="127">
        <f>AF97/AG97</f>
        <v>1</v>
      </c>
      <c r="AL97" s="122">
        <v>1</v>
      </c>
      <c r="AM97" s="101">
        <v>1</v>
      </c>
      <c r="AN97">
        <v>384</v>
      </c>
      <c r="AO97">
        <v>28</v>
      </c>
      <c r="AP97" s="101">
        <v>8</v>
      </c>
      <c r="AQ97" s="101">
        <v>8</v>
      </c>
      <c r="AR97">
        <v>20</v>
      </c>
      <c r="AS97">
        <v>20</v>
      </c>
      <c r="AT97">
        <v>0</v>
      </c>
      <c r="AU97" s="119">
        <v>4</v>
      </c>
      <c r="AV97" s="101">
        <f>($F$93-M97)/$F$93</f>
        <v>1</v>
      </c>
      <c r="AX97" s="101">
        <f>($G$93-AM97)/$G$93</f>
        <v>0.875</v>
      </c>
      <c r="AY97" s="101">
        <f>AQ97/AP97</f>
        <v>1</v>
      </c>
      <c r="AZ97" s="101">
        <f>AS97/AR97</f>
        <v>1</v>
      </c>
      <c r="BA97" s="85">
        <f>(AV97+AX97+AY97+AZ97)/4</f>
        <v>0.96875</v>
      </c>
      <c r="BB97" s="13">
        <f>AO97/$H$93</f>
        <v>3.5</v>
      </c>
      <c r="BC97" s="118">
        <f>AU97/AO97</f>
        <v>0.14285714285714285</v>
      </c>
      <c r="BD97" s="13">
        <f>AN97/AO97</f>
        <v>13.714285714285714</v>
      </c>
      <c r="BE97" s="13">
        <f>AS97/$H$93</f>
        <v>2.5</v>
      </c>
      <c r="BF97" s="13">
        <f>AQ97/$H$93</f>
        <v>1</v>
      </c>
      <c r="BP97" t="str">
        <f t="shared" si="13"/>
        <v>3-7 &amp;  &amp; 0.96969696969697 &amp; 1 &amp; 0.984615384615385 &amp; 0.875 &amp; 1 &amp; 0.933333333333333 &amp; 0.96969696969697 &amp; 1 &amp; 0.984615384615385 &amp; 8 &amp; 8 &amp; 1 &amp; 1 \\ \hline</v>
      </c>
    </row>
    <row r="98" spans="1:68" ht="16">
      <c r="A98" t="s">
        <v>309</v>
      </c>
      <c r="C98" s="310"/>
      <c r="K98" s="47" t="s">
        <v>382</v>
      </c>
      <c r="L98" s="77" t="s">
        <v>475</v>
      </c>
      <c r="N98" s="81">
        <f>O98-0</f>
        <v>32</v>
      </c>
      <c r="O98" s="81">
        <f>$F$93-1</f>
        <v>32</v>
      </c>
      <c r="P98" s="129">
        <f>N98/$F$93</f>
        <v>0.96969696969696972</v>
      </c>
      <c r="Q98" s="129">
        <f>N98/O98</f>
        <v>1</v>
      </c>
      <c r="R98" s="127">
        <f>2*(P98*Q98)/(P98+Q98)</f>
        <v>0.98461538461538467</v>
      </c>
      <c r="T98" s="81">
        <f>U98-0</f>
        <v>7</v>
      </c>
      <c r="U98" s="81">
        <f>$G$93-1</f>
        <v>7</v>
      </c>
      <c r="V98" s="129">
        <f>T98/$G$93</f>
        <v>0.875</v>
      </c>
      <c r="W98" s="129">
        <f>T98/U98</f>
        <v>1</v>
      </c>
      <c r="X98" s="127">
        <f>2*(V98*W98)/(V98+W98)</f>
        <v>0.93333333333333335</v>
      </c>
      <c r="Z98" s="81">
        <f>AA98-4</f>
        <v>28</v>
      </c>
      <c r="AA98" s="81">
        <f>I93-1</f>
        <v>32</v>
      </c>
      <c r="AB98" s="129">
        <f>Z98/$I$93</f>
        <v>0.84848484848484851</v>
      </c>
      <c r="AC98" s="129">
        <f>Z98/AA98</f>
        <v>0.875</v>
      </c>
      <c r="AD98" s="127">
        <f>2*(AB98*AC98)/(AB98+AC98)</f>
        <v>0.86153846153846148</v>
      </c>
      <c r="AF98">
        <v>7</v>
      </c>
      <c r="AG98">
        <v>7</v>
      </c>
      <c r="AH98" s="127">
        <f>AF98/$H$93</f>
        <v>0.875</v>
      </c>
      <c r="AI98" s="127">
        <f>AF98/AG98</f>
        <v>1</v>
      </c>
      <c r="AL98" s="122">
        <v>1</v>
      </c>
      <c r="AM98" s="101">
        <v>1</v>
      </c>
      <c r="AN98">
        <v>362</v>
      </c>
      <c r="AO98">
        <v>23</v>
      </c>
      <c r="AP98" s="101">
        <v>8</v>
      </c>
      <c r="AQ98" s="101">
        <v>8</v>
      </c>
      <c r="AR98">
        <v>15</v>
      </c>
      <c r="AS98">
        <v>13</v>
      </c>
      <c r="AT98">
        <v>0</v>
      </c>
      <c r="AU98" s="119">
        <v>8</v>
      </c>
      <c r="AV98" s="101">
        <f>($F$93-M98)/$F$93</f>
        <v>1</v>
      </c>
      <c r="AX98" s="101">
        <f>($G$93-AM98)/$G$93</f>
        <v>0.875</v>
      </c>
      <c r="AY98" s="101">
        <f>AQ98/AP98</f>
        <v>1</v>
      </c>
      <c r="AZ98" s="101">
        <f>AS98/AR98</f>
        <v>0.8666666666666667</v>
      </c>
      <c r="BA98" s="85">
        <f>(AV98+AX98+AY98+AZ98)/4</f>
        <v>0.93541666666666667</v>
      </c>
      <c r="BB98" s="13">
        <f>AO98/$H$93</f>
        <v>2.875</v>
      </c>
      <c r="BC98" s="118">
        <f>AU98/AO98</f>
        <v>0.34782608695652173</v>
      </c>
      <c r="BD98" s="13">
        <f>AN98/AO98</f>
        <v>15.739130434782609</v>
      </c>
      <c r="BE98" s="13">
        <f>AS98/$H$93</f>
        <v>1.625</v>
      </c>
      <c r="BF98" s="13">
        <f>AQ98/$H$93</f>
        <v>1</v>
      </c>
      <c r="BP98" t="str">
        <f t="shared" si="13"/>
        <v>3-7 &amp;  &amp; 0.96969696969697 &amp; 1 &amp; 0.984615384615385 &amp; 0.875 &amp; 1 &amp; 0.933333333333333 &amp; 0.848484848484849 &amp; 0.875 &amp; 0.861538461538461 &amp; 7 &amp; 7 &amp; 0.875 &amp; 1 \\ \hline</v>
      </c>
    </row>
    <row r="99" spans="1:68">
      <c r="P99" s="129"/>
      <c r="Q99" s="129"/>
      <c r="R99" s="127"/>
      <c r="V99" s="129"/>
      <c r="W99" s="129"/>
      <c r="X99" s="127"/>
      <c r="AB99" s="129"/>
      <c r="AC99" s="129"/>
      <c r="AD99" s="127"/>
      <c r="AF99"/>
      <c r="AG99"/>
      <c r="AH99" s="127"/>
      <c r="AI99" s="131"/>
    </row>
    <row r="100" spans="1:68" s="75" customFormat="1">
      <c r="A100" s="73" t="s">
        <v>327</v>
      </c>
      <c r="B100" s="94">
        <v>45179</v>
      </c>
      <c r="C100" s="93" t="s">
        <v>149</v>
      </c>
      <c r="D100" s="78">
        <f>VLOOKUP($C$100,Overview!$Q$2:$AS$64,23,FALSE)</f>
        <v>0.58694356495428268</v>
      </c>
      <c r="E100" s="78" t="str">
        <f>VLOOKUP($C$100,Overview!$Q$2:$AS$64,24,FALSE)</f>
        <v>low</v>
      </c>
      <c r="F100" s="75">
        <f>VLOOKUP(C100,Overview!$Q$2:$AS$64,13,FALSE)</f>
        <v>33</v>
      </c>
      <c r="G100" s="75">
        <f>VLOOKUP(C100,Overview!$Q$2:$AS$64,16,FALSE)</f>
        <v>8</v>
      </c>
      <c r="H100" s="75">
        <f>VLOOKUP(C100,Overview!$Q$2:$AS$64,18,FALSE)</f>
        <v>12</v>
      </c>
      <c r="I100" s="75">
        <f>VLOOKUP($C$100,Overview!$Q$2:$AS$64,19,FALSE)</f>
        <v>28</v>
      </c>
      <c r="K100" s="96"/>
      <c r="M100" s="115"/>
      <c r="N100" s="97"/>
      <c r="O100" s="97"/>
      <c r="P100" s="130"/>
      <c r="Q100" s="130"/>
      <c r="R100" s="128"/>
      <c r="S100" s="115"/>
      <c r="T100" s="97"/>
      <c r="U100" s="97"/>
      <c r="V100" s="130"/>
      <c r="W100" s="130"/>
      <c r="X100" s="128"/>
      <c r="Y100" s="115"/>
      <c r="Z100" s="97"/>
      <c r="AA100" s="97"/>
      <c r="AB100" s="130"/>
      <c r="AC100" s="130"/>
      <c r="AD100" s="128"/>
      <c r="AE100" s="115"/>
      <c r="AH100" s="128"/>
      <c r="AI100" s="132"/>
      <c r="AJ100" s="97"/>
      <c r="AK100" s="115"/>
      <c r="AL100" s="122"/>
      <c r="AM100" s="101"/>
      <c r="AP100" s="101"/>
      <c r="AQ100" s="101"/>
      <c r="AU100" s="119"/>
      <c r="AV100" s="101"/>
      <c r="AW100" s="101"/>
      <c r="AX100" s="101"/>
      <c r="AY100" s="101"/>
      <c r="AZ100" s="101"/>
      <c r="BA100" s="83"/>
      <c r="BC100" s="101"/>
      <c r="BP100"/>
    </row>
    <row r="101" spans="1:68" ht="16">
      <c r="A101" t="s">
        <v>305</v>
      </c>
      <c r="C101" s="310"/>
      <c r="K101" s="47" t="s">
        <v>378</v>
      </c>
      <c r="L101" s="77" t="s">
        <v>476</v>
      </c>
      <c r="N101" s="81">
        <f>O101-4</f>
        <v>24</v>
      </c>
      <c r="O101" s="81">
        <f>$F$100-5</f>
        <v>28</v>
      </c>
      <c r="P101" s="129">
        <f>N101/$F$100</f>
        <v>0.72727272727272729</v>
      </c>
      <c r="Q101" s="129">
        <f>N101/O101</f>
        <v>0.8571428571428571</v>
      </c>
      <c r="R101" s="127">
        <f>2*(P101*Q101)/(P101+Q101)</f>
        <v>0.78688524590163944</v>
      </c>
      <c r="T101" s="81">
        <f>U101-2</f>
        <v>5</v>
      </c>
      <c r="U101" s="81">
        <f>$G$100-1</f>
        <v>7</v>
      </c>
      <c r="V101" s="129">
        <f>T101/$G$100</f>
        <v>0.625</v>
      </c>
      <c r="W101" s="129">
        <f>T101/U101</f>
        <v>0.7142857142857143</v>
      </c>
      <c r="X101" s="127">
        <f>2*(V101*W101)/(V101+W101)</f>
        <v>0.66666666666666663</v>
      </c>
      <c r="Z101" s="81">
        <f>AA101-7</f>
        <v>16</v>
      </c>
      <c r="AA101" s="81">
        <f>$I$100-5</f>
        <v>23</v>
      </c>
      <c r="AB101" s="129">
        <f>Z101/$I$100</f>
        <v>0.5714285714285714</v>
      </c>
      <c r="AC101" s="129">
        <f>Z101/AA101</f>
        <v>0.69565217391304346</v>
      </c>
      <c r="AD101" s="127">
        <f>2*(AB101*AC101)/(AB101+AC101)</f>
        <v>0.62745098039215685</v>
      </c>
      <c r="AF101">
        <v>1</v>
      </c>
      <c r="AG101">
        <v>1</v>
      </c>
      <c r="AH101" s="127">
        <f>AF101/$H$100</f>
        <v>8.3333333333333329E-2</v>
      </c>
      <c r="AI101" s="127">
        <f>AF101/AG101</f>
        <v>1</v>
      </c>
      <c r="AL101" s="122">
        <v>1</v>
      </c>
      <c r="AM101" s="101">
        <v>1</v>
      </c>
      <c r="AN101">
        <v>165</v>
      </c>
      <c r="AO101">
        <v>11</v>
      </c>
      <c r="AP101" s="101">
        <v>8</v>
      </c>
      <c r="AQ101" s="101">
        <v>6</v>
      </c>
      <c r="AR101">
        <v>1</v>
      </c>
      <c r="AS101">
        <v>1</v>
      </c>
      <c r="AT101">
        <v>2</v>
      </c>
      <c r="AU101" s="119">
        <v>3</v>
      </c>
      <c r="AV101" s="101">
        <f>($F$100-M101)/$F$100</f>
        <v>1</v>
      </c>
      <c r="AX101" s="101">
        <f>($G$100-AM101)/$G$100</f>
        <v>0.875</v>
      </c>
      <c r="AY101" s="101">
        <f>AQ101/AP101</f>
        <v>0.75</v>
      </c>
      <c r="AZ101" s="101">
        <f>AS101/AR101</f>
        <v>1</v>
      </c>
      <c r="BA101" s="85">
        <f>(AV101+AX101+AY101+AZ101)/4</f>
        <v>0.90625</v>
      </c>
      <c r="BB101" s="13">
        <f>AO101/$H$100</f>
        <v>0.91666666666666663</v>
      </c>
      <c r="BC101" s="118">
        <f>AU101/AO101</f>
        <v>0.27272727272727271</v>
      </c>
      <c r="BD101" s="13">
        <f>AN101/AO101</f>
        <v>15</v>
      </c>
      <c r="BE101" s="13">
        <f>AS101/$H$100</f>
        <v>8.3333333333333329E-2</v>
      </c>
      <c r="BF101" s="13">
        <f>AQ101/$H$100</f>
        <v>0.5</v>
      </c>
      <c r="BP101" t="str">
        <f>_xlfn.CONCAT($C$100," &amp; ",C101," &amp; ",P101," &amp; ",Q101," &amp; ",R101," &amp; ",V101," &amp; ",W101," &amp; ",X101," &amp; ",AB101," &amp; ",AC101," &amp; ",AD101," &amp; ",AF101," &amp; ",AG101," &amp; ",AH101," &amp; ",AI101, " \\ \hline")</f>
        <v>3-8 &amp;  &amp; 0.727272727272727 &amp; 0.857142857142857 &amp; 0.786885245901639 &amp; 0.625 &amp; 0.714285714285714 &amp; 0.666666666666667 &amp; 0.571428571428571 &amp; 0.695652173913043 &amp; 0.627450980392157 &amp; 1 &amp; 1 &amp; 0.0833333333333333 &amp; 1 \\ \hline</v>
      </c>
    </row>
    <row r="102" spans="1:68" ht="16">
      <c r="A102" t="s">
        <v>306</v>
      </c>
      <c r="C102" s="310"/>
      <c r="K102" s="47" t="s">
        <v>379</v>
      </c>
      <c r="L102" s="77" t="s">
        <v>477</v>
      </c>
      <c r="N102" s="81">
        <f>O102-4</f>
        <v>24</v>
      </c>
      <c r="O102" s="81">
        <f>$F$100-5</f>
        <v>28</v>
      </c>
      <c r="P102" s="129">
        <f>N102/$F$100</f>
        <v>0.72727272727272729</v>
      </c>
      <c r="Q102" s="129">
        <f>N102/O102</f>
        <v>0.8571428571428571</v>
      </c>
      <c r="R102" s="127">
        <f>2*(P102*Q102)/(P102+Q102)</f>
        <v>0.78688524590163944</v>
      </c>
      <c r="T102" s="81">
        <f>U102-0</f>
        <v>7</v>
      </c>
      <c r="U102" s="81">
        <f>$G$100-1</f>
        <v>7</v>
      </c>
      <c r="V102" s="129">
        <f>T102/$G$100</f>
        <v>0.875</v>
      </c>
      <c r="W102" s="129">
        <f>T102/U102</f>
        <v>1</v>
      </c>
      <c r="X102" s="127">
        <f>2*(V102*W102)/(V102+W102)</f>
        <v>0.93333333333333335</v>
      </c>
      <c r="Z102" s="81">
        <f>AA102-9</f>
        <v>14</v>
      </c>
      <c r="AA102" s="81">
        <f>$I$100-5</f>
        <v>23</v>
      </c>
      <c r="AB102" s="129">
        <f>Z102/$I$100</f>
        <v>0.5</v>
      </c>
      <c r="AC102" s="129">
        <f>Z102/AA102</f>
        <v>0.60869565217391308</v>
      </c>
      <c r="AD102" s="127">
        <f>2*(AB102*AC102)/(AB102+AC102)</f>
        <v>0.5490196078431373</v>
      </c>
      <c r="AF102">
        <v>4</v>
      </c>
      <c r="AG102">
        <v>4</v>
      </c>
      <c r="AH102" s="127">
        <f>AF102/$H$100</f>
        <v>0.33333333333333331</v>
      </c>
      <c r="AI102" s="127">
        <f>AF102/AG102</f>
        <v>1</v>
      </c>
      <c r="AL102" s="122">
        <v>1</v>
      </c>
      <c r="AM102" s="101">
        <v>1</v>
      </c>
      <c r="AN102">
        <v>266</v>
      </c>
      <c r="AO102" s="107">
        <v>15</v>
      </c>
      <c r="AP102" s="101">
        <v>11</v>
      </c>
      <c r="AQ102" s="101">
        <v>8</v>
      </c>
      <c r="AR102">
        <v>4</v>
      </c>
      <c r="AS102">
        <v>4</v>
      </c>
      <c r="AT102">
        <v>0</v>
      </c>
      <c r="AU102" s="119">
        <v>7</v>
      </c>
      <c r="AV102" s="101">
        <f>($F$100-M102)/$F$100</f>
        <v>1</v>
      </c>
      <c r="AX102" s="101">
        <f>($G$100-AM102)/$G$100</f>
        <v>0.875</v>
      </c>
      <c r="AY102" s="101">
        <f>AQ102/AP102</f>
        <v>0.72727272727272729</v>
      </c>
      <c r="AZ102" s="101">
        <f>AS102/AR102</f>
        <v>1</v>
      </c>
      <c r="BA102" s="85">
        <f>(AV102+AX102+AY102+AZ102)/4</f>
        <v>0.90056818181818188</v>
      </c>
      <c r="BB102" s="13">
        <f>AO102/$H$100</f>
        <v>1.25</v>
      </c>
      <c r="BC102" s="118">
        <f>AU102/AO102</f>
        <v>0.46666666666666667</v>
      </c>
      <c r="BD102" s="13">
        <f>AN102/AO102</f>
        <v>17.733333333333334</v>
      </c>
      <c r="BE102" s="13">
        <f>AS102/$H$100</f>
        <v>0.33333333333333331</v>
      </c>
      <c r="BF102" s="13">
        <f>AQ102/$H$100</f>
        <v>0.66666666666666663</v>
      </c>
      <c r="BP102" t="str">
        <f t="shared" ref="BP102:BP105" si="14">_xlfn.CONCAT($C$100," &amp; ",C102," &amp; ",P102," &amp; ",Q102," &amp; ",R102," &amp; ",V102," &amp; ",W102," &amp; ",X102," &amp; ",AB102," &amp; ",AC102," &amp; ",AD102," &amp; ",AF102," &amp; ",AG102," &amp; ",AH102," &amp; ",AI102, " \\ \hline")</f>
        <v>3-8 &amp;  &amp; 0.727272727272727 &amp; 0.857142857142857 &amp; 0.786885245901639 &amp; 0.875 &amp; 1 &amp; 0.933333333333333 &amp; 0.5 &amp; 0.608695652173913 &amp; 0.549019607843137 &amp; 4 &amp; 4 &amp; 0.333333333333333 &amp; 1 \\ \hline</v>
      </c>
    </row>
    <row r="103" spans="1:68" ht="16">
      <c r="A103" t="s">
        <v>307</v>
      </c>
      <c r="C103" s="310"/>
      <c r="K103" s="47" t="s">
        <v>380</v>
      </c>
      <c r="L103" s="77" t="s">
        <v>478</v>
      </c>
      <c r="N103" s="81">
        <f>O103-5</f>
        <v>24</v>
      </c>
      <c r="O103" s="81">
        <f>$F$100-4</f>
        <v>29</v>
      </c>
      <c r="P103" s="129">
        <f>N103/$F$100</f>
        <v>0.72727272727272729</v>
      </c>
      <c r="Q103" s="129">
        <f>N103/O103</f>
        <v>0.82758620689655171</v>
      </c>
      <c r="R103" s="127">
        <f>2*(P103*Q103)/(P103+Q103)</f>
        <v>0.77419354838709675</v>
      </c>
      <c r="T103" s="81">
        <f>U103-2</f>
        <v>5</v>
      </c>
      <c r="U103" s="81">
        <f>$G$100-1</f>
        <v>7</v>
      </c>
      <c r="V103" s="129">
        <f>T103/$G$100</f>
        <v>0.625</v>
      </c>
      <c r="W103" s="129">
        <f>T103/U103</f>
        <v>0.7142857142857143</v>
      </c>
      <c r="X103" s="127">
        <f>2*(V103*W103)/(V103+W103)</f>
        <v>0.66666666666666663</v>
      </c>
      <c r="Z103" s="81">
        <f>AA103-9</f>
        <v>15</v>
      </c>
      <c r="AA103" s="81">
        <f>$I$100-4</f>
        <v>24</v>
      </c>
      <c r="AB103" s="129">
        <f>Z103/$I$100</f>
        <v>0.5357142857142857</v>
      </c>
      <c r="AC103" s="129">
        <f>Z103/AA103</f>
        <v>0.625</v>
      </c>
      <c r="AD103" s="127">
        <f>2*(AB103*AC103)/(AB103+AC103)</f>
        <v>0.57692307692307698</v>
      </c>
      <c r="AF103">
        <f>AG103-0</f>
        <v>2</v>
      </c>
      <c r="AG103">
        <v>2</v>
      </c>
      <c r="AH103" s="127">
        <f>AF103/$H$100</f>
        <v>0.16666666666666666</v>
      </c>
      <c r="AI103" s="127">
        <f>AF103/AG103</f>
        <v>1</v>
      </c>
      <c r="AL103" s="122">
        <v>1</v>
      </c>
      <c r="AM103" s="101">
        <v>1</v>
      </c>
      <c r="AN103">
        <v>254</v>
      </c>
      <c r="AO103">
        <v>19</v>
      </c>
      <c r="AP103" s="101">
        <v>15</v>
      </c>
      <c r="AQ103" s="101">
        <v>12</v>
      </c>
      <c r="AR103">
        <v>2</v>
      </c>
      <c r="AS103">
        <v>2</v>
      </c>
      <c r="AT103">
        <v>2</v>
      </c>
      <c r="AU103" s="119">
        <v>8</v>
      </c>
      <c r="AV103" s="101">
        <f>($F$100-M103)/$F$100</f>
        <v>1</v>
      </c>
      <c r="AX103" s="101">
        <f>($G$100-AM103)/$G$100</f>
        <v>0.875</v>
      </c>
      <c r="AY103" s="101">
        <f>AQ103/AP103</f>
        <v>0.8</v>
      </c>
      <c r="AZ103" s="101">
        <f>AS103/AR103</f>
        <v>1</v>
      </c>
      <c r="BA103" s="85">
        <f>(AV103+AX103+AY103+AZ103)/4</f>
        <v>0.91874999999999996</v>
      </c>
      <c r="BB103" s="13">
        <f>AO103/$H$100</f>
        <v>1.5833333333333333</v>
      </c>
      <c r="BC103" s="118">
        <f>AU103/AO103</f>
        <v>0.42105263157894735</v>
      </c>
      <c r="BD103" s="13">
        <f>AN103/AO103</f>
        <v>13.368421052631579</v>
      </c>
      <c r="BE103" s="13">
        <f>AS103/$H$100</f>
        <v>0.16666666666666666</v>
      </c>
      <c r="BF103" s="13">
        <f>AQ103/$H$100</f>
        <v>1</v>
      </c>
      <c r="BP103" t="str">
        <f t="shared" si="14"/>
        <v>3-8 &amp;  &amp; 0.727272727272727 &amp; 0.827586206896552 &amp; 0.774193548387097 &amp; 0.625 &amp; 0.714285714285714 &amp; 0.666666666666667 &amp; 0.535714285714286 &amp; 0.625 &amp; 0.576923076923077 &amp; 2 &amp; 2 &amp; 0.166666666666667 &amp; 1 \\ \hline</v>
      </c>
    </row>
    <row r="104" spans="1:68" ht="16">
      <c r="A104" t="s">
        <v>308</v>
      </c>
      <c r="C104" s="310"/>
      <c r="K104" s="47" t="s">
        <v>381</v>
      </c>
      <c r="L104" s="77" t="s">
        <v>479</v>
      </c>
      <c r="N104" s="81">
        <f>O104-5</f>
        <v>26</v>
      </c>
      <c r="O104" s="81">
        <f>$F$100-2</f>
        <v>31</v>
      </c>
      <c r="P104" s="129">
        <f>N104/$F$100</f>
        <v>0.78787878787878785</v>
      </c>
      <c r="Q104" s="129">
        <f>N104/O104</f>
        <v>0.83870967741935487</v>
      </c>
      <c r="R104" s="127">
        <f>2*(P104*Q104)/(P104+Q104)</f>
        <v>0.8125</v>
      </c>
      <c r="T104" s="81">
        <f>U104-1</f>
        <v>6</v>
      </c>
      <c r="U104" s="81">
        <f>$G$100-1</f>
        <v>7</v>
      </c>
      <c r="V104" s="129">
        <f>T104/$G$100</f>
        <v>0.75</v>
      </c>
      <c r="W104" s="129">
        <f>T104/U104</f>
        <v>0.8571428571428571</v>
      </c>
      <c r="X104" s="127">
        <f>2*(V104*W104)/(V104+W104)</f>
        <v>0.79999999999999993</v>
      </c>
      <c r="Z104" s="81">
        <f>AA104-4</f>
        <v>22</v>
      </c>
      <c r="AA104" s="81">
        <f>$I$100-2</f>
        <v>26</v>
      </c>
      <c r="AB104" s="129">
        <f>Z104/$I$100</f>
        <v>0.7857142857142857</v>
      </c>
      <c r="AC104" s="129">
        <f>Z104/AA104</f>
        <v>0.84615384615384615</v>
      </c>
      <c r="AD104" s="127">
        <f>2*(AB104*AC104)/(AB104+AC104)</f>
        <v>0.81481481481481477</v>
      </c>
      <c r="AF104">
        <v>2</v>
      </c>
      <c r="AG104">
        <v>2</v>
      </c>
      <c r="AH104" s="127">
        <f>AF104/$H$100</f>
        <v>0.16666666666666666</v>
      </c>
      <c r="AI104" s="127">
        <f>AF104/AG104</f>
        <v>1</v>
      </c>
      <c r="AL104" s="122">
        <v>0</v>
      </c>
      <c r="AM104" s="101">
        <v>0</v>
      </c>
      <c r="AN104">
        <v>217</v>
      </c>
      <c r="AO104">
        <v>16</v>
      </c>
      <c r="AP104" s="101">
        <v>14</v>
      </c>
      <c r="AQ104" s="101">
        <v>14</v>
      </c>
      <c r="AR104">
        <v>2</v>
      </c>
      <c r="AS104">
        <v>2</v>
      </c>
      <c r="AT104">
        <v>0</v>
      </c>
      <c r="AU104" s="119">
        <v>8</v>
      </c>
      <c r="AV104" s="101">
        <f>($F$100-M104)/$F$100</f>
        <v>1</v>
      </c>
      <c r="AX104" s="101">
        <f>($G$100-AM104)/$G$100</f>
        <v>1</v>
      </c>
      <c r="AY104" s="101">
        <f>AQ104/AP104</f>
        <v>1</v>
      </c>
      <c r="AZ104" s="101">
        <f>AS104/AR104</f>
        <v>1</v>
      </c>
      <c r="BA104" s="85">
        <f>(AV104+AX104+AY104+AZ104)/4</f>
        <v>1</v>
      </c>
      <c r="BB104" s="13">
        <f>AO104/$H$100</f>
        <v>1.3333333333333333</v>
      </c>
      <c r="BC104" s="118">
        <f>AU104/AO104</f>
        <v>0.5</v>
      </c>
      <c r="BD104" s="13">
        <f>AN104/AO104</f>
        <v>13.5625</v>
      </c>
      <c r="BE104" s="13">
        <f>AS104/$H$100</f>
        <v>0.16666666666666666</v>
      </c>
      <c r="BF104" s="13">
        <f>AQ104/$H$100</f>
        <v>1.1666666666666667</v>
      </c>
      <c r="BP104" t="str">
        <f t="shared" si="14"/>
        <v>3-8 &amp;  &amp; 0.787878787878788 &amp; 0.838709677419355 &amp; 0.8125 &amp; 0.75 &amp; 0.857142857142857 &amp; 0.8 &amp; 0.785714285714286 &amp; 0.846153846153846 &amp; 0.814814814814815 &amp; 2 &amp; 2 &amp; 0.166666666666667 &amp; 1 \\ \hline</v>
      </c>
    </row>
    <row r="105" spans="1:68" ht="16">
      <c r="A105" t="s">
        <v>309</v>
      </c>
      <c r="C105" s="310"/>
      <c r="K105" s="47" t="s">
        <v>382</v>
      </c>
      <c r="L105" s="77" t="s">
        <v>480</v>
      </c>
      <c r="N105" s="81">
        <f>O105-4</f>
        <v>24</v>
      </c>
      <c r="O105" s="81">
        <f>$F$100-5</f>
        <v>28</v>
      </c>
      <c r="P105" s="129">
        <f>N105/$F$100</f>
        <v>0.72727272727272729</v>
      </c>
      <c r="Q105" s="129">
        <f>N105/O105</f>
        <v>0.8571428571428571</v>
      </c>
      <c r="R105" s="127">
        <f>2*(P105*Q105)/(P105+Q105)</f>
        <v>0.78688524590163944</v>
      </c>
      <c r="T105" s="81">
        <f>U105-2</f>
        <v>5</v>
      </c>
      <c r="U105" s="81">
        <f>$G$100-1</f>
        <v>7</v>
      </c>
      <c r="V105" s="129">
        <f>T105/$G$100</f>
        <v>0.625</v>
      </c>
      <c r="W105" s="129">
        <f>T105/U105</f>
        <v>0.7142857142857143</v>
      </c>
      <c r="X105" s="127">
        <f>2*(V105*W105)/(V105+W105)</f>
        <v>0.66666666666666663</v>
      </c>
      <c r="Z105" s="81">
        <f>AA105-5</f>
        <v>18</v>
      </c>
      <c r="AA105" s="81">
        <f>$I$100-5</f>
        <v>23</v>
      </c>
      <c r="AB105" s="129">
        <f>Z105/$I$100</f>
        <v>0.6428571428571429</v>
      </c>
      <c r="AC105" s="129">
        <f>Z105/AA105</f>
        <v>0.78260869565217395</v>
      </c>
      <c r="AD105" s="127">
        <f>2*(AB105*AC105)/(AB105+AC105)</f>
        <v>0.70588235294117652</v>
      </c>
      <c r="AF105">
        <v>2</v>
      </c>
      <c r="AG105">
        <v>4</v>
      </c>
      <c r="AH105" s="127">
        <f>AF105/$H$100</f>
        <v>0.16666666666666666</v>
      </c>
      <c r="AI105" s="127">
        <f>AF105/AG105</f>
        <v>0.5</v>
      </c>
      <c r="AL105" s="122">
        <v>0</v>
      </c>
      <c r="AM105" s="101">
        <v>0</v>
      </c>
      <c r="AN105">
        <v>280</v>
      </c>
      <c r="AO105">
        <v>19</v>
      </c>
      <c r="AP105" s="101">
        <v>13</v>
      </c>
      <c r="AQ105" s="101">
        <v>11</v>
      </c>
      <c r="AR105">
        <v>4</v>
      </c>
      <c r="AS105">
        <v>2</v>
      </c>
      <c r="AT105">
        <v>2</v>
      </c>
      <c r="AU105" s="119">
        <v>12</v>
      </c>
      <c r="AV105" s="101">
        <f>($F$100-M105)/$F$100</f>
        <v>1</v>
      </c>
      <c r="AX105" s="101">
        <f>($G$100-AM105)/$G$100</f>
        <v>1</v>
      </c>
      <c r="AY105" s="101">
        <f>AQ105/AP105</f>
        <v>0.84615384615384615</v>
      </c>
      <c r="AZ105" s="101">
        <f>AS105/AR105</f>
        <v>0.5</v>
      </c>
      <c r="BA105" s="85">
        <f>(AV105+AX105+AY105+AZ105)/4</f>
        <v>0.83653846153846156</v>
      </c>
      <c r="BB105" s="13">
        <f>AO105/$H$100</f>
        <v>1.5833333333333333</v>
      </c>
      <c r="BC105" s="118">
        <f>AU105/AO105</f>
        <v>0.63157894736842102</v>
      </c>
      <c r="BD105" s="13">
        <f>AN105/AO105</f>
        <v>14.736842105263158</v>
      </c>
      <c r="BE105" s="13">
        <f>AS105/$H$100</f>
        <v>0.16666666666666666</v>
      </c>
      <c r="BF105" s="13">
        <f>AQ105/$H$100</f>
        <v>0.91666666666666663</v>
      </c>
      <c r="BP105" t="str">
        <f t="shared" si="14"/>
        <v>3-8 &amp;  &amp; 0.727272727272727 &amp; 0.857142857142857 &amp; 0.786885245901639 &amp; 0.625 &amp; 0.714285714285714 &amp; 0.666666666666667 &amp; 0.642857142857143 &amp; 0.782608695652174 &amp; 0.705882352941177 &amp; 2 &amp; 4 &amp; 0.166666666666667 &amp; 0.5 \\ \hline</v>
      </c>
    </row>
    <row r="106" spans="1:68">
      <c r="P106" s="129"/>
      <c r="Q106" s="129"/>
      <c r="R106" s="127"/>
      <c r="V106" s="129"/>
      <c r="W106" s="129"/>
      <c r="X106" s="127"/>
      <c r="AB106" s="129"/>
      <c r="AC106" s="129"/>
      <c r="AD106" s="127"/>
      <c r="AF106"/>
      <c r="AG106"/>
      <c r="AH106" s="127"/>
      <c r="AI106" s="131"/>
    </row>
    <row r="107" spans="1:68" s="75" customFormat="1">
      <c r="A107" s="75" t="s">
        <v>328</v>
      </c>
      <c r="B107" s="94">
        <v>45178</v>
      </c>
      <c r="C107" s="93" t="s">
        <v>180</v>
      </c>
      <c r="D107" s="78">
        <f>VLOOKUP($C$107,Overview!$Q$2:$AS$64,23,FALSE)</f>
        <v>0.61852981482680436</v>
      </c>
      <c r="E107" s="78" t="str">
        <f>VLOOKUP($C$107,Overview!$Q$2:$AS$64,24,FALSE)</f>
        <v>medium</v>
      </c>
      <c r="F107" s="75">
        <f>VLOOKUP(C107,Overview!$Q$2:$AS$64,13,FALSE)</f>
        <v>34</v>
      </c>
      <c r="G107" s="75">
        <f>VLOOKUP(C107,Overview!$Q$2:$AS$64,16,FALSE)</f>
        <v>12</v>
      </c>
      <c r="H107" s="75">
        <f>VLOOKUP(C107,Overview!$Q$2:$AS$64,18,FALSE)</f>
        <v>15</v>
      </c>
      <c r="I107" s="75">
        <f>VLOOKUP($C$107,Overview!$Q$2:$AS$64,19,FALSE)</f>
        <v>31</v>
      </c>
      <c r="K107" s="96"/>
      <c r="M107" s="115"/>
      <c r="N107" s="97"/>
      <c r="O107" s="97"/>
      <c r="P107" s="130"/>
      <c r="Q107" s="130"/>
      <c r="R107" s="128"/>
      <c r="S107" s="115"/>
      <c r="T107" s="97"/>
      <c r="U107" s="97"/>
      <c r="V107" s="130"/>
      <c r="W107" s="130"/>
      <c r="X107" s="128"/>
      <c r="Y107" s="115"/>
      <c r="Z107" s="97"/>
      <c r="AA107" s="97"/>
      <c r="AB107" s="130"/>
      <c r="AC107" s="130"/>
      <c r="AD107" s="128"/>
      <c r="AE107" s="115"/>
      <c r="AH107" s="128"/>
      <c r="AI107" s="132"/>
      <c r="AJ107" s="97"/>
      <c r="AK107" s="115"/>
      <c r="AL107" s="122"/>
      <c r="AM107" s="101"/>
      <c r="AP107" s="101"/>
      <c r="AQ107" s="101"/>
      <c r="AU107" s="119"/>
      <c r="AV107" s="101"/>
      <c r="AW107" s="101"/>
      <c r="AX107" s="101"/>
      <c r="AY107" s="101"/>
      <c r="AZ107" s="101"/>
      <c r="BA107" s="83"/>
      <c r="BC107" s="101"/>
      <c r="BP107"/>
    </row>
    <row r="108" spans="1:68" ht="16">
      <c r="A108" t="s">
        <v>305</v>
      </c>
      <c r="C108" s="310"/>
      <c r="K108" s="47" t="s">
        <v>378</v>
      </c>
      <c r="L108" s="77" t="s">
        <v>481</v>
      </c>
      <c r="N108" s="81">
        <f>O108-7</f>
        <v>27</v>
      </c>
      <c r="O108" s="81">
        <f>$F$107-0</f>
        <v>34</v>
      </c>
      <c r="P108" s="129">
        <f>N108/$F$107</f>
        <v>0.79411764705882348</v>
      </c>
      <c r="Q108" s="129">
        <f>N108/O108</f>
        <v>0.79411764705882348</v>
      </c>
      <c r="R108" s="127">
        <f>2*(P108*Q108)/(P108+Q108)</f>
        <v>0.79411764705882348</v>
      </c>
      <c r="T108" s="81">
        <f>U108-3</f>
        <v>6</v>
      </c>
      <c r="U108" s="81">
        <f>$G$107-3</f>
        <v>9</v>
      </c>
      <c r="V108" s="129">
        <f>T108/$G$107</f>
        <v>0.5</v>
      </c>
      <c r="W108" s="129">
        <f>T108/U108</f>
        <v>0.66666666666666663</v>
      </c>
      <c r="X108" s="127">
        <f>2*(V108*W108)/(V108+W108)</f>
        <v>0.57142857142857151</v>
      </c>
      <c r="Z108" s="81">
        <f>AA108-8</f>
        <v>23</v>
      </c>
      <c r="AA108" s="81">
        <f>$I$107-0</f>
        <v>31</v>
      </c>
      <c r="AB108" s="129">
        <f>Z108/$I$107</f>
        <v>0.74193548387096775</v>
      </c>
      <c r="AC108" s="129">
        <f>Z108/AA108</f>
        <v>0.74193548387096775</v>
      </c>
      <c r="AD108" s="127">
        <f>2*(AB108*AC108)/(AB108+AC108)</f>
        <v>0.74193548387096775</v>
      </c>
      <c r="AF108">
        <f>AG108-0</f>
        <v>1</v>
      </c>
      <c r="AG108">
        <v>1</v>
      </c>
      <c r="AH108" s="127">
        <f>AF108/$H$107</f>
        <v>6.6666666666666666E-2</v>
      </c>
      <c r="AI108" s="127">
        <f>AF108/AG108</f>
        <v>1</v>
      </c>
      <c r="AL108" s="122">
        <v>0</v>
      </c>
      <c r="AM108" s="101">
        <v>0</v>
      </c>
      <c r="AN108">
        <v>280</v>
      </c>
      <c r="AO108">
        <v>12</v>
      </c>
      <c r="AP108" s="101">
        <v>11</v>
      </c>
      <c r="AQ108" s="101">
        <v>11</v>
      </c>
      <c r="AR108">
        <v>1</v>
      </c>
      <c r="AS108">
        <v>1</v>
      </c>
      <c r="AT108">
        <v>0</v>
      </c>
      <c r="AU108" s="119">
        <v>7</v>
      </c>
      <c r="AV108" s="101">
        <f>($F$107-M108)/$F$107</f>
        <v>1</v>
      </c>
      <c r="AX108" s="101">
        <f>($G$107-AM108)/$G$107</f>
        <v>1</v>
      </c>
      <c r="AY108" s="101">
        <f>AQ108/AP108</f>
        <v>1</v>
      </c>
      <c r="AZ108" s="101">
        <f>AS108/AR108</f>
        <v>1</v>
      </c>
      <c r="BA108" s="85">
        <f>(AV108+AX108+AY108+AZ108)/4</f>
        <v>1</v>
      </c>
      <c r="BB108" s="13">
        <f>AO108/$H$107</f>
        <v>0.8</v>
      </c>
      <c r="BC108" s="118">
        <f>AU108/AO108</f>
        <v>0.58333333333333337</v>
      </c>
      <c r="BD108" s="13">
        <f>AN108/AO108</f>
        <v>23.333333333333332</v>
      </c>
      <c r="BE108" s="13">
        <f>AS108/$H$107</f>
        <v>6.6666666666666666E-2</v>
      </c>
      <c r="BF108" s="13">
        <f>AQ108/$H$107</f>
        <v>0.73333333333333328</v>
      </c>
      <c r="BP108" t="str">
        <f>_xlfn.CONCAT($C$107," &amp; ",C108," &amp; ",P108," &amp; ",Q108," &amp; ",R108," &amp; ",V108," &amp; ",W108," &amp; ",X108," &amp; ",AB108," &amp; ",AC108," &amp; ",AD108," &amp; ",AF108," &amp; ",AG108," &amp; ",AH108," &amp; ",AI108, " \\ \hline")</f>
        <v>10-12 &amp;  &amp; 0.794117647058823 &amp; 0.794117647058823 &amp; 0.794117647058823 &amp; 0.5 &amp; 0.666666666666667 &amp; 0.571428571428572 &amp; 0.741935483870968 &amp; 0.741935483870968 &amp; 0.741935483870968 &amp; 1 &amp; 1 &amp; 0.0666666666666667 &amp; 1 \\ \hline</v>
      </c>
    </row>
    <row r="109" spans="1:68" ht="16">
      <c r="A109" t="s">
        <v>306</v>
      </c>
      <c r="C109" s="310"/>
      <c r="K109" s="47" t="s">
        <v>379</v>
      </c>
      <c r="L109" s="77" t="s">
        <v>482</v>
      </c>
      <c r="N109" s="81">
        <f>O109-5</f>
        <v>25</v>
      </c>
      <c r="O109" s="81">
        <f>$F$107-4</f>
        <v>30</v>
      </c>
      <c r="P109" s="129">
        <f>N109/$F$107</f>
        <v>0.73529411764705888</v>
      </c>
      <c r="Q109" s="129">
        <f>N109/O109</f>
        <v>0.83333333333333337</v>
      </c>
      <c r="R109" s="127">
        <f>2*(P109*Q109)/(P109+Q109)</f>
        <v>0.78125</v>
      </c>
      <c r="T109" s="81">
        <f>U109-3</f>
        <v>7</v>
      </c>
      <c r="U109" s="81">
        <f>$G$107-2</f>
        <v>10</v>
      </c>
      <c r="V109" s="129">
        <f>T109/$G$107</f>
        <v>0.58333333333333337</v>
      </c>
      <c r="W109" s="129">
        <f>T109/U109</f>
        <v>0.7</v>
      </c>
      <c r="X109" s="127">
        <f>2*(V109*W109)/(V109+W109)</f>
        <v>0.63636363636363646</v>
      </c>
      <c r="Z109" s="81">
        <f>AA109-6</f>
        <v>21</v>
      </c>
      <c r="AA109" s="81">
        <f>$I$107-4</f>
        <v>27</v>
      </c>
      <c r="AB109" s="129">
        <f>Z109/$I$107</f>
        <v>0.67741935483870963</v>
      </c>
      <c r="AC109" s="129">
        <f>Z109/AA109</f>
        <v>0.77777777777777779</v>
      </c>
      <c r="AD109" s="127">
        <f>2*(AB109*AC109)/(AB109+AC109)</f>
        <v>0.72413793103448276</v>
      </c>
      <c r="AF109">
        <f>AG109-0</f>
        <v>5</v>
      </c>
      <c r="AG109">
        <v>5</v>
      </c>
      <c r="AH109" s="127">
        <f>AF109/$H$107</f>
        <v>0.33333333333333331</v>
      </c>
      <c r="AI109" s="127">
        <f>AF109/AG109</f>
        <v>1</v>
      </c>
      <c r="AL109" s="122">
        <v>0</v>
      </c>
      <c r="AM109" s="101">
        <v>0</v>
      </c>
      <c r="AN109">
        <v>289</v>
      </c>
      <c r="AO109">
        <v>19</v>
      </c>
      <c r="AP109" s="101">
        <v>17</v>
      </c>
      <c r="AQ109" s="101">
        <v>17</v>
      </c>
      <c r="AR109">
        <v>2</v>
      </c>
      <c r="AS109">
        <v>2</v>
      </c>
      <c r="AT109">
        <v>0</v>
      </c>
      <c r="AU109" s="119">
        <v>8</v>
      </c>
      <c r="AV109" s="101">
        <f>($F$107-M109)/$F$107</f>
        <v>1</v>
      </c>
      <c r="AX109" s="101">
        <f>($G$107-AM109)/$G$107</f>
        <v>1</v>
      </c>
      <c r="AY109" s="101">
        <f>AQ109/AP109</f>
        <v>1</v>
      </c>
      <c r="AZ109" s="101">
        <f>AS109/AR109</f>
        <v>1</v>
      </c>
      <c r="BA109" s="85">
        <f>(AV109+AX109+AY109+AZ109)/4</f>
        <v>1</v>
      </c>
      <c r="BB109" s="13">
        <f>AO109/$H$107</f>
        <v>1.2666666666666666</v>
      </c>
      <c r="BC109" s="118">
        <f>AU109/AO109</f>
        <v>0.42105263157894735</v>
      </c>
      <c r="BD109" s="13">
        <f>AN109/AO109</f>
        <v>15.210526315789474</v>
      </c>
      <c r="BE109" s="13">
        <f>AS109/$H$107</f>
        <v>0.13333333333333333</v>
      </c>
      <c r="BF109" s="13">
        <f>AQ109/$H$107</f>
        <v>1.1333333333333333</v>
      </c>
      <c r="BP109" t="str">
        <f t="shared" ref="BP109:BP112" si="15">_xlfn.CONCAT($C$107," &amp; ",C109," &amp; ",P109," &amp; ",Q109," &amp; ",R109," &amp; ",V109," &amp; ",W109," &amp; ",X109," &amp; ",AB109," &amp; ",AC109," &amp; ",AD109," &amp; ",AF109," &amp; ",AG109," &amp; ",AH109," &amp; ",AI109, " \\ \hline")</f>
        <v>10-12 &amp;  &amp; 0.735294117647059 &amp; 0.833333333333333 &amp; 0.78125 &amp; 0.583333333333333 &amp; 0.7 &amp; 0.636363636363636 &amp; 0.67741935483871 &amp; 0.777777777777778 &amp; 0.724137931034483 &amp; 5 &amp; 5 &amp; 0.333333333333333 &amp; 1 \\ \hline</v>
      </c>
    </row>
    <row r="110" spans="1:68" ht="16">
      <c r="A110" t="s">
        <v>307</v>
      </c>
      <c r="C110" s="310"/>
      <c r="K110" s="47" t="s">
        <v>380</v>
      </c>
      <c r="L110" s="77" t="s">
        <v>483</v>
      </c>
      <c r="N110" s="81">
        <f>O110-5</f>
        <v>25</v>
      </c>
      <c r="O110" s="81">
        <f>$F$107-4</f>
        <v>30</v>
      </c>
      <c r="P110" s="129">
        <f>N110/$F$107</f>
        <v>0.73529411764705888</v>
      </c>
      <c r="Q110" s="129">
        <f>N110/O110</f>
        <v>0.83333333333333337</v>
      </c>
      <c r="R110" s="127">
        <f>2*(P110*Q110)/(P110+Q110)</f>
        <v>0.78125</v>
      </c>
      <c r="T110" s="81">
        <f>U110-3</f>
        <v>7</v>
      </c>
      <c r="U110" s="81">
        <f>$G$107-2</f>
        <v>10</v>
      </c>
      <c r="V110" s="129">
        <f>T110/$G$107</f>
        <v>0.58333333333333337</v>
      </c>
      <c r="W110" s="129">
        <f>T110/U110</f>
        <v>0.7</v>
      </c>
      <c r="X110" s="127">
        <f>2*(V110*W110)/(V110+W110)</f>
        <v>0.63636363636363646</v>
      </c>
      <c r="Z110" s="81">
        <f>AA110-2</f>
        <v>25</v>
      </c>
      <c r="AA110" s="81">
        <f>$I$107-4</f>
        <v>27</v>
      </c>
      <c r="AB110" s="129">
        <f>Z110/$I$107</f>
        <v>0.80645161290322576</v>
      </c>
      <c r="AC110" s="129">
        <f>Z110/AA110</f>
        <v>0.92592592592592593</v>
      </c>
      <c r="AD110" s="127">
        <f>2*(AB110*AC110)/(AB110+AC110)</f>
        <v>0.86206896551724144</v>
      </c>
      <c r="AF110">
        <f>AG110-0</f>
        <v>2</v>
      </c>
      <c r="AG110">
        <v>2</v>
      </c>
      <c r="AH110" s="127">
        <f>AF110/$H$107</f>
        <v>0.13333333333333333</v>
      </c>
      <c r="AI110" s="127">
        <f>AF110/AG110</f>
        <v>1</v>
      </c>
      <c r="AL110" s="122">
        <v>0</v>
      </c>
      <c r="AM110" s="101">
        <v>0</v>
      </c>
      <c r="AN110">
        <v>291</v>
      </c>
      <c r="AO110">
        <v>19</v>
      </c>
      <c r="AP110" s="101">
        <v>16</v>
      </c>
      <c r="AQ110" s="101">
        <v>16</v>
      </c>
      <c r="AR110">
        <v>1</v>
      </c>
      <c r="AS110">
        <v>1</v>
      </c>
      <c r="AT110">
        <v>2</v>
      </c>
      <c r="AU110" s="119">
        <v>8</v>
      </c>
      <c r="AV110" s="101">
        <f>($F$107-M110)/$F$107</f>
        <v>1</v>
      </c>
      <c r="AX110" s="101">
        <f>($G$107-AM110)/$G$107</f>
        <v>1</v>
      </c>
      <c r="AY110" s="101">
        <f>AQ110/AP110</f>
        <v>1</v>
      </c>
      <c r="AZ110" s="101">
        <f>AS110/AR110</f>
        <v>1</v>
      </c>
      <c r="BA110" s="85">
        <f>(AV110+AX110+AY110+AZ110)/4</f>
        <v>1</v>
      </c>
      <c r="BB110" s="13">
        <f>AO110/$H$107</f>
        <v>1.2666666666666666</v>
      </c>
      <c r="BC110" s="118">
        <f>AU110/AO110</f>
        <v>0.42105263157894735</v>
      </c>
      <c r="BD110" s="13">
        <f>AN110/AO110</f>
        <v>15.315789473684211</v>
      </c>
      <c r="BE110" s="13">
        <f>AS110/$H$107</f>
        <v>6.6666666666666666E-2</v>
      </c>
      <c r="BF110" s="13">
        <f>AQ110/$H$107</f>
        <v>1.0666666666666667</v>
      </c>
      <c r="BP110" t="str">
        <f t="shared" si="15"/>
        <v>10-12 &amp;  &amp; 0.735294117647059 &amp; 0.833333333333333 &amp; 0.78125 &amp; 0.583333333333333 &amp; 0.7 &amp; 0.636363636363636 &amp; 0.806451612903226 &amp; 0.925925925925926 &amp; 0.862068965517241 &amp; 2 &amp; 2 &amp; 0.133333333333333 &amp; 1 \\ \hline</v>
      </c>
    </row>
    <row r="111" spans="1:68" ht="16">
      <c r="A111" t="s">
        <v>308</v>
      </c>
      <c r="C111" s="310"/>
      <c r="K111" s="47" t="s">
        <v>381</v>
      </c>
      <c r="L111" s="77" t="s">
        <v>484</v>
      </c>
      <c r="N111" s="81">
        <f>O111-7</f>
        <v>23</v>
      </c>
      <c r="O111" s="81">
        <f>$F$107-4</f>
        <v>30</v>
      </c>
      <c r="P111" s="129">
        <f>N111/$F$107</f>
        <v>0.67647058823529416</v>
      </c>
      <c r="Q111" s="129">
        <f>N111/O111</f>
        <v>0.76666666666666672</v>
      </c>
      <c r="R111" s="127">
        <f>2*(P111*Q111)/(P111+Q111)</f>
        <v>0.71875</v>
      </c>
      <c r="T111" s="81">
        <f>U111-2</f>
        <v>6</v>
      </c>
      <c r="U111" s="81">
        <f>$G$107-4</f>
        <v>8</v>
      </c>
      <c r="V111" s="129">
        <f>T111/$G$107</f>
        <v>0.5</v>
      </c>
      <c r="W111" s="129">
        <f>T111/U111</f>
        <v>0.75</v>
      </c>
      <c r="X111" s="127">
        <f>2*(V111*W111)/(V111+W111)</f>
        <v>0.6</v>
      </c>
      <c r="Z111" s="81">
        <f>AA111-2</f>
        <v>25</v>
      </c>
      <c r="AA111" s="81">
        <f>$I$107-4</f>
        <v>27</v>
      </c>
      <c r="AB111" s="129">
        <f>Z111/$I$107</f>
        <v>0.80645161290322576</v>
      </c>
      <c r="AC111" s="129">
        <f>Z111/AA111</f>
        <v>0.92592592592592593</v>
      </c>
      <c r="AD111" s="127">
        <f>2*(AB111*AC111)/(AB111+AC111)</f>
        <v>0.86206896551724144</v>
      </c>
      <c r="AF111">
        <f>AG111-0</f>
        <v>3</v>
      </c>
      <c r="AG111">
        <v>3</v>
      </c>
      <c r="AH111" s="127">
        <f>AF111/$H$107</f>
        <v>0.2</v>
      </c>
      <c r="AI111" s="127">
        <f>AF111/AG111</f>
        <v>1</v>
      </c>
      <c r="AL111" s="122">
        <v>2</v>
      </c>
      <c r="AM111" s="101">
        <v>1</v>
      </c>
      <c r="AN111">
        <v>296</v>
      </c>
      <c r="AO111">
        <v>16</v>
      </c>
      <c r="AP111" s="101">
        <v>15</v>
      </c>
      <c r="AQ111" s="101">
        <v>15</v>
      </c>
      <c r="AR111">
        <v>1</v>
      </c>
      <c r="AS111">
        <v>1</v>
      </c>
      <c r="AT111">
        <v>0</v>
      </c>
      <c r="AU111" s="119">
        <v>8</v>
      </c>
      <c r="AV111" s="101">
        <f>($F$107-M111)/$F$107</f>
        <v>1</v>
      </c>
      <c r="AX111" s="101">
        <f>($G$107-AM111)/$G$107</f>
        <v>0.91666666666666663</v>
      </c>
      <c r="AY111" s="101">
        <f>AQ111/AP111</f>
        <v>1</v>
      </c>
      <c r="AZ111" s="101">
        <f>AS111/AR111</f>
        <v>1</v>
      </c>
      <c r="BA111" s="85">
        <f>(AV111+AX111+AY111+AZ111)/4</f>
        <v>0.97916666666666663</v>
      </c>
      <c r="BB111" s="13">
        <f>AO111/$H$107</f>
        <v>1.0666666666666667</v>
      </c>
      <c r="BC111" s="118">
        <f>AU111/AO111</f>
        <v>0.5</v>
      </c>
      <c r="BD111" s="13">
        <f>AN111/AO111</f>
        <v>18.5</v>
      </c>
      <c r="BE111" s="13">
        <f>AS111/$H$107</f>
        <v>6.6666666666666666E-2</v>
      </c>
      <c r="BF111" s="13">
        <f>AQ111/$H$107</f>
        <v>1</v>
      </c>
      <c r="BP111" t="str">
        <f t="shared" si="15"/>
        <v>10-12 &amp;  &amp; 0.676470588235294 &amp; 0.766666666666667 &amp; 0.71875 &amp; 0.5 &amp; 0.75 &amp; 0.6 &amp; 0.806451612903226 &amp; 0.925925925925926 &amp; 0.862068965517241 &amp; 3 &amp; 3 &amp; 0.2 &amp; 1 \\ \hline</v>
      </c>
    </row>
    <row r="112" spans="1:68" ht="16">
      <c r="A112" t="s">
        <v>309</v>
      </c>
      <c r="C112" s="310"/>
      <c r="K112" s="47" t="s">
        <v>382</v>
      </c>
      <c r="L112" s="77" t="s">
        <v>485</v>
      </c>
      <c r="N112" s="81">
        <f>O112-5</f>
        <v>25</v>
      </c>
      <c r="O112" s="81">
        <f>$F$107-4</f>
        <v>30</v>
      </c>
      <c r="P112" s="129">
        <f>N112/$F$107</f>
        <v>0.73529411764705888</v>
      </c>
      <c r="Q112" s="129">
        <f>N112/O112</f>
        <v>0.83333333333333337</v>
      </c>
      <c r="R112" s="127">
        <f>2*(P112*Q112)/(P112+Q112)</f>
        <v>0.78125</v>
      </c>
      <c r="T112" s="81">
        <f>U112-3</f>
        <v>7</v>
      </c>
      <c r="U112" s="81">
        <f>$G$107-2</f>
        <v>10</v>
      </c>
      <c r="V112" s="129">
        <f>T112/$G$107</f>
        <v>0.58333333333333337</v>
      </c>
      <c r="W112" s="129">
        <f>T112/U112</f>
        <v>0.7</v>
      </c>
      <c r="X112" s="127">
        <f>2*(V112*W112)/(V112+W112)</f>
        <v>0.63636363636363646</v>
      </c>
      <c r="Z112" s="81">
        <f>AA112-2</f>
        <v>25</v>
      </c>
      <c r="AA112" s="81">
        <f>$I$107-4</f>
        <v>27</v>
      </c>
      <c r="AB112" s="129">
        <f>Z112/$I$107</f>
        <v>0.80645161290322576</v>
      </c>
      <c r="AC112" s="129">
        <f>Z112/AA112</f>
        <v>0.92592592592592593</v>
      </c>
      <c r="AD112" s="127">
        <f>2*(AB112*AC112)/(AB112+AC112)</f>
        <v>0.86206896551724144</v>
      </c>
      <c r="AF112">
        <v>2</v>
      </c>
      <c r="AG112">
        <v>2</v>
      </c>
      <c r="AH112" s="127">
        <f>AF112/$H$107</f>
        <v>0.13333333333333333</v>
      </c>
      <c r="AI112" s="127">
        <f>AF112/AG112</f>
        <v>1</v>
      </c>
      <c r="AL112" s="122">
        <v>0</v>
      </c>
      <c r="AM112" s="101">
        <v>0</v>
      </c>
      <c r="AN112">
        <v>331</v>
      </c>
      <c r="AO112">
        <v>19</v>
      </c>
      <c r="AP112" s="101">
        <v>17</v>
      </c>
      <c r="AQ112" s="101">
        <v>17</v>
      </c>
      <c r="AR112">
        <v>2</v>
      </c>
      <c r="AS112">
        <v>2</v>
      </c>
      <c r="AT112">
        <v>0</v>
      </c>
      <c r="AU112" s="119">
        <v>10</v>
      </c>
      <c r="AV112" s="101">
        <f>($F$107-M112)/$F$107</f>
        <v>1</v>
      </c>
      <c r="AX112" s="101">
        <f>($G$107-AM112)/$G$107</f>
        <v>1</v>
      </c>
      <c r="AY112" s="101">
        <f>AQ112/AP112</f>
        <v>1</v>
      </c>
      <c r="AZ112" s="101">
        <f>AS112/AR112</f>
        <v>1</v>
      </c>
      <c r="BA112" s="85">
        <f>(AV112+AX112+AY112+AZ112)/4</f>
        <v>1</v>
      </c>
      <c r="BB112" s="13">
        <f>AO112/$H$107</f>
        <v>1.2666666666666666</v>
      </c>
      <c r="BC112" s="118">
        <f>AU112/AO112</f>
        <v>0.52631578947368418</v>
      </c>
      <c r="BD112" s="13">
        <f>AN112/AO112</f>
        <v>17.421052631578949</v>
      </c>
      <c r="BE112" s="13">
        <f>AS112/$H$107</f>
        <v>0.13333333333333333</v>
      </c>
      <c r="BF112" s="13">
        <f>AQ112/$H$107</f>
        <v>1.1333333333333333</v>
      </c>
      <c r="BP112" t="str">
        <f t="shared" si="15"/>
        <v>10-12 &amp;  &amp; 0.735294117647059 &amp; 0.833333333333333 &amp; 0.78125 &amp; 0.583333333333333 &amp; 0.7 &amp; 0.636363636363636 &amp; 0.806451612903226 &amp; 0.925925925925926 &amp; 0.862068965517241 &amp; 2 &amp; 2 &amp; 0.133333333333333 &amp; 1 \\ \hline</v>
      </c>
    </row>
    <row r="113" spans="1:68">
      <c r="P113" s="129"/>
      <c r="Q113" s="129"/>
      <c r="R113" s="127"/>
      <c r="V113" s="129"/>
      <c r="W113" s="129"/>
      <c r="X113" s="127"/>
      <c r="AB113" s="129"/>
      <c r="AC113" s="129"/>
      <c r="AD113" s="127"/>
      <c r="AF113"/>
      <c r="AG113"/>
      <c r="AH113" s="127"/>
      <c r="AI113" s="131"/>
    </row>
    <row r="114" spans="1:68" s="75" customFormat="1">
      <c r="A114" s="75" t="s">
        <v>329</v>
      </c>
      <c r="B114" s="94">
        <v>45179</v>
      </c>
      <c r="C114" s="93" t="s">
        <v>142</v>
      </c>
      <c r="D114" s="78">
        <f>VLOOKUP($C$114,Overview!$Q$2:$AS$64,23,FALSE)</f>
        <v>0.68692634591772206</v>
      </c>
      <c r="E114" s="78" t="str">
        <f>VLOOKUP($C$114,Overview!$Q$2:$AS$64,24,FALSE)</f>
        <v>medium</v>
      </c>
      <c r="F114" s="75">
        <f>VLOOKUP(C114,Overview!$Q$2:$AS$64,13,FALSE)</f>
        <v>35</v>
      </c>
      <c r="G114" s="75">
        <f>VLOOKUP(C114,Overview!$Q$2:$AS$64,16,FALSE)</f>
        <v>9</v>
      </c>
      <c r="H114" s="75">
        <f>VLOOKUP(C114,Overview!$Q$2:$AS$64,18,FALSE)</f>
        <v>8</v>
      </c>
      <c r="I114" s="75">
        <f>VLOOKUP($C$114,Overview!$Q$2:$AS$64,19,FALSE)</f>
        <v>30</v>
      </c>
      <c r="K114" s="96"/>
      <c r="M114" s="115"/>
      <c r="N114" s="97"/>
      <c r="O114" s="97"/>
      <c r="P114" s="130"/>
      <c r="Q114" s="130"/>
      <c r="R114" s="128"/>
      <c r="S114" s="115"/>
      <c r="T114" s="97"/>
      <c r="U114" s="97"/>
      <c r="V114" s="130"/>
      <c r="W114" s="130"/>
      <c r="X114" s="128"/>
      <c r="Y114" s="115"/>
      <c r="Z114" s="97"/>
      <c r="AA114" s="97"/>
      <c r="AB114" s="130"/>
      <c r="AC114" s="130"/>
      <c r="AD114" s="128"/>
      <c r="AE114" s="115"/>
      <c r="AH114" s="128"/>
      <c r="AI114" s="132"/>
      <c r="AJ114" s="97"/>
      <c r="AK114" s="115"/>
      <c r="AL114" s="122"/>
      <c r="AM114" s="101"/>
      <c r="AP114" s="101"/>
      <c r="AQ114" s="101"/>
      <c r="AU114" s="119"/>
      <c r="AV114" s="101"/>
      <c r="AW114" s="101"/>
      <c r="AX114" s="101"/>
      <c r="AY114" s="101"/>
      <c r="AZ114" s="101"/>
      <c r="BA114" s="83"/>
      <c r="BC114" s="101"/>
      <c r="BP114"/>
    </row>
    <row r="115" spans="1:68" ht="16">
      <c r="A115" t="s">
        <v>305</v>
      </c>
      <c r="C115" s="310"/>
      <c r="K115" s="47" t="s">
        <v>378</v>
      </c>
      <c r="L115" s="77" t="s">
        <v>486</v>
      </c>
      <c r="N115" s="81">
        <f>O115-4</f>
        <v>16</v>
      </c>
      <c r="O115" s="81">
        <f>$F$114-15</f>
        <v>20</v>
      </c>
      <c r="P115" s="129">
        <f>N115/$F$114</f>
        <v>0.45714285714285713</v>
      </c>
      <c r="Q115" s="129">
        <f>N115/O115</f>
        <v>0.8</v>
      </c>
      <c r="R115" s="127">
        <f>2*(P115*Q115)/(P115+Q115)</f>
        <v>0.58181818181818179</v>
      </c>
      <c r="T115" s="81">
        <f>U115-1</f>
        <v>7</v>
      </c>
      <c r="U115" s="81">
        <f>$G$114-1</f>
        <v>8</v>
      </c>
      <c r="V115" s="129">
        <f>T115/$G$114</f>
        <v>0.77777777777777779</v>
      </c>
      <c r="W115" s="129">
        <f>T115/U115</f>
        <v>0.875</v>
      </c>
      <c r="X115" s="127">
        <f>2*(V115*W115)/(V115+W115)</f>
        <v>0.82352941176470595</v>
      </c>
      <c r="Z115" s="81">
        <f>AA115-4</f>
        <v>11</v>
      </c>
      <c r="AA115" s="81">
        <f>$I$114-15</f>
        <v>15</v>
      </c>
      <c r="AB115" s="129">
        <f>Z115/$I$114</f>
        <v>0.36666666666666664</v>
      </c>
      <c r="AC115" s="129">
        <f>Z115/AA115</f>
        <v>0.73333333333333328</v>
      </c>
      <c r="AD115" s="127">
        <f>2*(AB115*AC115)/(AB115+AC115)</f>
        <v>0.48888888888888887</v>
      </c>
      <c r="AF115">
        <v>4</v>
      </c>
      <c r="AG115">
        <v>4</v>
      </c>
      <c r="AH115" s="127">
        <f>AF115/$H$114</f>
        <v>0.5</v>
      </c>
      <c r="AI115" s="127">
        <f>AF115/AG115</f>
        <v>1</v>
      </c>
      <c r="AL115" s="122">
        <v>4</v>
      </c>
      <c r="AM115" s="101">
        <v>3</v>
      </c>
      <c r="AN115">
        <v>285</v>
      </c>
      <c r="AO115">
        <v>12</v>
      </c>
      <c r="AP115" s="101">
        <v>8</v>
      </c>
      <c r="AQ115" s="101">
        <v>6</v>
      </c>
      <c r="AR115">
        <v>4</v>
      </c>
      <c r="AS115">
        <v>4</v>
      </c>
      <c r="AT115">
        <v>0</v>
      </c>
      <c r="AU115" s="119">
        <v>5</v>
      </c>
      <c r="AV115" s="101">
        <f>($F$114-M115)/$F$114</f>
        <v>1</v>
      </c>
      <c r="AX115" s="101">
        <f>($G$114-AM115)/$G$114</f>
        <v>0.66666666666666663</v>
      </c>
      <c r="AY115" s="101">
        <f>AQ115/AP115</f>
        <v>0.75</v>
      </c>
      <c r="AZ115" s="101">
        <f>AS115/AR115</f>
        <v>1</v>
      </c>
      <c r="BA115" s="85">
        <f>(AV115+AX115+AY115+AZ115)/4</f>
        <v>0.85416666666666663</v>
      </c>
      <c r="BB115" s="13">
        <f>AO115/$H$114</f>
        <v>1.5</v>
      </c>
      <c r="BC115" s="118">
        <f>AU115/AO115</f>
        <v>0.41666666666666669</v>
      </c>
      <c r="BD115" s="13">
        <f>AN115/AO115</f>
        <v>23.75</v>
      </c>
      <c r="BE115" s="13">
        <f>AS115/$H$114</f>
        <v>0.5</v>
      </c>
      <c r="BF115" s="13">
        <f>AQ115/$H$114</f>
        <v>0.75</v>
      </c>
      <c r="BP115" t="str">
        <f>_xlfn.CONCAT($C$114," &amp; ",C115," &amp; ",P115," &amp; ",Q115," &amp; ",R115," &amp; ",V115," &amp; ",W115," &amp; ",X115," &amp; ",AB115," &amp; ",AC115," &amp; ",AD115," &amp; ",AF115," &amp; ",AG115," &amp; ",AH115," &amp; ",AI115, " \\ \hline")</f>
        <v>3-1 &amp;  &amp; 0.457142857142857 &amp; 0.8 &amp; 0.581818181818182 &amp; 0.777777777777778 &amp; 0.875 &amp; 0.823529411764706 &amp; 0.366666666666667 &amp; 0.733333333333333 &amp; 0.488888888888889 &amp; 4 &amp; 4 &amp; 0.5 &amp; 1 \\ \hline</v>
      </c>
    </row>
    <row r="116" spans="1:68" ht="16">
      <c r="A116" t="s">
        <v>306</v>
      </c>
      <c r="C116" s="310"/>
      <c r="K116" s="47" t="s">
        <v>379</v>
      </c>
      <c r="L116" s="2" t="s">
        <v>487</v>
      </c>
      <c r="N116" s="81">
        <f>O116-3</f>
        <v>15</v>
      </c>
      <c r="O116" s="81">
        <f>$F$114-17</f>
        <v>18</v>
      </c>
      <c r="P116" s="129">
        <f>N116/$F$114</f>
        <v>0.42857142857142855</v>
      </c>
      <c r="Q116" s="129">
        <f>N116/O116</f>
        <v>0.83333333333333337</v>
      </c>
      <c r="R116" s="127">
        <f>2*(P116*Q116)/(P116+Q116)</f>
        <v>0.56603773584905659</v>
      </c>
      <c r="T116" s="81">
        <f>U116-1</f>
        <v>7</v>
      </c>
      <c r="U116" s="81">
        <f>$G$114-1</f>
        <v>8</v>
      </c>
      <c r="V116" s="129">
        <f>T116/$G$114</f>
        <v>0.77777777777777779</v>
      </c>
      <c r="W116" s="129">
        <f>T116/U116</f>
        <v>0.875</v>
      </c>
      <c r="X116" s="127">
        <f>2*(V116*W116)/(V116+W116)</f>
        <v>0.82352941176470595</v>
      </c>
      <c r="Z116" s="81">
        <f>AA116-4</f>
        <v>9</v>
      </c>
      <c r="AA116" s="81">
        <f>$I$114-17</f>
        <v>13</v>
      </c>
      <c r="AB116" s="129">
        <f>Z116/$I$114</f>
        <v>0.3</v>
      </c>
      <c r="AC116" s="129">
        <f>Z116/AA116</f>
        <v>0.69230769230769229</v>
      </c>
      <c r="AD116" s="127">
        <f>2*(AB116*AC116)/(AB116+AC116)</f>
        <v>0.41860465116279066</v>
      </c>
      <c r="AF116">
        <v>4</v>
      </c>
      <c r="AG116">
        <v>4</v>
      </c>
      <c r="AH116" s="127">
        <f>AF116/$H$114</f>
        <v>0.5</v>
      </c>
      <c r="AI116" s="127">
        <f>AF116/AG116</f>
        <v>1</v>
      </c>
      <c r="AL116" s="122">
        <v>4</v>
      </c>
      <c r="AM116" s="101">
        <v>3</v>
      </c>
      <c r="AN116">
        <v>291</v>
      </c>
      <c r="AO116">
        <v>14</v>
      </c>
      <c r="AP116" s="101">
        <v>9</v>
      </c>
      <c r="AQ116" s="101">
        <v>7</v>
      </c>
      <c r="AR116">
        <v>4</v>
      </c>
      <c r="AS116">
        <v>4</v>
      </c>
      <c r="AT116">
        <v>1</v>
      </c>
      <c r="AU116" s="119">
        <v>7</v>
      </c>
      <c r="AV116" s="101">
        <f>($F$114-M116)/$F$114</f>
        <v>1</v>
      </c>
      <c r="AX116" s="101">
        <f>($G$114-AM116)/$G$114</f>
        <v>0.66666666666666663</v>
      </c>
      <c r="AY116" s="101">
        <f>AQ116/AP116</f>
        <v>0.77777777777777779</v>
      </c>
      <c r="AZ116" s="101">
        <f>AS116/AR116</f>
        <v>1</v>
      </c>
      <c r="BA116" s="85">
        <f>(AV116+AX116+AY116+AZ116)/4</f>
        <v>0.86111111111111105</v>
      </c>
      <c r="BB116" s="13">
        <f>AO116/$H$114</f>
        <v>1.75</v>
      </c>
      <c r="BC116" s="118">
        <f>AU116/AO116</f>
        <v>0.5</v>
      </c>
      <c r="BD116" s="13">
        <f>AN116/AO116</f>
        <v>20.785714285714285</v>
      </c>
      <c r="BE116" s="13">
        <f>AS116/$H$114</f>
        <v>0.5</v>
      </c>
      <c r="BF116" s="13">
        <f>AQ116/$H$114</f>
        <v>0.875</v>
      </c>
      <c r="BP116" t="str">
        <f t="shared" ref="BP116:BP119" si="16">_xlfn.CONCAT($C$114," &amp; ",C116," &amp; ",P116," &amp; ",Q116," &amp; ",R116," &amp; ",V116," &amp; ",W116," &amp; ",X116," &amp; ",AB116," &amp; ",AC116," &amp; ",AD116," &amp; ",AF116," &amp; ",AG116," &amp; ",AH116," &amp; ",AI116, " \\ \hline")</f>
        <v>3-1 &amp;  &amp; 0.428571428571429 &amp; 0.833333333333333 &amp; 0.566037735849057 &amp; 0.777777777777778 &amp; 0.875 &amp; 0.823529411764706 &amp; 0.3 &amp; 0.692307692307692 &amp; 0.418604651162791 &amp; 4 &amp; 4 &amp; 0.5 &amp; 1 \\ \hline</v>
      </c>
    </row>
    <row r="117" spans="1:68" ht="16">
      <c r="A117" t="s">
        <v>307</v>
      </c>
      <c r="C117" s="310"/>
      <c r="K117" s="47" t="s">
        <v>380</v>
      </c>
      <c r="L117" s="77" t="s">
        <v>488</v>
      </c>
      <c r="N117" s="81">
        <f>O117-3</f>
        <v>15</v>
      </c>
      <c r="O117" s="81">
        <f>$F$114-17</f>
        <v>18</v>
      </c>
      <c r="P117" s="129">
        <f>N117/$F$114</f>
        <v>0.42857142857142855</v>
      </c>
      <c r="Q117" s="129">
        <f>N117/O117</f>
        <v>0.83333333333333337</v>
      </c>
      <c r="R117" s="127">
        <f>2*(P117*Q117)/(P117+Q117)</f>
        <v>0.56603773584905659</v>
      </c>
      <c r="T117" s="81">
        <f>U117-1</f>
        <v>7</v>
      </c>
      <c r="U117" s="81">
        <f>$G$114-1</f>
        <v>8</v>
      </c>
      <c r="V117" s="129">
        <f>T117/$G$114</f>
        <v>0.77777777777777779</v>
      </c>
      <c r="W117" s="129">
        <f>T117/U117</f>
        <v>0.875</v>
      </c>
      <c r="X117" s="127">
        <f>2*(V117*W117)/(V117+W117)</f>
        <v>0.82352941176470595</v>
      </c>
      <c r="Z117" s="81">
        <f>AA117-4</f>
        <v>9</v>
      </c>
      <c r="AA117" s="81">
        <f>$I$114-17</f>
        <v>13</v>
      </c>
      <c r="AB117" s="129">
        <f>Z117/$I$114</f>
        <v>0.3</v>
      </c>
      <c r="AC117" s="129">
        <f>Z117/AA117</f>
        <v>0.69230769230769229</v>
      </c>
      <c r="AD117" s="127">
        <f>2*(AB117*AC117)/(AB117+AC117)</f>
        <v>0.41860465116279066</v>
      </c>
      <c r="AF117">
        <f>AG117-0</f>
        <v>6</v>
      </c>
      <c r="AG117">
        <v>6</v>
      </c>
      <c r="AH117" s="127">
        <f>AF117/$H$114</f>
        <v>0.75</v>
      </c>
      <c r="AI117" s="127">
        <f>AF117/AG117</f>
        <v>1</v>
      </c>
      <c r="AL117" s="122">
        <v>4</v>
      </c>
      <c r="AM117" s="101">
        <v>3</v>
      </c>
      <c r="AN117">
        <v>325</v>
      </c>
      <c r="AO117">
        <v>15</v>
      </c>
      <c r="AP117" s="101">
        <v>10</v>
      </c>
      <c r="AQ117" s="101">
        <v>8</v>
      </c>
      <c r="AR117">
        <v>5</v>
      </c>
      <c r="AS117">
        <v>4</v>
      </c>
      <c r="AT117">
        <v>0</v>
      </c>
      <c r="AU117" s="119">
        <v>8</v>
      </c>
      <c r="AV117" s="101">
        <f>($F$114-M117)/$F$114</f>
        <v>1</v>
      </c>
      <c r="AX117" s="101">
        <f>($G$114-AM117)/$G$114</f>
        <v>0.66666666666666663</v>
      </c>
      <c r="AY117" s="101">
        <f>AQ117/AP117</f>
        <v>0.8</v>
      </c>
      <c r="AZ117" s="101">
        <f>AS117/AR117</f>
        <v>0.8</v>
      </c>
      <c r="BA117" s="85">
        <f>(AV117+AX117+AY117+AZ117)/4</f>
        <v>0.81666666666666665</v>
      </c>
      <c r="BB117" s="13">
        <f>AO117/$H$114</f>
        <v>1.875</v>
      </c>
      <c r="BC117" s="118">
        <f>AU117/AO117</f>
        <v>0.53333333333333333</v>
      </c>
      <c r="BD117" s="13">
        <f>AN117/AO117</f>
        <v>21.666666666666668</v>
      </c>
      <c r="BE117" s="13">
        <f>AS117/$H$114</f>
        <v>0.5</v>
      </c>
      <c r="BF117" s="13">
        <f>AQ117/$H$114</f>
        <v>1</v>
      </c>
      <c r="BP117" t="str">
        <f t="shared" si="16"/>
        <v>3-1 &amp;  &amp; 0.428571428571429 &amp; 0.833333333333333 &amp; 0.566037735849057 &amp; 0.777777777777778 &amp; 0.875 &amp; 0.823529411764706 &amp; 0.3 &amp; 0.692307692307692 &amp; 0.418604651162791 &amp; 6 &amp; 6 &amp; 0.75 &amp; 1 \\ \hline</v>
      </c>
    </row>
    <row r="118" spans="1:68" ht="16">
      <c r="A118" t="s">
        <v>308</v>
      </c>
      <c r="C118" s="310"/>
      <c r="K118" s="47" t="s">
        <v>381</v>
      </c>
      <c r="L118" s="77" t="s">
        <v>489</v>
      </c>
      <c r="N118" s="81">
        <f>O118-3</f>
        <v>18</v>
      </c>
      <c r="O118" s="81">
        <f>$F$114-14</f>
        <v>21</v>
      </c>
      <c r="P118" s="129">
        <f>N118/$F$114</f>
        <v>0.51428571428571423</v>
      </c>
      <c r="Q118" s="129">
        <f>N118/O118</f>
        <v>0.8571428571428571</v>
      </c>
      <c r="R118" s="127">
        <f>2*(P118*Q118)/(P118+Q118)</f>
        <v>0.64285714285714279</v>
      </c>
      <c r="T118" s="81">
        <f>U118-1</f>
        <v>6</v>
      </c>
      <c r="U118" s="81">
        <f>$G$114-2</f>
        <v>7</v>
      </c>
      <c r="V118" s="129">
        <f>T118/$G$114</f>
        <v>0.66666666666666663</v>
      </c>
      <c r="W118" s="129">
        <f>T118/U118</f>
        <v>0.8571428571428571</v>
      </c>
      <c r="X118" s="127">
        <f>2*(V118*W118)/(V118+W118)</f>
        <v>0.75</v>
      </c>
      <c r="Z118" s="81">
        <f>AA118-2</f>
        <v>14</v>
      </c>
      <c r="AA118" s="81">
        <f>$I$114-14</f>
        <v>16</v>
      </c>
      <c r="AB118" s="129">
        <f>Z118/$I$114</f>
        <v>0.46666666666666667</v>
      </c>
      <c r="AC118" s="129">
        <f>Z118/AA118</f>
        <v>0.875</v>
      </c>
      <c r="AD118" s="127">
        <f>2*(AB118*AC118)/(AB118+AC118)</f>
        <v>0.60869565217391297</v>
      </c>
      <c r="AF118">
        <f>AG118-0</f>
        <v>2</v>
      </c>
      <c r="AG118">
        <v>2</v>
      </c>
      <c r="AH118" s="127">
        <f>AF118/$H$114</f>
        <v>0.25</v>
      </c>
      <c r="AI118" s="127">
        <f>AF118/AG118</f>
        <v>1</v>
      </c>
      <c r="AL118" s="122">
        <v>0</v>
      </c>
      <c r="AM118" s="101">
        <v>0</v>
      </c>
      <c r="AN118">
        <v>280</v>
      </c>
      <c r="AO118">
        <v>12</v>
      </c>
      <c r="AP118" s="101">
        <v>10</v>
      </c>
      <c r="AQ118" s="101">
        <v>10</v>
      </c>
      <c r="AR118">
        <v>2</v>
      </c>
      <c r="AS118">
        <v>2</v>
      </c>
      <c r="AT118">
        <v>0</v>
      </c>
      <c r="AU118" s="119">
        <v>7</v>
      </c>
      <c r="AV118" s="101">
        <f>($F$114-M118)/$F$114</f>
        <v>1</v>
      </c>
      <c r="AX118" s="101">
        <f>($G$114-AM118)/$G$114</f>
        <v>1</v>
      </c>
      <c r="AY118" s="101">
        <f>AQ118/AP118</f>
        <v>1</v>
      </c>
      <c r="AZ118" s="101">
        <f>AS118/AR118</f>
        <v>1</v>
      </c>
      <c r="BA118" s="85">
        <f>(AV118+AX118+AY118+AZ118)/4</f>
        <v>1</v>
      </c>
      <c r="BB118" s="13">
        <f>AO118/$H$114</f>
        <v>1.5</v>
      </c>
      <c r="BC118" s="118">
        <f>AU118/AO118</f>
        <v>0.58333333333333337</v>
      </c>
      <c r="BD118" s="13">
        <f>AN118/AO118</f>
        <v>23.333333333333332</v>
      </c>
      <c r="BE118" s="13">
        <f>AS118/$H$114</f>
        <v>0.25</v>
      </c>
      <c r="BF118" s="13">
        <f>AQ118/$H$114</f>
        <v>1.25</v>
      </c>
      <c r="BP118" t="str">
        <f t="shared" si="16"/>
        <v>3-1 &amp;  &amp; 0.514285714285714 &amp; 0.857142857142857 &amp; 0.642857142857143 &amp; 0.666666666666667 &amp; 0.857142857142857 &amp; 0.75 &amp; 0.466666666666667 &amp; 0.875 &amp; 0.608695652173913 &amp; 2 &amp; 2 &amp; 0.25 &amp; 1 \\ \hline</v>
      </c>
    </row>
    <row r="119" spans="1:68" ht="16">
      <c r="A119" t="s">
        <v>309</v>
      </c>
      <c r="C119" s="310"/>
      <c r="K119" s="47" t="s">
        <v>382</v>
      </c>
      <c r="N119" s="81">
        <f>O119-2</f>
        <v>18</v>
      </c>
      <c r="O119" s="81">
        <f>$F$114-15</f>
        <v>20</v>
      </c>
      <c r="P119" s="129">
        <f>N119/$F$114</f>
        <v>0.51428571428571423</v>
      </c>
      <c r="Q119" s="129">
        <f>N119/O119</f>
        <v>0.9</v>
      </c>
      <c r="R119" s="127">
        <f>2*(P119*Q119)/(P119+Q119)</f>
        <v>0.65454545454545454</v>
      </c>
      <c r="T119" s="81">
        <f>U119-1</f>
        <v>7</v>
      </c>
      <c r="U119" s="81">
        <f>$G$114-1</f>
        <v>8</v>
      </c>
      <c r="V119" s="129">
        <f>T119/$G$114</f>
        <v>0.77777777777777779</v>
      </c>
      <c r="W119" s="129">
        <f>T119/U119</f>
        <v>0.875</v>
      </c>
      <c r="X119" s="127">
        <f>2*(V119*W119)/(V119+W119)</f>
        <v>0.82352941176470595</v>
      </c>
      <c r="Z119" s="81">
        <f>AA119-2</f>
        <v>13</v>
      </c>
      <c r="AA119" s="81">
        <f>$I$114-15</f>
        <v>15</v>
      </c>
      <c r="AB119" s="129">
        <f>Z119/$I$114</f>
        <v>0.43333333333333335</v>
      </c>
      <c r="AC119" s="129">
        <f>Z119/AA119</f>
        <v>0.8666666666666667</v>
      </c>
      <c r="AD119" s="127">
        <f>2*(AB119*AC119)/(AB119+AC119)</f>
        <v>0.57777777777777783</v>
      </c>
      <c r="AF119">
        <f>AG119-0</f>
        <v>3</v>
      </c>
      <c r="AG119">
        <v>3</v>
      </c>
      <c r="AH119" s="127">
        <f>AF119/$H$114</f>
        <v>0.375</v>
      </c>
      <c r="AI119" s="127">
        <f>AF119/AG119</f>
        <v>1</v>
      </c>
      <c r="AL119" s="122">
        <v>1</v>
      </c>
      <c r="AM119" s="101">
        <v>1</v>
      </c>
      <c r="AN119">
        <v>298</v>
      </c>
      <c r="AO119">
        <v>12</v>
      </c>
      <c r="AP119" s="101">
        <v>8</v>
      </c>
      <c r="AQ119" s="101">
        <v>7</v>
      </c>
      <c r="AR119">
        <v>3</v>
      </c>
      <c r="AS119">
        <v>3</v>
      </c>
      <c r="AT119">
        <v>1</v>
      </c>
      <c r="AV119" s="101">
        <f>($F$114-M119)/$F$114</f>
        <v>1</v>
      </c>
      <c r="AX119" s="101">
        <f>($G$114-AM119)/$G$114</f>
        <v>0.88888888888888884</v>
      </c>
      <c r="AY119" s="101">
        <f>AQ119/AP119</f>
        <v>0.875</v>
      </c>
      <c r="AZ119" s="101">
        <f>AS119/AR119</f>
        <v>1</v>
      </c>
      <c r="BA119" s="85">
        <f>(AV119+AX119+AY119+AZ119)/4</f>
        <v>0.94097222222222221</v>
      </c>
      <c r="BB119" s="13">
        <f>AO119/$H$114</f>
        <v>1.5</v>
      </c>
      <c r="BC119" s="118">
        <f>AU119/AO119</f>
        <v>0</v>
      </c>
      <c r="BD119" s="13">
        <f>AN119/AO119</f>
        <v>24.833333333333332</v>
      </c>
      <c r="BE119" s="13">
        <f>AS119/$H$114</f>
        <v>0.375</v>
      </c>
      <c r="BF119" s="13">
        <f>AQ119/$H$114</f>
        <v>0.875</v>
      </c>
      <c r="BP119" t="str">
        <f t="shared" si="16"/>
        <v>3-1 &amp;  &amp; 0.514285714285714 &amp; 0.9 &amp; 0.654545454545455 &amp; 0.777777777777778 &amp; 0.875 &amp; 0.823529411764706 &amp; 0.433333333333333 &amp; 0.866666666666667 &amp; 0.577777777777778 &amp; 3 &amp; 3 &amp; 0.375 &amp; 1 \\ \hline</v>
      </c>
    </row>
    <row r="120" spans="1:68">
      <c r="P120" s="129"/>
      <c r="Q120" s="129"/>
      <c r="R120" s="127"/>
      <c r="V120" s="129"/>
      <c r="W120" s="129"/>
      <c r="X120" s="127"/>
      <c r="AB120" s="129"/>
      <c r="AC120" s="129"/>
      <c r="AD120" s="127"/>
      <c r="AF120"/>
      <c r="AG120"/>
      <c r="AH120" s="127"/>
      <c r="AI120" s="131"/>
    </row>
    <row r="121" spans="1:68" s="75" customFormat="1">
      <c r="A121" s="75" t="s">
        <v>330</v>
      </c>
      <c r="B121" s="94">
        <v>45179</v>
      </c>
      <c r="C121" s="93" t="s">
        <v>153</v>
      </c>
      <c r="D121" s="78">
        <f>VLOOKUP($C$121,Overview!$Q$2:$AS$64,23,FALSE)</f>
        <v>0.71688008599465802</v>
      </c>
      <c r="E121" s="78" t="str">
        <f>VLOOKUP($C$121,Overview!$Q$2:$AS$64,24,FALSE)</f>
        <v>medium</v>
      </c>
      <c r="F121" s="75">
        <f>VLOOKUP(C121,Overview!$Q$2:$AS$64,13,FALSE)</f>
        <v>33</v>
      </c>
      <c r="G121" s="75">
        <f>VLOOKUP(C121,Overview!$Q$2:$AS$64,16,FALSE)</f>
        <v>12</v>
      </c>
      <c r="H121" s="75">
        <f>VLOOKUP(C121,Overview!$Q$2:$AS$64,18,FALSE)</f>
        <v>15</v>
      </c>
      <c r="I121" s="75">
        <f>VLOOKUP($C$121,Overview!$Q$2:$AS$64,19,FALSE)</f>
        <v>29</v>
      </c>
      <c r="K121" s="96"/>
      <c r="M121" s="115"/>
      <c r="N121" s="97"/>
      <c r="O121" s="97"/>
      <c r="P121" s="130"/>
      <c r="Q121" s="130"/>
      <c r="R121" s="128"/>
      <c r="S121" s="115"/>
      <c r="T121" s="97"/>
      <c r="U121" s="97"/>
      <c r="V121" s="130"/>
      <c r="W121" s="130"/>
      <c r="X121" s="128"/>
      <c r="Y121" s="115"/>
      <c r="Z121" s="97"/>
      <c r="AA121" s="97"/>
      <c r="AB121" s="130"/>
      <c r="AC121" s="130"/>
      <c r="AD121" s="128"/>
      <c r="AE121" s="115"/>
      <c r="AH121" s="128"/>
      <c r="AI121" s="132"/>
      <c r="AJ121" s="97"/>
      <c r="AK121" s="115"/>
      <c r="AL121" s="122"/>
      <c r="AM121" s="101"/>
      <c r="AP121" s="101"/>
      <c r="AQ121" s="101"/>
      <c r="AU121" s="119"/>
      <c r="AV121" s="101"/>
      <c r="AW121" s="101"/>
      <c r="AX121" s="101"/>
      <c r="AY121" s="101"/>
      <c r="AZ121" s="101"/>
      <c r="BA121" s="83"/>
      <c r="BC121" s="101"/>
      <c r="BP121"/>
    </row>
    <row r="122" spans="1:68" ht="16">
      <c r="A122" t="s">
        <v>305</v>
      </c>
      <c r="C122" s="310"/>
      <c r="K122" s="47" t="s">
        <v>378</v>
      </c>
      <c r="L122" s="77" t="s">
        <v>490</v>
      </c>
      <c r="N122" s="81">
        <f>O122-3</f>
        <v>29</v>
      </c>
      <c r="O122" s="81">
        <f>$F$121-1</f>
        <v>32</v>
      </c>
      <c r="P122" s="129">
        <f>N122/$F$121</f>
        <v>0.87878787878787878</v>
      </c>
      <c r="Q122" s="129">
        <f>N122/O122</f>
        <v>0.90625</v>
      </c>
      <c r="R122" s="127">
        <f>2*(P122*Q122)/(P122+Q122)</f>
        <v>0.89230769230769225</v>
      </c>
      <c r="T122" s="81">
        <f>U122-2</f>
        <v>8</v>
      </c>
      <c r="U122" s="81">
        <f>$G$121-2</f>
        <v>10</v>
      </c>
      <c r="V122" s="129">
        <f>T122/$G$121</f>
        <v>0.66666666666666663</v>
      </c>
      <c r="W122" s="129">
        <f>T122/U122</f>
        <v>0.8</v>
      </c>
      <c r="X122" s="127">
        <f>2*(V122*W122)/(V122+W122)</f>
        <v>0.72727272727272718</v>
      </c>
      <c r="Z122" s="81">
        <f>AA122-4</f>
        <v>25</v>
      </c>
      <c r="AA122" s="81">
        <f>$I$121-0</f>
        <v>29</v>
      </c>
      <c r="AB122" s="129">
        <f>Z122/$I$121</f>
        <v>0.86206896551724133</v>
      </c>
      <c r="AC122" s="129">
        <f>Z122/AA122</f>
        <v>0.86206896551724133</v>
      </c>
      <c r="AD122" s="127">
        <f>2*(AB122*AC122)/(AB122+AC122)</f>
        <v>0.86206896551724133</v>
      </c>
      <c r="AF122">
        <v>0</v>
      </c>
      <c r="AG122">
        <v>0</v>
      </c>
      <c r="AH122" s="127">
        <f>AF122/$H$121</f>
        <v>0</v>
      </c>
      <c r="AI122" s="127">
        <v>0</v>
      </c>
      <c r="AL122" s="122">
        <v>1</v>
      </c>
      <c r="AM122" s="101">
        <v>1</v>
      </c>
      <c r="AN122">
        <v>333</v>
      </c>
      <c r="AO122">
        <v>15</v>
      </c>
      <c r="AP122" s="101">
        <v>15</v>
      </c>
      <c r="AQ122" s="101">
        <v>15</v>
      </c>
      <c r="AR122">
        <v>0</v>
      </c>
      <c r="AS122">
        <v>0</v>
      </c>
      <c r="AT122">
        <v>0</v>
      </c>
      <c r="AU122" s="119">
        <v>13</v>
      </c>
      <c r="AV122" s="101">
        <f>($F$121-M122)/$F$121</f>
        <v>1</v>
      </c>
      <c r="AX122" s="101">
        <f>($G$121-AM122)/$G$121</f>
        <v>0.91666666666666663</v>
      </c>
      <c r="AY122" s="101">
        <f>AQ122/AP122</f>
        <v>1</v>
      </c>
      <c r="AZ122" s="101">
        <v>0</v>
      </c>
      <c r="BA122" s="85">
        <f>(AV122+AX122+AY122+AZ122)/4</f>
        <v>0.72916666666666663</v>
      </c>
      <c r="BB122" s="13">
        <f>AO122/$H$121</f>
        <v>1</v>
      </c>
      <c r="BC122" s="118">
        <f>AU122/AO122</f>
        <v>0.8666666666666667</v>
      </c>
      <c r="BD122" s="13">
        <f>AN122/AO122</f>
        <v>22.2</v>
      </c>
      <c r="BE122" s="13">
        <f>AS122/$H$121</f>
        <v>0</v>
      </c>
      <c r="BF122" s="13">
        <f>AQ122/$H$121</f>
        <v>1</v>
      </c>
      <c r="BP122" t="str">
        <f>_xlfn.CONCAT($C$121," &amp; ",C122," &amp; ",P122," &amp; ",Q122," &amp; ",R122," &amp; ",V122," &amp; ",W122," &amp; ",X122," &amp; ",AB122," &amp; ",AC122," &amp; ",AD122," &amp; ",AF122," &amp; ",AG122," &amp; ",AH122," &amp; ",AI122, " \\ \hline")</f>
        <v>5-3 &amp;  &amp; 0.878787878787879 &amp; 0.90625 &amp; 0.892307692307692 &amp; 0.666666666666667 &amp; 0.8 &amp; 0.727272727272727 &amp; 0.862068965517241 &amp; 0.862068965517241 &amp; 0.862068965517241 &amp; 0 &amp; 0 &amp; 0 &amp; 0 \\ \hline</v>
      </c>
    </row>
    <row r="123" spans="1:68" ht="16">
      <c r="A123" t="s">
        <v>306</v>
      </c>
      <c r="C123" s="310"/>
      <c r="K123" s="47" t="s">
        <v>379</v>
      </c>
      <c r="L123" s="77" t="s">
        <v>491</v>
      </c>
      <c r="N123" s="81">
        <f>O123-4</f>
        <v>28</v>
      </c>
      <c r="O123" s="81">
        <f>$F$121-1</f>
        <v>32</v>
      </c>
      <c r="P123" s="129">
        <f>N123/$F$121</f>
        <v>0.84848484848484851</v>
      </c>
      <c r="Q123" s="129">
        <f>N123/O123</f>
        <v>0.875</v>
      </c>
      <c r="R123" s="127">
        <f>2*(P123*Q123)/(P123+Q123)</f>
        <v>0.86153846153846148</v>
      </c>
      <c r="T123" s="81">
        <f>U123-3</f>
        <v>7</v>
      </c>
      <c r="U123" s="81">
        <f>$G$121-2</f>
        <v>10</v>
      </c>
      <c r="V123" s="129">
        <f>T123/$G$121</f>
        <v>0.58333333333333337</v>
      </c>
      <c r="W123" s="129">
        <f>T123/U123</f>
        <v>0.7</v>
      </c>
      <c r="X123" s="127">
        <f>2*(V123*W123)/(V123+W123)</f>
        <v>0.63636363636363646</v>
      </c>
      <c r="Z123" s="81">
        <f>AA123-4</f>
        <v>25</v>
      </c>
      <c r="AA123" s="81">
        <f>$I$121-0</f>
        <v>29</v>
      </c>
      <c r="AB123" s="129">
        <f>Z123/$I$121</f>
        <v>0.86206896551724133</v>
      </c>
      <c r="AC123" s="129">
        <f>Z123/AA123</f>
        <v>0.86206896551724133</v>
      </c>
      <c r="AD123" s="127">
        <f>2*(AB123*AC123)/(AB123+AC123)</f>
        <v>0.86206896551724133</v>
      </c>
      <c r="AF123">
        <v>1</v>
      </c>
      <c r="AG123">
        <v>1</v>
      </c>
      <c r="AH123" s="127">
        <f>AF123/$H$121</f>
        <v>6.6666666666666666E-2</v>
      </c>
      <c r="AI123" s="127">
        <f>AF123/AG123</f>
        <v>1</v>
      </c>
      <c r="AL123" s="122">
        <v>1</v>
      </c>
      <c r="AM123" s="101">
        <v>1</v>
      </c>
      <c r="AN123">
        <v>345</v>
      </c>
      <c r="AO123" s="107">
        <v>16</v>
      </c>
      <c r="AP123" s="101">
        <v>14</v>
      </c>
      <c r="AQ123" s="101">
        <v>13</v>
      </c>
      <c r="AR123">
        <v>1</v>
      </c>
      <c r="AS123">
        <v>1</v>
      </c>
      <c r="AT123">
        <v>1</v>
      </c>
      <c r="AU123" s="119">
        <v>7</v>
      </c>
      <c r="AV123" s="101">
        <f>($F$121-M123)/$F$121</f>
        <v>1</v>
      </c>
      <c r="AX123" s="101">
        <f>($G$121-AM123)/$G$121</f>
        <v>0.91666666666666663</v>
      </c>
      <c r="AY123" s="101">
        <f>AQ123/AP123</f>
        <v>0.9285714285714286</v>
      </c>
      <c r="AZ123" s="101">
        <f>AS123/AR123</f>
        <v>1</v>
      </c>
      <c r="BA123" s="85">
        <f>(AV123+AX123+AY123+AZ123)/4</f>
        <v>0.96130952380952372</v>
      </c>
      <c r="BB123" s="13">
        <f>AO123/$H$121</f>
        <v>1.0666666666666667</v>
      </c>
      <c r="BC123" s="118">
        <f>AU123/AO123</f>
        <v>0.4375</v>
      </c>
      <c r="BD123" s="13">
        <f>AN123/AO123</f>
        <v>21.5625</v>
      </c>
      <c r="BE123" s="13">
        <f>AS123/$H$121</f>
        <v>6.6666666666666666E-2</v>
      </c>
      <c r="BF123" s="13">
        <f>AQ123/$H$121</f>
        <v>0.8666666666666667</v>
      </c>
      <c r="BP123" t="str">
        <f t="shared" ref="BP123:BP126" si="17">_xlfn.CONCAT($C$121," &amp; ",C123," &amp; ",P123," &amp; ",Q123," &amp; ",R123," &amp; ",V123," &amp; ",W123," &amp; ",X123," &amp; ",AB123," &amp; ",AC123," &amp; ",AD123," &amp; ",AF123," &amp; ",AG123," &amp; ",AH123," &amp; ",AI123, " \\ \hline")</f>
        <v>5-3 &amp;  &amp; 0.848484848484849 &amp; 0.875 &amp; 0.861538461538461 &amp; 0.583333333333333 &amp; 0.7 &amp; 0.636363636363636 &amp; 0.862068965517241 &amp; 0.862068965517241 &amp; 0.862068965517241 &amp; 1 &amp; 1 &amp; 0.0666666666666667 &amp; 1 \\ \hline</v>
      </c>
    </row>
    <row r="124" spans="1:68" ht="16">
      <c r="A124" t="s">
        <v>307</v>
      </c>
      <c r="C124" s="310"/>
      <c r="K124" s="47" t="s">
        <v>380</v>
      </c>
      <c r="L124" s="77" t="s">
        <v>492</v>
      </c>
      <c r="N124" s="81">
        <f>O124-4</f>
        <v>28</v>
      </c>
      <c r="O124" s="81">
        <f>$F$121-1</f>
        <v>32</v>
      </c>
      <c r="P124" s="129">
        <f>N124/$F$121</f>
        <v>0.84848484848484851</v>
      </c>
      <c r="Q124" s="129">
        <f>N124/O124</f>
        <v>0.875</v>
      </c>
      <c r="R124" s="127">
        <f>2*(P124*Q124)/(P124+Q124)</f>
        <v>0.86153846153846148</v>
      </c>
      <c r="T124" s="81">
        <f>U124-3</f>
        <v>7</v>
      </c>
      <c r="U124" s="81">
        <f>$G$121-2</f>
        <v>10</v>
      </c>
      <c r="V124" s="129">
        <f>T124/$G$121</f>
        <v>0.58333333333333337</v>
      </c>
      <c r="W124" s="129">
        <f>T124/U124</f>
        <v>0.7</v>
      </c>
      <c r="X124" s="127">
        <f>2*(V124*W124)/(V124+W124)</f>
        <v>0.63636363636363646</v>
      </c>
      <c r="Z124" s="81">
        <f>AA124-4</f>
        <v>25</v>
      </c>
      <c r="AA124" s="81">
        <f>$I$121-0</f>
        <v>29</v>
      </c>
      <c r="AB124" s="129">
        <f>Z124/$I$121</f>
        <v>0.86206896551724133</v>
      </c>
      <c r="AC124" s="129">
        <f>Z124/AA124</f>
        <v>0.86206896551724133</v>
      </c>
      <c r="AD124" s="127">
        <f>2*(AB124*AC124)/(AB124+AC124)</f>
        <v>0.86206896551724133</v>
      </c>
      <c r="AF124">
        <v>0</v>
      </c>
      <c r="AG124">
        <v>0</v>
      </c>
      <c r="AH124" s="127">
        <f>AF124/$H$121</f>
        <v>0</v>
      </c>
      <c r="AI124" s="127">
        <v>0</v>
      </c>
      <c r="AL124" s="122">
        <v>1</v>
      </c>
      <c r="AM124" s="101">
        <v>1</v>
      </c>
      <c r="AN124">
        <v>294</v>
      </c>
      <c r="AO124" s="107">
        <v>14</v>
      </c>
      <c r="AP124" s="101">
        <v>14</v>
      </c>
      <c r="AQ124" s="101">
        <v>13</v>
      </c>
      <c r="AR124">
        <v>0</v>
      </c>
      <c r="AS124">
        <v>0</v>
      </c>
      <c r="AT124">
        <v>0</v>
      </c>
      <c r="AU124" s="119">
        <v>9</v>
      </c>
      <c r="AV124" s="101">
        <f>($F$121-M124)/$F$121</f>
        <v>1</v>
      </c>
      <c r="AX124" s="101">
        <f>($G$121-AM124)/$G$121</f>
        <v>0.91666666666666663</v>
      </c>
      <c r="AY124" s="101">
        <f>AQ124/AP124</f>
        <v>0.9285714285714286</v>
      </c>
      <c r="AZ124" s="101">
        <v>0</v>
      </c>
      <c r="BA124" s="85">
        <f>(AV124+AX124+AY124+AZ124)/4</f>
        <v>0.71130952380952372</v>
      </c>
      <c r="BB124" s="13">
        <f>AO124/$H$121</f>
        <v>0.93333333333333335</v>
      </c>
      <c r="BC124" s="118">
        <f>AU124/AO124</f>
        <v>0.6428571428571429</v>
      </c>
      <c r="BD124" s="13">
        <f>AN124/AO124</f>
        <v>21</v>
      </c>
      <c r="BE124" s="13">
        <f>AS124/$H$121</f>
        <v>0</v>
      </c>
      <c r="BF124" s="13">
        <f>AQ124/$H$121</f>
        <v>0.8666666666666667</v>
      </c>
      <c r="BP124" t="str">
        <f t="shared" si="17"/>
        <v>5-3 &amp;  &amp; 0.848484848484849 &amp; 0.875 &amp; 0.861538461538461 &amp; 0.583333333333333 &amp; 0.7 &amp; 0.636363636363636 &amp; 0.862068965517241 &amp; 0.862068965517241 &amp; 0.862068965517241 &amp; 0 &amp; 0 &amp; 0 &amp; 0 \\ \hline</v>
      </c>
    </row>
    <row r="125" spans="1:68" ht="16">
      <c r="A125" t="s">
        <v>308</v>
      </c>
      <c r="C125" s="310"/>
      <c r="K125" s="47" t="s">
        <v>381</v>
      </c>
      <c r="L125" s="77" t="s">
        <v>493</v>
      </c>
      <c r="N125" s="81">
        <f>O125-3</f>
        <v>29</v>
      </c>
      <c r="O125" s="81">
        <f>$F$121-1</f>
        <v>32</v>
      </c>
      <c r="P125" s="129">
        <f>N125/$F$121</f>
        <v>0.87878787878787878</v>
      </c>
      <c r="Q125" s="129">
        <f>N125/O125</f>
        <v>0.90625</v>
      </c>
      <c r="R125" s="127">
        <f>2*(P125*Q125)/(P125+Q125)</f>
        <v>0.89230769230769225</v>
      </c>
      <c r="T125" s="81">
        <f>U125-2</f>
        <v>8</v>
      </c>
      <c r="U125" s="81">
        <f>$G$121-2</f>
        <v>10</v>
      </c>
      <c r="V125" s="129">
        <f>T125/$G$121</f>
        <v>0.66666666666666663</v>
      </c>
      <c r="W125" s="129">
        <f>T125/U125</f>
        <v>0.8</v>
      </c>
      <c r="X125" s="127">
        <f>2*(V125*W125)/(V125+W125)</f>
        <v>0.72727272727272718</v>
      </c>
      <c r="Z125" s="81">
        <f>AA125-4</f>
        <v>25</v>
      </c>
      <c r="AA125" s="81">
        <f>$I$121-0</f>
        <v>29</v>
      </c>
      <c r="AB125" s="129">
        <f>Z125/$I$121</f>
        <v>0.86206896551724133</v>
      </c>
      <c r="AC125" s="129">
        <f>Z125/AA125</f>
        <v>0.86206896551724133</v>
      </c>
      <c r="AD125" s="127">
        <f>2*(AB125*AC125)/(AB125+AC125)</f>
        <v>0.86206896551724133</v>
      </c>
      <c r="AF125">
        <v>0</v>
      </c>
      <c r="AG125">
        <v>0</v>
      </c>
      <c r="AH125" s="127">
        <f>AF125/$H$121</f>
        <v>0</v>
      </c>
      <c r="AI125" s="127">
        <v>0</v>
      </c>
      <c r="AL125" s="122">
        <v>1</v>
      </c>
      <c r="AM125" s="101">
        <v>1</v>
      </c>
      <c r="AN125">
        <v>314</v>
      </c>
      <c r="AO125">
        <v>18</v>
      </c>
      <c r="AP125" s="101">
        <v>18</v>
      </c>
      <c r="AQ125" s="101">
        <v>17</v>
      </c>
      <c r="AR125">
        <v>0</v>
      </c>
      <c r="AS125">
        <v>0</v>
      </c>
      <c r="AT125">
        <v>0</v>
      </c>
      <c r="AU125" s="119">
        <v>15</v>
      </c>
      <c r="AV125" s="101">
        <f>($F$121-M125)/$F$121</f>
        <v>1</v>
      </c>
      <c r="AX125" s="101">
        <f>($G$121-AM125)/$G$121</f>
        <v>0.91666666666666663</v>
      </c>
      <c r="AY125" s="101">
        <f>AQ125/AP125</f>
        <v>0.94444444444444442</v>
      </c>
      <c r="AZ125" s="101">
        <v>0</v>
      </c>
      <c r="BA125" s="85">
        <f>(AV125+AX125+AY125+AZ125)/4</f>
        <v>0.71527777777777768</v>
      </c>
      <c r="BB125" s="13">
        <f>AO125/$H$121</f>
        <v>1.2</v>
      </c>
      <c r="BC125" s="118">
        <f>AU125/AO125</f>
        <v>0.83333333333333337</v>
      </c>
      <c r="BD125" s="13">
        <f>AN125/AO125</f>
        <v>17.444444444444443</v>
      </c>
      <c r="BE125" s="13">
        <f>AS125/$H$121</f>
        <v>0</v>
      </c>
      <c r="BF125" s="13">
        <f>AQ125/$H$121</f>
        <v>1.1333333333333333</v>
      </c>
      <c r="BP125" t="str">
        <f t="shared" si="17"/>
        <v>5-3 &amp;  &amp; 0.878787878787879 &amp; 0.90625 &amp; 0.892307692307692 &amp; 0.666666666666667 &amp; 0.8 &amp; 0.727272727272727 &amp; 0.862068965517241 &amp; 0.862068965517241 &amp; 0.862068965517241 &amp; 0 &amp; 0 &amp; 0 &amp; 0 \\ \hline</v>
      </c>
    </row>
    <row r="126" spans="1:68" ht="16">
      <c r="A126" t="s">
        <v>309</v>
      </c>
      <c r="C126" s="310"/>
      <c r="K126" s="47" t="s">
        <v>382</v>
      </c>
      <c r="L126" s="77" t="s">
        <v>494</v>
      </c>
      <c r="N126" s="81">
        <f>O126-4</f>
        <v>28</v>
      </c>
      <c r="O126" s="81">
        <f>$F$121-1</f>
        <v>32</v>
      </c>
      <c r="P126" s="129">
        <f>N126/$F$121</f>
        <v>0.84848484848484851</v>
      </c>
      <c r="Q126" s="129">
        <f>N126/O126</f>
        <v>0.875</v>
      </c>
      <c r="R126" s="127">
        <f>2*(P126*Q126)/(P126+Q126)</f>
        <v>0.86153846153846148</v>
      </c>
      <c r="T126" s="81">
        <f>U126-3</f>
        <v>7</v>
      </c>
      <c r="U126" s="81">
        <f>$G$121-2</f>
        <v>10</v>
      </c>
      <c r="V126" s="129">
        <f>T126/$G$121</f>
        <v>0.58333333333333337</v>
      </c>
      <c r="W126" s="129">
        <f>T126/U126</f>
        <v>0.7</v>
      </c>
      <c r="X126" s="127">
        <f>2*(V126*W126)/(V126+W126)</f>
        <v>0.63636363636363646</v>
      </c>
      <c r="Z126" s="81">
        <f>AA126-4</f>
        <v>25</v>
      </c>
      <c r="AA126" s="81">
        <f>$I$121-0</f>
        <v>29</v>
      </c>
      <c r="AB126" s="129">
        <f>Z126/$I$121</f>
        <v>0.86206896551724133</v>
      </c>
      <c r="AC126" s="129">
        <f>Z126/AA126</f>
        <v>0.86206896551724133</v>
      </c>
      <c r="AD126" s="127">
        <f>2*(AB126*AC126)/(AB126+AC126)</f>
        <v>0.86206896551724133</v>
      </c>
      <c r="AF126">
        <v>3</v>
      </c>
      <c r="AG126">
        <v>3</v>
      </c>
      <c r="AH126" s="127">
        <f>AF126/$H$121</f>
        <v>0.2</v>
      </c>
      <c r="AI126" s="127">
        <f>AF126/AG126</f>
        <v>1</v>
      </c>
      <c r="AL126" s="122">
        <v>1</v>
      </c>
      <c r="AM126" s="101">
        <v>1</v>
      </c>
      <c r="AN126">
        <v>333</v>
      </c>
      <c r="AO126">
        <v>18</v>
      </c>
      <c r="AP126" s="101">
        <v>15</v>
      </c>
      <c r="AQ126" s="101">
        <v>14</v>
      </c>
      <c r="AR126">
        <v>3</v>
      </c>
      <c r="AS126">
        <v>3</v>
      </c>
      <c r="AT126">
        <v>0</v>
      </c>
      <c r="AU126" s="119">
        <v>12</v>
      </c>
      <c r="AV126" s="101">
        <f>($F$121-M126)/$F$121</f>
        <v>1</v>
      </c>
      <c r="AX126" s="101">
        <f>($G$121-AM126)/$G$121</f>
        <v>0.91666666666666663</v>
      </c>
      <c r="AY126" s="101">
        <f>AQ126/AP126</f>
        <v>0.93333333333333335</v>
      </c>
      <c r="AZ126" s="101">
        <f>AS126/AR126</f>
        <v>1</v>
      </c>
      <c r="BA126" s="85">
        <f>(AV126+AX126+AY126+AZ126)/4</f>
        <v>0.96249999999999991</v>
      </c>
      <c r="BB126" s="13">
        <f>AO126/$H$121</f>
        <v>1.2</v>
      </c>
      <c r="BC126" s="118">
        <f>AU126/AO126</f>
        <v>0.66666666666666663</v>
      </c>
      <c r="BD126" s="13">
        <f>AN126/AO126</f>
        <v>18.5</v>
      </c>
      <c r="BE126" s="13">
        <f>AS126/$H$121</f>
        <v>0.2</v>
      </c>
      <c r="BF126" s="13">
        <f>AQ126/$H$121</f>
        <v>0.93333333333333335</v>
      </c>
      <c r="BP126" t="str">
        <f t="shared" si="17"/>
        <v>5-3 &amp;  &amp; 0.848484848484849 &amp; 0.875 &amp; 0.861538461538461 &amp; 0.583333333333333 &amp; 0.7 &amp; 0.636363636363636 &amp; 0.862068965517241 &amp; 0.862068965517241 &amp; 0.862068965517241 &amp; 3 &amp; 3 &amp; 0.2 &amp; 1 \\ \hline</v>
      </c>
    </row>
    <row r="127" spans="1:68">
      <c r="C127" s="98"/>
      <c r="K127" s="48"/>
      <c r="L127" s="77"/>
      <c r="P127" s="129"/>
      <c r="Q127" s="129"/>
      <c r="R127" s="127"/>
      <c r="T127" s="81">
        <f>U127-0</f>
        <v>0</v>
      </c>
      <c r="V127" s="129"/>
      <c r="W127" s="129"/>
      <c r="X127" s="127"/>
      <c r="AB127" s="129"/>
      <c r="AC127" s="129"/>
      <c r="AD127" s="127"/>
      <c r="AF127"/>
      <c r="AG127"/>
      <c r="AH127" s="127"/>
      <c r="AI127" s="127"/>
      <c r="BB127" s="13"/>
      <c r="BC127" s="118"/>
      <c r="BD127" s="13"/>
      <c r="BE127" s="13"/>
      <c r="BF127" s="13"/>
    </row>
    <row r="128" spans="1:68" s="75" customFormat="1">
      <c r="A128" s="75" t="s">
        <v>325</v>
      </c>
      <c r="B128" s="94">
        <v>45179</v>
      </c>
      <c r="C128" s="93" t="s">
        <v>165</v>
      </c>
      <c r="D128" s="78">
        <f>VLOOKUP($C$128,Overview!$Q$2:$AS$64,23,FALSE)</f>
        <v>0.76840547274981619</v>
      </c>
      <c r="E128" s="78" t="str">
        <f>VLOOKUP($C$128,Overview!$Q$2:$AS$64,24,FALSE)</f>
        <v>medium</v>
      </c>
      <c r="F128" s="75">
        <f>VLOOKUP(C128,Overview!$Q$2:$AS$64,13,FALSE)</f>
        <v>36</v>
      </c>
      <c r="G128" s="75">
        <f>VLOOKUP(C128,Overview!$Q$2:$AS$64,16,FALSE)</f>
        <v>11</v>
      </c>
      <c r="H128" s="75">
        <f>VLOOKUP(C128,Overview!$Q$2:$AS$64,18,FALSE)</f>
        <v>16</v>
      </c>
      <c r="I128" s="75">
        <f>VLOOKUP($C$128,Overview!$Q$2:$AS$64,19,FALSE)</f>
        <v>32</v>
      </c>
      <c r="K128" s="96"/>
      <c r="M128" s="115"/>
      <c r="N128" s="97"/>
      <c r="O128" s="97"/>
      <c r="P128" s="130"/>
      <c r="Q128" s="130"/>
      <c r="R128" s="128"/>
      <c r="S128" s="115"/>
      <c r="T128" s="97"/>
      <c r="U128" s="97"/>
      <c r="V128" s="130"/>
      <c r="W128" s="130"/>
      <c r="X128" s="128"/>
      <c r="Y128" s="115"/>
      <c r="Z128" s="97"/>
      <c r="AA128" s="97"/>
      <c r="AB128" s="130"/>
      <c r="AC128" s="130"/>
      <c r="AD128" s="128"/>
      <c r="AE128" s="115"/>
      <c r="AH128" s="128"/>
      <c r="AI128" s="132"/>
      <c r="AJ128" s="97"/>
      <c r="AK128" s="115"/>
      <c r="AL128" s="122"/>
      <c r="AM128" s="101"/>
      <c r="AP128" s="101"/>
      <c r="AQ128" s="101"/>
      <c r="AU128" s="119"/>
      <c r="AV128" s="101"/>
      <c r="AW128" s="101"/>
      <c r="AX128" s="101"/>
      <c r="AY128" s="101"/>
      <c r="AZ128" s="101"/>
      <c r="BA128" s="83"/>
      <c r="BC128" s="101"/>
      <c r="BP128"/>
    </row>
    <row r="129" spans="1:68" ht="16">
      <c r="A129" t="s">
        <v>305</v>
      </c>
      <c r="C129" s="310"/>
      <c r="K129" s="47" t="s">
        <v>378</v>
      </c>
      <c r="L129" s="77" t="s">
        <v>465</v>
      </c>
      <c r="N129" s="163">
        <f>O129-6</f>
        <v>21</v>
      </c>
      <c r="O129" s="81">
        <f>$F$128-9</f>
        <v>27</v>
      </c>
      <c r="P129" s="129">
        <f>N129/$F$128</f>
        <v>0.58333333333333337</v>
      </c>
      <c r="Q129" s="129">
        <f>N129/O129</f>
        <v>0.77777777777777779</v>
      </c>
      <c r="R129" s="127">
        <f>2*(P129*Q129)/(P129+Q129)</f>
        <v>0.66666666666666663</v>
      </c>
      <c r="T129" s="81">
        <f>U129-4</f>
        <v>5</v>
      </c>
      <c r="U129" s="81">
        <f>$G$128-2</f>
        <v>9</v>
      </c>
      <c r="V129" s="129">
        <f>T129/$G$128</f>
        <v>0.45454545454545453</v>
      </c>
      <c r="W129" s="129">
        <f>T129/U129</f>
        <v>0.55555555555555558</v>
      </c>
      <c r="X129" s="127">
        <f>2*(V129*W129)/(V129+W129)</f>
        <v>0.5</v>
      </c>
      <c r="Z129" s="81">
        <f>AA129-8</f>
        <v>14</v>
      </c>
      <c r="AA129" s="81">
        <f>$I$128-10</f>
        <v>22</v>
      </c>
      <c r="AB129" s="129">
        <f>Z129/$I$128</f>
        <v>0.4375</v>
      </c>
      <c r="AC129" s="129">
        <f>Z129/AA129</f>
        <v>0.63636363636363635</v>
      </c>
      <c r="AD129" s="127">
        <f>2*(AB129*AC129)/(AB129+AC129)</f>
        <v>0.51851851851851849</v>
      </c>
      <c r="AF129">
        <v>2</v>
      </c>
      <c r="AG129">
        <v>2</v>
      </c>
      <c r="AH129" s="127">
        <f>AF129/$H$128</f>
        <v>0.125</v>
      </c>
      <c r="AI129" s="127">
        <f>AF129/AG129</f>
        <v>1</v>
      </c>
      <c r="AL129" s="122">
        <v>0</v>
      </c>
      <c r="AM129" s="101">
        <v>0</v>
      </c>
      <c r="AN129">
        <v>196</v>
      </c>
      <c r="AO129">
        <v>9</v>
      </c>
      <c r="AP129" s="101">
        <v>7</v>
      </c>
      <c r="AQ129" s="101">
        <v>7</v>
      </c>
      <c r="AR129">
        <v>2</v>
      </c>
      <c r="AS129">
        <v>2</v>
      </c>
      <c r="AT129">
        <v>0</v>
      </c>
      <c r="AU129" s="119">
        <v>3</v>
      </c>
      <c r="AV129" s="101">
        <f>($F$128-M129)/$F$128</f>
        <v>1</v>
      </c>
      <c r="AX129" s="101">
        <f>($G$128-AM129)/$G$128</f>
        <v>1</v>
      </c>
      <c r="AY129" s="101">
        <f>AQ129/AP129</f>
        <v>1</v>
      </c>
      <c r="AZ129" s="101">
        <f>AS129/AR129</f>
        <v>1</v>
      </c>
      <c r="BA129" s="85">
        <f>(AV129+AX129+AY129+AZ129)/4</f>
        <v>1</v>
      </c>
      <c r="BB129" s="13">
        <f>AO129/$H$128</f>
        <v>0.5625</v>
      </c>
      <c r="BC129" s="118">
        <f>AU129/AO129</f>
        <v>0.33333333333333331</v>
      </c>
      <c r="BD129" s="13">
        <f>AN129/AO129</f>
        <v>21.777777777777779</v>
      </c>
      <c r="BE129" s="13">
        <f>AS129/$H$128</f>
        <v>0.125</v>
      </c>
      <c r="BF129" s="13">
        <f>AQ129/$H$128</f>
        <v>0.4375</v>
      </c>
      <c r="BP129" t="str">
        <f>_xlfn.CONCAT($C$128," &amp; ",C129," &amp; ",P129," &amp; ",Q129," &amp; ",R129," &amp; ",V129," &amp; ",W129," &amp; ",X129," &amp; ",AB129," &amp; ",AC129," &amp; ",AD129," &amp; ",AF129," &amp; ",AG129," &amp; ",AH129," &amp; ",AI129, " \\ \hline")</f>
        <v>9-3 &amp;  &amp; 0.583333333333333 &amp; 0.777777777777778 &amp; 0.666666666666667 &amp; 0.454545454545455 &amp; 0.555555555555556 &amp; 0.5 &amp; 0.4375 &amp; 0.636363636363636 &amp; 0.518518518518518 &amp; 2 &amp; 2 &amp; 0.125 &amp; 1 \\ \hline</v>
      </c>
    </row>
    <row r="130" spans="1:68" ht="16">
      <c r="A130" t="s">
        <v>306</v>
      </c>
      <c r="C130" s="310"/>
      <c r="K130" s="47" t="s">
        <v>379</v>
      </c>
      <c r="L130" s="77" t="s">
        <v>466</v>
      </c>
      <c r="N130" s="163">
        <f>O130-7</f>
        <v>21</v>
      </c>
      <c r="O130" s="81">
        <f>$F$128-8</f>
        <v>28</v>
      </c>
      <c r="P130" s="129">
        <f>N130/$F$128</f>
        <v>0.58333333333333337</v>
      </c>
      <c r="Q130" s="129">
        <f>N130/O130</f>
        <v>0.75</v>
      </c>
      <c r="R130" s="127">
        <f>2*(P130*Q130)/(P130+Q130)</f>
        <v>0.65624999999999989</v>
      </c>
      <c r="T130" s="81">
        <f>U130-4</f>
        <v>6</v>
      </c>
      <c r="U130" s="81">
        <f>$G$128-1</f>
        <v>10</v>
      </c>
      <c r="V130" s="129">
        <f>T130/$G$128</f>
        <v>0.54545454545454541</v>
      </c>
      <c r="W130" s="129">
        <f>T130/U130</f>
        <v>0.6</v>
      </c>
      <c r="X130" s="127">
        <f>2*(V130*W130)/(V130+W130)</f>
        <v>0.57142857142857129</v>
      </c>
      <c r="Z130" s="81">
        <f>AA130-8</f>
        <v>16</v>
      </c>
      <c r="AA130" s="81">
        <f>$I$128-8</f>
        <v>24</v>
      </c>
      <c r="AB130" s="129">
        <f>Z130/$I$128</f>
        <v>0.5</v>
      </c>
      <c r="AC130" s="129">
        <f>Z130/AA130</f>
        <v>0.66666666666666663</v>
      </c>
      <c r="AD130" s="127">
        <f>2*(AB130*AC130)/(AB130+AC130)</f>
        <v>0.57142857142857151</v>
      </c>
      <c r="AF130">
        <v>4</v>
      </c>
      <c r="AG130">
        <v>5</v>
      </c>
      <c r="AH130" s="127">
        <f>AF130/$H$128</f>
        <v>0.25</v>
      </c>
      <c r="AI130" s="127">
        <f>AF130/AG130</f>
        <v>0.8</v>
      </c>
      <c r="AL130" s="122">
        <v>0</v>
      </c>
      <c r="AM130" s="101">
        <v>0</v>
      </c>
      <c r="AN130">
        <v>266</v>
      </c>
      <c r="AO130">
        <v>13</v>
      </c>
      <c r="AP130" s="101">
        <v>8</v>
      </c>
      <c r="AQ130" s="101">
        <v>8</v>
      </c>
      <c r="AR130">
        <v>5</v>
      </c>
      <c r="AS130">
        <v>4</v>
      </c>
      <c r="AT130">
        <v>0</v>
      </c>
      <c r="AU130" s="119">
        <v>8</v>
      </c>
      <c r="AV130" s="101">
        <f>($F$128-M130)/$F$128</f>
        <v>1</v>
      </c>
      <c r="AX130" s="101">
        <f>($G$128-AM130)/$G$128</f>
        <v>1</v>
      </c>
      <c r="AY130" s="101">
        <f>AQ130/AP130</f>
        <v>1</v>
      </c>
      <c r="AZ130" s="101">
        <f>AS130/AR130</f>
        <v>0.8</v>
      </c>
      <c r="BA130" s="85">
        <f>(AV130+AX130+AY130+AZ130)/4</f>
        <v>0.95</v>
      </c>
      <c r="BB130" s="13">
        <f>AO130/$H$128</f>
        <v>0.8125</v>
      </c>
      <c r="BC130" s="118">
        <f>AU130/AO130</f>
        <v>0.61538461538461542</v>
      </c>
      <c r="BD130" s="13">
        <f>AN130/AO130</f>
        <v>20.46153846153846</v>
      </c>
      <c r="BE130" s="13">
        <f>AS130/$H$128</f>
        <v>0.25</v>
      </c>
      <c r="BF130" s="13">
        <f>AQ130/$H$128</f>
        <v>0.5</v>
      </c>
      <c r="BP130" t="str">
        <f t="shared" ref="BP130:BP133" si="18">_xlfn.CONCAT($C$128," &amp; ",C130," &amp; ",P130," &amp; ",Q130," &amp; ",R130," &amp; ",V130," &amp; ",W130," &amp; ",X130," &amp; ",AB130," &amp; ",AC130," &amp; ",AD130," &amp; ",AF130," &amp; ",AG130," &amp; ",AH130," &amp; ",AI130, " \\ \hline")</f>
        <v>9-3 &amp;  &amp; 0.583333333333333 &amp; 0.75 &amp; 0.65625 &amp; 0.545454545454545 &amp; 0.6 &amp; 0.571428571428571 &amp; 0.5 &amp; 0.666666666666667 &amp; 0.571428571428572 &amp; 4 &amp; 5 &amp; 0.25 &amp; 0.8 \\ \hline</v>
      </c>
    </row>
    <row r="131" spans="1:68" ht="16">
      <c r="A131" t="s">
        <v>307</v>
      </c>
      <c r="C131" s="310"/>
      <c r="K131" s="47" t="s">
        <v>380</v>
      </c>
      <c r="L131" s="77" t="s">
        <v>467</v>
      </c>
      <c r="N131" s="163">
        <f>O131-6</f>
        <v>22</v>
      </c>
      <c r="O131" s="81">
        <f>$F$128-8</f>
        <v>28</v>
      </c>
      <c r="P131" s="129">
        <f>N131/$F$128</f>
        <v>0.61111111111111116</v>
      </c>
      <c r="Q131" s="129">
        <f>N131/O131</f>
        <v>0.7857142857142857</v>
      </c>
      <c r="R131" s="127">
        <f>2*(P131*Q131)/(P131+Q131)</f>
        <v>0.68750000000000011</v>
      </c>
      <c r="T131" s="81">
        <f>U131-3</f>
        <v>6</v>
      </c>
      <c r="U131" s="81">
        <f>$G$128-2</f>
        <v>9</v>
      </c>
      <c r="V131" s="129">
        <f>T131/$G$128</f>
        <v>0.54545454545454541</v>
      </c>
      <c r="W131" s="129">
        <f>T131/U131</f>
        <v>0.66666666666666663</v>
      </c>
      <c r="X131" s="127">
        <f>2*(V131*W131)/(V131+W131)</f>
        <v>0.6</v>
      </c>
      <c r="Z131" s="81">
        <f>AA131-6</f>
        <v>18</v>
      </c>
      <c r="AA131" s="81">
        <f>$I$128-8</f>
        <v>24</v>
      </c>
      <c r="AB131" s="129">
        <f>Z131/$I$128</f>
        <v>0.5625</v>
      </c>
      <c r="AC131" s="129">
        <f>Z131/AA131</f>
        <v>0.75</v>
      </c>
      <c r="AD131" s="127">
        <f>2*(AB131*AC131)/(AB131+AC131)</f>
        <v>0.6428571428571429</v>
      </c>
      <c r="AF131">
        <v>4</v>
      </c>
      <c r="AG131">
        <v>4</v>
      </c>
      <c r="AH131" s="127">
        <f>AF131/$H$128</f>
        <v>0.25</v>
      </c>
      <c r="AI131" s="127">
        <f>AF131/AG131</f>
        <v>1</v>
      </c>
      <c r="AL131" s="122">
        <v>1</v>
      </c>
      <c r="AM131" s="101">
        <v>1</v>
      </c>
      <c r="AN131">
        <v>291</v>
      </c>
      <c r="AO131">
        <v>16</v>
      </c>
      <c r="AP131" s="101">
        <v>12</v>
      </c>
      <c r="AQ131" s="101">
        <v>12</v>
      </c>
      <c r="AR131">
        <v>3</v>
      </c>
      <c r="AS131">
        <v>3</v>
      </c>
      <c r="AT131">
        <v>1</v>
      </c>
      <c r="AU131" s="119">
        <v>6</v>
      </c>
      <c r="AV131" s="101">
        <f>($F$128-M131)/$F$128</f>
        <v>1</v>
      </c>
      <c r="AX131" s="101">
        <f>($G$128-AM131)/$G$128</f>
        <v>0.90909090909090906</v>
      </c>
      <c r="AY131" s="101">
        <f>AQ131/AP131</f>
        <v>1</v>
      </c>
      <c r="AZ131" s="101">
        <f>AS131/AR131</f>
        <v>1</v>
      </c>
      <c r="BA131" s="85">
        <f>(AV131+AX131+AY131+AZ131)/4</f>
        <v>0.97727272727272729</v>
      </c>
      <c r="BB131" s="13">
        <f>AO131/$H$128</f>
        <v>1</v>
      </c>
      <c r="BC131" s="118">
        <f>AU131/AO131</f>
        <v>0.375</v>
      </c>
      <c r="BD131" s="13">
        <f>AN131/AO131</f>
        <v>18.1875</v>
      </c>
      <c r="BE131" s="13">
        <f>AS131/$H$128</f>
        <v>0.1875</v>
      </c>
      <c r="BF131" s="13">
        <f>AQ131/$H$128</f>
        <v>0.75</v>
      </c>
      <c r="BP131" t="str">
        <f t="shared" si="18"/>
        <v>9-3 &amp;  &amp; 0.611111111111111 &amp; 0.785714285714286 &amp; 0.6875 &amp; 0.545454545454545 &amp; 0.666666666666667 &amp; 0.6 &amp; 0.5625 &amp; 0.75 &amp; 0.642857142857143 &amp; 4 &amp; 4 &amp; 0.25 &amp; 1 \\ \hline</v>
      </c>
    </row>
    <row r="132" spans="1:68" ht="16">
      <c r="A132" t="s">
        <v>308</v>
      </c>
      <c r="C132" s="310"/>
      <c r="K132" s="47" t="s">
        <v>381</v>
      </c>
      <c r="L132" s="77" t="s">
        <v>468</v>
      </c>
      <c r="N132" s="163">
        <f>O132-6</f>
        <v>25</v>
      </c>
      <c r="O132" s="81">
        <f>$F$128-5</f>
        <v>31</v>
      </c>
      <c r="P132" s="129">
        <f>N132/$F$128</f>
        <v>0.69444444444444442</v>
      </c>
      <c r="Q132" s="129">
        <f>N132/O132</f>
        <v>0.80645161290322576</v>
      </c>
      <c r="R132" s="127">
        <f>2*(P132*Q132)/(P132+Q132)</f>
        <v>0.74626865671641796</v>
      </c>
      <c r="T132" s="81">
        <f>U132-3</f>
        <v>7</v>
      </c>
      <c r="U132" s="81">
        <f>$G$128-1</f>
        <v>10</v>
      </c>
      <c r="V132" s="129">
        <f>T132/$G$128</f>
        <v>0.63636363636363635</v>
      </c>
      <c r="W132" s="129">
        <f>T132/U132</f>
        <v>0.7</v>
      </c>
      <c r="X132" s="127">
        <f>2*(V132*W132)/(V132+W132)</f>
        <v>0.66666666666666663</v>
      </c>
      <c r="Z132" s="81">
        <f>AA132-2</f>
        <v>25</v>
      </c>
      <c r="AA132" s="81">
        <f>$I$128-5</f>
        <v>27</v>
      </c>
      <c r="AB132" s="129">
        <f>Z132/$I$128</f>
        <v>0.78125</v>
      </c>
      <c r="AC132" s="129">
        <f>Z132/AA132</f>
        <v>0.92592592592592593</v>
      </c>
      <c r="AD132" s="127">
        <f>2*(AB132*AC132)/(AB132+AC132)</f>
        <v>0.84745762711864403</v>
      </c>
      <c r="AF132">
        <v>1</v>
      </c>
      <c r="AG132">
        <v>1</v>
      </c>
      <c r="AH132" s="127">
        <f>AF132/$H$128</f>
        <v>6.25E-2</v>
      </c>
      <c r="AI132" s="127">
        <f>AF132/AG132</f>
        <v>1</v>
      </c>
      <c r="AL132" s="122">
        <v>0</v>
      </c>
      <c r="AM132" s="101">
        <v>0</v>
      </c>
      <c r="AN132">
        <v>340</v>
      </c>
      <c r="AO132">
        <v>14</v>
      </c>
      <c r="AP132" s="101">
        <v>13</v>
      </c>
      <c r="AQ132" s="101">
        <v>13</v>
      </c>
      <c r="AR132">
        <v>1</v>
      </c>
      <c r="AS132">
        <v>1</v>
      </c>
      <c r="AT132">
        <v>0</v>
      </c>
      <c r="AU132" s="119">
        <v>7</v>
      </c>
      <c r="AV132" s="101">
        <f>($F$128-M132)/$F$128</f>
        <v>1</v>
      </c>
      <c r="AX132" s="101">
        <f>($G$128-AM132)/$G$128</f>
        <v>1</v>
      </c>
      <c r="AY132" s="101">
        <f>AQ132/AP132</f>
        <v>1</v>
      </c>
      <c r="AZ132" s="101">
        <f>AS132/AR132</f>
        <v>1</v>
      </c>
      <c r="BA132" s="85">
        <f>(AV132+AX132+AY132+AZ132)/4</f>
        <v>1</v>
      </c>
      <c r="BB132" s="13">
        <f>AO132/$H$128</f>
        <v>0.875</v>
      </c>
      <c r="BC132" s="118">
        <f>AU132/AO132</f>
        <v>0.5</v>
      </c>
      <c r="BD132" s="13">
        <f>AN132/AO132</f>
        <v>24.285714285714285</v>
      </c>
      <c r="BE132" s="13">
        <f>AS132/$H$128</f>
        <v>6.25E-2</v>
      </c>
      <c r="BF132" s="13">
        <f>AQ132/$H$128</f>
        <v>0.8125</v>
      </c>
      <c r="BP132" t="str">
        <f t="shared" si="18"/>
        <v>9-3 &amp;  &amp; 0.694444444444444 &amp; 0.806451612903226 &amp; 0.746268656716418 &amp; 0.636363636363636 &amp; 0.7 &amp; 0.666666666666667 &amp; 0.78125 &amp; 0.925925925925926 &amp; 0.847457627118644 &amp; 1 &amp; 1 &amp; 0.0625 &amp; 1 \\ \hline</v>
      </c>
    </row>
    <row r="133" spans="1:68" ht="16">
      <c r="A133" t="s">
        <v>309</v>
      </c>
      <c r="C133" s="310"/>
      <c r="K133" s="47" t="s">
        <v>382</v>
      </c>
      <c r="L133" s="77" t="s">
        <v>469</v>
      </c>
      <c r="N133" s="163">
        <f>O133-6</f>
        <v>28</v>
      </c>
      <c r="O133" s="81">
        <f>$F$128-2</f>
        <v>34</v>
      </c>
      <c r="P133" s="129">
        <f>N133/$F$128</f>
        <v>0.77777777777777779</v>
      </c>
      <c r="Q133" s="129">
        <f>N133/O133</f>
        <v>0.82352941176470584</v>
      </c>
      <c r="R133" s="127">
        <f>2*(P133*Q133)/(P133+Q133)</f>
        <v>0.79999999999999993</v>
      </c>
      <c r="T133" s="81">
        <f>U133-3</f>
        <v>8</v>
      </c>
      <c r="U133" s="81">
        <f>$G$128-0</f>
        <v>11</v>
      </c>
      <c r="V133" s="129">
        <f>T133/$G$128</f>
        <v>0.72727272727272729</v>
      </c>
      <c r="W133" s="129">
        <f>T133/U133</f>
        <v>0.72727272727272729</v>
      </c>
      <c r="X133" s="127">
        <f>2*(V133*W133)/(V133+W133)</f>
        <v>0.72727272727272729</v>
      </c>
      <c r="Z133" s="81">
        <f>AA133-1</f>
        <v>29</v>
      </c>
      <c r="AA133" s="81">
        <f>$I$128-2</f>
        <v>30</v>
      </c>
      <c r="AB133" s="129">
        <f>Z133/$I$128</f>
        <v>0.90625</v>
      </c>
      <c r="AC133" s="129">
        <f>Z133/AA133</f>
        <v>0.96666666666666667</v>
      </c>
      <c r="AD133" s="127">
        <f>2*(AB133*AC133)/(AB133+AC133)</f>
        <v>0.93548387096774188</v>
      </c>
      <c r="AF133">
        <v>1</v>
      </c>
      <c r="AG133">
        <v>1</v>
      </c>
      <c r="AH133" s="127">
        <f>AF133/$H$128</f>
        <v>6.25E-2</v>
      </c>
      <c r="AI133" s="127">
        <f>AF133/AG133</f>
        <v>1</v>
      </c>
      <c r="AL133" s="122">
        <v>0</v>
      </c>
      <c r="AM133" s="101">
        <v>0</v>
      </c>
      <c r="AN133">
        <v>452</v>
      </c>
      <c r="AO133">
        <v>14</v>
      </c>
      <c r="AP133" s="101">
        <v>13</v>
      </c>
      <c r="AQ133" s="101">
        <v>13</v>
      </c>
      <c r="AR133">
        <v>1</v>
      </c>
      <c r="AS133">
        <v>1</v>
      </c>
      <c r="AT133">
        <v>0</v>
      </c>
      <c r="AU133" s="119">
        <v>13</v>
      </c>
      <c r="AV133" s="101">
        <f>($F$128-M133)/$F$128</f>
        <v>1</v>
      </c>
      <c r="AX133" s="101">
        <f>($G$128-AM133)/$G$128</f>
        <v>1</v>
      </c>
      <c r="AY133" s="101">
        <f>AQ133/AP133</f>
        <v>1</v>
      </c>
      <c r="AZ133" s="101">
        <f>AS133/AR133</f>
        <v>1</v>
      </c>
      <c r="BA133" s="85">
        <f>(AV133+AX133+AY133+AZ133)/4</f>
        <v>1</v>
      </c>
      <c r="BB133" s="13">
        <f>AO133/$H$128</f>
        <v>0.875</v>
      </c>
      <c r="BC133" s="118">
        <f>AU133/AO133</f>
        <v>0.9285714285714286</v>
      </c>
      <c r="BD133" s="13">
        <f>AN133/AO133</f>
        <v>32.285714285714285</v>
      </c>
      <c r="BE133" s="13">
        <f>AS133/$H$128</f>
        <v>6.25E-2</v>
      </c>
      <c r="BF133" s="13">
        <f>AQ133/$H$128</f>
        <v>0.8125</v>
      </c>
      <c r="BP133" t="str">
        <f t="shared" si="18"/>
        <v>9-3 &amp;  &amp; 0.777777777777778 &amp; 0.823529411764706 &amp; 0.8 &amp; 0.727272727272727 &amp; 0.727272727272727 &amp; 0.727272727272727 &amp; 0.90625 &amp; 0.966666666666667 &amp; 0.935483870967742 &amp; 1 &amp; 1 &amp; 0.0625 &amp; 1 \\ \hline</v>
      </c>
    </row>
    <row r="134" spans="1:68">
      <c r="P134" s="129"/>
      <c r="Q134" s="129"/>
      <c r="R134" s="127"/>
      <c r="V134" s="129"/>
      <c r="W134" s="129"/>
      <c r="X134" s="127"/>
      <c r="AB134" s="129"/>
      <c r="AC134" s="129"/>
      <c r="AD134" s="127"/>
      <c r="AF134"/>
      <c r="AG134"/>
      <c r="AH134" s="127"/>
      <c r="AI134" s="131"/>
    </row>
    <row r="135" spans="1:68" s="75" customFormat="1">
      <c r="A135" s="75" t="s">
        <v>331</v>
      </c>
      <c r="B135" s="94">
        <v>45179</v>
      </c>
      <c r="C135" s="93" t="s">
        <v>136</v>
      </c>
      <c r="D135" s="78">
        <f>VLOOKUP($C$135,Overview!$Q$2:$AS$64,23,FALSE)</f>
        <v>0.95238369736820083</v>
      </c>
      <c r="E135" s="78" t="str">
        <f>VLOOKUP($C$135,Overview!$Q$2:$AS$64,24,FALSE)</f>
        <v>medium</v>
      </c>
      <c r="F135" s="75">
        <f>VLOOKUP(C135,Overview!$Q$2:$AS$64,13,FALSE)</f>
        <v>42</v>
      </c>
      <c r="G135" s="75">
        <f>VLOOKUP(C135,Overview!$Q$2:$AS$64,16,FALSE)</f>
        <v>8</v>
      </c>
      <c r="H135" s="75">
        <f>VLOOKUP(C135,Overview!$Q$2:$AS$64,18,FALSE)</f>
        <v>18</v>
      </c>
      <c r="I135" s="75">
        <f>VLOOKUP($C$135,Overview!$Q$2:$AS$64,19,FALSE)</f>
        <v>38</v>
      </c>
      <c r="K135" s="96"/>
      <c r="M135" s="115"/>
      <c r="N135" s="97"/>
      <c r="O135" s="97"/>
      <c r="P135" s="130"/>
      <c r="Q135" s="130"/>
      <c r="R135" s="128"/>
      <c r="S135" s="115"/>
      <c r="T135" s="97"/>
      <c r="U135" s="97"/>
      <c r="V135" s="130"/>
      <c r="W135" s="130"/>
      <c r="X135" s="128"/>
      <c r="Y135" s="115"/>
      <c r="Z135" s="97"/>
      <c r="AA135" s="97"/>
      <c r="AB135" s="130"/>
      <c r="AC135" s="130"/>
      <c r="AD135" s="128"/>
      <c r="AE135" s="115"/>
      <c r="AH135" s="128"/>
      <c r="AI135" s="132"/>
      <c r="AJ135" s="97"/>
      <c r="AK135" s="115"/>
      <c r="AL135" s="122"/>
      <c r="AM135" s="101"/>
      <c r="AP135" s="101"/>
      <c r="AQ135" s="101"/>
      <c r="AU135" s="119"/>
      <c r="AV135" s="101"/>
      <c r="AW135" s="101"/>
      <c r="AX135" s="101"/>
      <c r="AY135" s="101"/>
      <c r="AZ135" s="101"/>
      <c r="BA135" s="83"/>
      <c r="BC135" s="101"/>
      <c r="BP135"/>
    </row>
    <row r="136" spans="1:68" ht="16">
      <c r="A136" t="s">
        <v>305</v>
      </c>
      <c r="C136" s="310"/>
      <c r="K136" s="47" t="s">
        <v>378</v>
      </c>
      <c r="L136" s="77" t="s">
        <v>495</v>
      </c>
      <c r="N136" s="81">
        <f>O136-1</f>
        <v>28</v>
      </c>
      <c r="O136" s="81">
        <f>$F$135-13</f>
        <v>29</v>
      </c>
      <c r="P136" s="129">
        <f>N136/$F$135</f>
        <v>0.66666666666666663</v>
      </c>
      <c r="Q136" s="129">
        <f>N136/O136</f>
        <v>0.96551724137931039</v>
      </c>
      <c r="R136" s="127">
        <f>2*(P136*Q136)/(P136+Q136)</f>
        <v>0.78873239436619713</v>
      </c>
      <c r="T136" s="81">
        <f>U136-1</f>
        <v>4</v>
      </c>
      <c r="U136" s="81">
        <f>$G$135-3</f>
        <v>5</v>
      </c>
      <c r="V136" s="129">
        <f>T136/$G$135</f>
        <v>0.5</v>
      </c>
      <c r="W136" s="129">
        <f>T136/U136</f>
        <v>0.8</v>
      </c>
      <c r="X136" s="127">
        <f>2*(V136*W136)/(V136+W136)</f>
        <v>0.61538461538461542</v>
      </c>
      <c r="Z136" s="81">
        <f>AA136-9</f>
        <v>17</v>
      </c>
      <c r="AA136" s="81">
        <f>$I$135-12</f>
        <v>26</v>
      </c>
      <c r="AB136" s="129">
        <f>Z136/$I$135</f>
        <v>0.44736842105263158</v>
      </c>
      <c r="AC136" s="129">
        <f>Z136/AA136</f>
        <v>0.65384615384615385</v>
      </c>
      <c r="AD136" s="127">
        <f>2*(AB136*AC136)/(AB136+AC136)</f>
        <v>0.53125</v>
      </c>
      <c r="AF136">
        <v>0</v>
      </c>
      <c r="AG136">
        <v>0</v>
      </c>
      <c r="AH136" s="127">
        <f>AF136/$H$135</f>
        <v>0</v>
      </c>
      <c r="AI136" s="127">
        <v>0</v>
      </c>
      <c r="AL136" s="122">
        <v>6</v>
      </c>
      <c r="AM136" s="101">
        <v>3</v>
      </c>
      <c r="AN136">
        <v>159</v>
      </c>
      <c r="AO136">
        <v>11</v>
      </c>
      <c r="AP136" s="101">
        <v>11</v>
      </c>
      <c r="AQ136" s="101">
        <v>6</v>
      </c>
      <c r="AR136">
        <v>0</v>
      </c>
      <c r="AS136">
        <v>0</v>
      </c>
      <c r="AT136">
        <v>0</v>
      </c>
      <c r="AU136" s="119">
        <v>7</v>
      </c>
      <c r="AV136" s="101">
        <f>($F$135-M136)/$F$135</f>
        <v>1</v>
      </c>
      <c r="AX136" s="101">
        <f>($G$135-AM136)/$G$135</f>
        <v>0.625</v>
      </c>
      <c r="AY136" s="101">
        <f>AQ136/AP136</f>
        <v>0.54545454545454541</v>
      </c>
      <c r="AZ136" s="101">
        <v>0</v>
      </c>
      <c r="BA136" s="85">
        <f>(AV136+AX136+AY136+AZ136)/4</f>
        <v>0.54261363636363635</v>
      </c>
      <c r="BB136" s="13">
        <f>AO136/$H$135</f>
        <v>0.61111111111111116</v>
      </c>
      <c r="BC136" s="118">
        <f>AU136/AO136</f>
        <v>0.63636363636363635</v>
      </c>
      <c r="BD136" s="13">
        <f>AN136/AO136</f>
        <v>14.454545454545455</v>
      </c>
      <c r="BE136" s="13">
        <f>AS136/$H$135</f>
        <v>0</v>
      </c>
      <c r="BF136" s="13">
        <f>AQ136/$H$135</f>
        <v>0.33333333333333331</v>
      </c>
      <c r="BP136" t="str">
        <f>_xlfn.CONCAT($C$135," &amp; ",C136," &amp; ",P136," &amp; ",Q136," &amp; ",R136," &amp; ",V136," &amp; ",W136," &amp; ",X136," &amp; ",AB136," &amp; ",AC136," &amp; ",AD136," &amp; ",AF136," &amp; ",AG136," &amp; ",AH136," &amp; ",AI136, " \\ \hline")</f>
        <v>1-1 &amp;  &amp; 0.666666666666667 &amp; 0.96551724137931 &amp; 0.788732394366197 &amp; 0.5 &amp; 0.8 &amp; 0.615384615384615 &amp; 0.447368421052632 &amp; 0.653846153846154 &amp; 0.53125 &amp; 0 &amp; 0 &amp; 0 &amp; 0 \\ \hline</v>
      </c>
    </row>
    <row r="137" spans="1:68" ht="16">
      <c r="A137" t="s">
        <v>306</v>
      </c>
      <c r="C137" s="310"/>
      <c r="K137" s="47" t="s">
        <v>379</v>
      </c>
      <c r="L137" s="77" t="s">
        <v>496</v>
      </c>
      <c r="N137" s="81">
        <f>O137-3</f>
        <v>28</v>
      </c>
      <c r="O137" s="81">
        <f>$F$135-11</f>
        <v>31</v>
      </c>
      <c r="P137" s="129">
        <f>N137/$F$135</f>
        <v>0.66666666666666663</v>
      </c>
      <c r="Q137" s="129">
        <f>N137/O137</f>
        <v>0.90322580645161288</v>
      </c>
      <c r="R137" s="127">
        <f>2*(P137*Q137)/(P137+Q137)</f>
        <v>0.76712328767123283</v>
      </c>
      <c r="T137" s="81">
        <f>U137-2</f>
        <v>4</v>
      </c>
      <c r="U137" s="81">
        <f>$G$135-2</f>
        <v>6</v>
      </c>
      <c r="V137" s="129">
        <f>T137/$G$135</f>
        <v>0.5</v>
      </c>
      <c r="W137" s="129">
        <f>T137/U137</f>
        <v>0.66666666666666663</v>
      </c>
      <c r="X137" s="127">
        <f>2*(V137*W137)/(V137+W137)</f>
        <v>0.57142857142857151</v>
      </c>
      <c r="Z137" s="81">
        <f>AA137-8</f>
        <v>20</v>
      </c>
      <c r="AA137" s="81">
        <f>$I$135-10</f>
        <v>28</v>
      </c>
      <c r="AB137" s="129">
        <f>Z137/$I$135</f>
        <v>0.52631578947368418</v>
      </c>
      <c r="AC137" s="129">
        <f>Z137/AA137</f>
        <v>0.7142857142857143</v>
      </c>
      <c r="AD137" s="127">
        <f>2*(AB137*AC137)/(AB137+AC137)</f>
        <v>0.60606060606060608</v>
      </c>
      <c r="AF137">
        <v>2</v>
      </c>
      <c r="AG137">
        <v>2</v>
      </c>
      <c r="AH137" s="127">
        <f>AF137/$H$135</f>
        <v>0.1111111111111111</v>
      </c>
      <c r="AI137" s="127">
        <f>AF137/AG137</f>
        <v>1</v>
      </c>
      <c r="AL137" s="122">
        <v>6</v>
      </c>
      <c r="AM137" s="101">
        <v>3</v>
      </c>
      <c r="AN137">
        <v>224</v>
      </c>
      <c r="AO137">
        <v>15</v>
      </c>
      <c r="AP137" s="101">
        <v>13</v>
      </c>
      <c r="AQ137" s="101">
        <v>8</v>
      </c>
      <c r="AR137">
        <v>2</v>
      </c>
      <c r="AS137">
        <v>2</v>
      </c>
      <c r="AT137">
        <v>0</v>
      </c>
      <c r="AU137" s="119">
        <v>9</v>
      </c>
      <c r="AV137" s="101">
        <f>($F$135-M137)/$F$135</f>
        <v>1</v>
      </c>
      <c r="AX137" s="101">
        <f>($G$135-AM137)/$G$135</f>
        <v>0.625</v>
      </c>
      <c r="AY137" s="101">
        <f>AQ137/AP137</f>
        <v>0.61538461538461542</v>
      </c>
      <c r="AZ137" s="101">
        <f>AS137/AR137</f>
        <v>1</v>
      </c>
      <c r="BA137" s="85">
        <f>(AV137+AX137+AY137+AZ137)/4</f>
        <v>0.81009615384615385</v>
      </c>
      <c r="BB137" s="13">
        <f>AO137/$H$135</f>
        <v>0.83333333333333337</v>
      </c>
      <c r="BC137" s="118">
        <f>AU137/AO137</f>
        <v>0.6</v>
      </c>
      <c r="BD137" s="13">
        <f>AN137/AO137</f>
        <v>14.933333333333334</v>
      </c>
      <c r="BE137" s="13">
        <f>AS137/$H$135</f>
        <v>0.1111111111111111</v>
      </c>
      <c r="BF137" s="13">
        <f>AQ137/$H$135</f>
        <v>0.44444444444444442</v>
      </c>
      <c r="BP137" t="str">
        <f t="shared" ref="BP137:BP140" si="19">_xlfn.CONCAT($C$135," &amp; ",C137," &amp; ",P137," &amp; ",Q137," &amp; ",R137," &amp; ",V137," &amp; ",W137," &amp; ",X137," &amp; ",AB137," &amp; ",AC137," &amp; ",AD137," &amp; ",AF137," &amp; ",AG137," &amp; ",AH137," &amp; ",AI137, " \\ \hline")</f>
        <v>1-1 &amp;  &amp; 0.666666666666667 &amp; 0.903225806451613 &amp; 0.767123287671233 &amp; 0.5 &amp; 0.666666666666667 &amp; 0.571428571428572 &amp; 0.526315789473684 &amp; 0.714285714285714 &amp; 0.606060606060606 &amp; 2 &amp; 2 &amp; 0.111111111111111 &amp; 1 \\ \hline</v>
      </c>
    </row>
    <row r="138" spans="1:68" ht="16">
      <c r="A138" t="s">
        <v>307</v>
      </c>
      <c r="C138" s="310"/>
      <c r="K138" s="47" t="s">
        <v>380</v>
      </c>
      <c r="L138" s="77" t="s">
        <v>497</v>
      </c>
      <c r="N138" s="81">
        <f>O138-4</f>
        <v>30</v>
      </c>
      <c r="O138" s="81">
        <f>$F$135-8</f>
        <v>34</v>
      </c>
      <c r="P138" s="129">
        <f>N138/$F$135</f>
        <v>0.7142857142857143</v>
      </c>
      <c r="Q138" s="129">
        <f>N138/O138</f>
        <v>0.88235294117647056</v>
      </c>
      <c r="R138" s="127">
        <f>2*(P138*Q138)/(P138+Q138)</f>
        <v>0.78947368421052622</v>
      </c>
      <c r="T138" s="81">
        <f>U138-2</f>
        <v>4</v>
      </c>
      <c r="U138" s="81">
        <f>$G$135-2</f>
        <v>6</v>
      </c>
      <c r="V138" s="129">
        <f>T138/$G$135</f>
        <v>0.5</v>
      </c>
      <c r="W138" s="129">
        <f>T138/U138</f>
        <v>0.66666666666666663</v>
      </c>
      <c r="X138" s="127">
        <f>2*(V138*W138)/(V138+W138)</f>
        <v>0.57142857142857151</v>
      </c>
      <c r="Z138" s="81">
        <f>AA138-8</f>
        <v>23</v>
      </c>
      <c r="AA138" s="81">
        <f>$I$135-7</f>
        <v>31</v>
      </c>
      <c r="AB138" s="129">
        <f>Z138/$I$135</f>
        <v>0.60526315789473684</v>
      </c>
      <c r="AC138" s="129">
        <f>Z138/AA138</f>
        <v>0.74193548387096775</v>
      </c>
      <c r="AD138" s="127">
        <f>2*(AB138*AC138)/(AB138+AC138)</f>
        <v>0.66666666666666663</v>
      </c>
      <c r="AF138">
        <v>0</v>
      </c>
      <c r="AG138">
        <v>0</v>
      </c>
      <c r="AH138" s="127">
        <f>AF138/$H$135</f>
        <v>0</v>
      </c>
      <c r="AI138" s="127">
        <v>0</v>
      </c>
      <c r="AL138" s="122">
        <v>0</v>
      </c>
      <c r="AM138" s="101">
        <v>0</v>
      </c>
      <c r="AN138">
        <v>312</v>
      </c>
      <c r="AO138">
        <v>15</v>
      </c>
      <c r="AP138" s="101">
        <v>15</v>
      </c>
      <c r="AQ138" s="101">
        <v>14</v>
      </c>
      <c r="AR138">
        <v>0</v>
      </c>
      <c r="AS138">
        <v>0</v>
      </c>
      <c r="AT138">
        <v>0</v>
      </c>
      <c r="AU138" s="119">
        <v>12</v>
      </c>
      <c r="AV138" s="101">
        <f>($F$135-M138)/$F$135</f>
        <v>1</v>
      </c>
      <c r="AX138" s="101">
        <f>($G$135-AM138)/$G$135</f>
        <v>1</v>
      </c>
      <c r="AY138" s="101">
        <f>AQ138/AP138</f>
        <v>0.93333333333333335</v>
      </c>
      <c r="AZ138" s="101">
        <v>0</v>
      </c>
      <c r="BA138" s="85">
        <f>(AV138+AX138+AY138+AZ138)/4</f>
        <v>0.73333333333333339</v>
      </c>
      <c r="BB138" s="13">
        <f>AO138/$H$135</f>
        <v>0.83333333333333337</v>
      </c>
      <c r="BC138" s="118">
        <f>AU138/AO138</f>
        <v>0.8</v>
      </c>
      <c r="BD138" s="13">
        <f>AN138/AO138</f>
        <v>20.8</v>
      </c>
      <c r="BE138" s="13">
        <f>AS138/$H$135</f>
        <v>0</v>
      </c>
      <c r="BF138" s="13">
        <f>AQ138/$H$135</f>
        <v>0.77777777777777779</v>
      </c>
      <c r="BP138" t="str">
        <f t="shared" si="19"/>
        <v>1-1 &amp;  &amp; 0.714285714285714 &amp; 0.882352941176471 &amp; 0.789473684210526 &amp; 0.5 &amp; 0.666666666666667 &amp; 0.571428571428572 &amp; 0.605263157894737 &amp; 0.741935483870968 &amp; 0.666666666666667 &amp; 0 &amp; 0 &amp; 0 &amp; 0 \\ \hline</v>
      </c>
    </row>
    <row r="139" spans="1:68" ht="16">
      <c r="A139" t="s">
        <v>308</v>
      </c>
      <c r="C139" s="310"/>
      <c r="K139" s="47" t="s">
        <v>381</v>
      </c>
      <c r="L139" s="77" t="s">
        <v>498</v>
      </c>
      <c r="N139" s="81">
        <f>O139-5</f>
        <v>33</v>
      </c>
      <c r="O139" s="81">
        <f>$F$135-4</f>
        <v>38</v>
      </c>
      <c r="P139" s="129">
        <f>N139/$F$135</f>
        <v>0.7857142857142857</v>
      </c>
      <c r="Q139" s="129">
        <f>N139/O139</f>
        <v>0.86842105263157898</v>
      </c>
      <c r="R139" s="127">
        <f>2*(P139*Q139)/(P139+Q139)</f>
        <v>0.82499999999999996</v>
      </c>
      <c r="T139" s="81">
        <f>U139-2</f>
        <v>5</v>
      </c>
      <c r="U139" s="81">
        <f>$G$135-1</f>
        <v>7</v>
      </c>
      <c r="V139" s="129">
        <f>T139/$G$135</f>
        <v>0.625</v>
      </c>
      <c r="W139" s="129">
        <f>T139/U139</f>
        <v>0.7142857142857143</v>
      </c>
      <c r="X139" s="127">
        <f>2*(V139*W139)/(V139+W139)</f>
        <v>0.66666666666666663</v>
      </c>
      <c r="Z139" s="81">
        <f>AA139-7</f>
        <v>28</v>
      </c>
      <c r="AA139" s="81">
        <f>$I$135-3</f>
        <v>35</v>
      </c>
      <c r="AB139" s="129">
        <f>Z139/$I$135</f>
        <v>0.73684210526315785</v>
      </c>
      <c r="AC139" s="129">
        <f>Z139/AA139</f>
        <v>0.8</v>
      </c>
      <c r="AD139" s="127">
        <f>2*(AB139*AC139)/(AB139+AC139)</f>
        <v>0.76712328767123283</v>
      </c>
      <c r="AF139">
        <v>0</v>
      </c>
      <c r="AG139">
        <v>0</v>
      </c>
      <c r="AH139" s="127">
        <f>AF139/$H$135</f>
        <v>0</v>
      </c>
      <c r="AI139" s="127">
        <v>0</v>
      </c>
      <c r="AL139" s="122">
        <v>0</v>
      </c>
      <c r="AM139" s="101">
        <v>0</v>
      </c>
      <c r="AN139">
        <v>294</v>
      </c>
      <c r="AO139">
        <v>18</v>
      </c>
      <c r="AP139" s="101">
        <v>18</v>
      </c>
      <c r="AQ139" s="101">
        <v>17</v>
      </c>
      <c r="AR139">
        <v>0</v>
      </c>
      <c r="AS139">
        <v>0</v>
      </c>
      <c r="AT139">
        <v>0</v>
      </c>
      <c r="AU139" s="119">
        <v>14</v>
      </c>
      <c r="AV139" s="101">
        <f>($F$135-M139)/$F$135</f>
        <v>1</v>
      </c>
      <c r="AX139" s="101">
        <f>($G$135-AM139)/$G$135</f>
        <v>1</v>
      </c>
      <c r="AY139" s="101">
        <f>AQ139/AP139</f>
        <v>0.94444444444444442</v>
      </c>
      <c r="AZ139" s="101">
        <v>0</v>
      </c>
      <c r="BA139" s="85">
        <f>(AV139+AX139+AY139+AZ139)/4</f>
        <v>0.73611111111111116</v>
      </c>
      <c r="BB139" s="13">
        <f>AO139/$H$135</f>
        <v>1</v>
      </c>
      <c r="BC139" s="118">
        <f>AU139/AO139</f>
        <v>0.77777777777777779</v>
      </c>
      <c r="BD139" s="13">
        <f>AN139/AO139</f>
        <v>16.333333333333332</v>
      </c>
      <c r="BE139" s="13">
        <f>AS139/$H$135</f>
        <v>0</v>
      </c>
      <c r="BF139" s="13">
        <f>AQ139/$H$135</f>
        <v>0.94444444444444442</v>
      </c>
      <c r="BP139" t="str">
        <f t="shared" si="19"/>
        <v>1-1 &amp;  &amp; 0.785714285714286 &amp; 0.868421052631579 &amp; 0.825 &amp; 0.625 &amp; 0.714285714285714 &amp; 0.666666666666667 &amp; 0.736842105263158 &amp; 0.8 &amp; 0.767123287671233 &amp; 0 &amp; 0 &amp; 0 &amp; 0 \\ \hline</v>
      </c>
    </row>
    <row r="140" spans="1:68" ht="16">
      <c r="A140" t="s">
        <v>309</v>
      </c>
      <c r="C140" s="310"/>
      <c r="K140" s="47" t="s">
        <v>382</v>
      </c>
      <c r="L140" s="77" t="s">
        <v>499</v>
      </c>
      <c r="N140" s="81">
        <f>O140-5</f>
        <v>29</v>
      </c>
      <c r="O140" s="81">
        <f>$F$135-8</f>
        <v>34</v>
      </c>
      <c r="P140" s="129">
        <f>N140/$F$135</f>
        <v>0.69047619047619047</v>
      </c>
      <c r="Q140" s="129">
        <f>N140/O140</f>
        <v>0.8529411764705882</v>
      </c>
      <c r="R140" s="127">
        <f>2*(P140*Q140)/(P140+Q140)</f>
        <v>0.76315789473684226</v>
      </c>
      <c r="T140" s="81">
        <f>U140-2</f>
        <v>4</v>
      </c>
      <c r="U140" s="81">
        <f>$G$135-2</f>
        <v>6</v>
      </c>
      <c r="V140" s="129">
        <f>T140/$G$135</f>
        <v>0.5</v>
      </c>
      <c r="W140" s="129">
        <f>T140/U140</f>
        <v>0.66666666666666663</v>
      </c>
      <c r="X140" s="127">
        <f>2*(V140*W140)/(V140+W140)</f>
        <v>0.57142857142857151</v>
      </c>
      <c r="Z140" s="81">
        <f>AA140-8</f>
        <v>23</v>
      </c>
      <c r="AA140" s="81">
        <f>$I$135-7</f>
        <v>31</v>
      </c>
      <c r="AB140" s="129">
        <f>Z140/$I$135</f>
        <v>0.60526315789473684</v>
      </c>
      <c r="AC140" s="129">
        <f>Z140/AA140</f>
        <v>0.74193548387096775</v>
      </c>
      <c r="AD140" s="127">
        <f>2*(AB140*AC140)/(AB140+AC140)</f>
        <v>0.66666666666666663</v>
      </c>
      <c r="AF140">
        <v>2</v>
      </c>
      <c r="AG140">
        <v>2</v>
      </c>
      <c r="AH140" s="127">
        <f>AF140/$H$135</f>
        <v>0.1111111111111111</v>
      </c>
      <c r="AI140" s="127">
        <f>AF140/AG140</f>
        <v>1</v>
      </c>
      <c r="AL140" s="122">
        <v>2</v>
      </c>
      <c r="AM140" s="101">
        <v>2</v>
      </c>
      <c r="AN140">
        <v>320</v>
      </c>
      <c r="AO140">
        <v>18</v>
      </c>
      <c r="AP140" s="101">
        <v>15</v>
      </c>
      <c r="AQ140" s="101">
        <v>13</v>
      </c>
      <c r="AR140">
        <v>2</v>
      </c>
      <c r="AS140">
        <v>2</v>
      </c>
      <c r="AT140">
        <v>1</v>
      </c>
      <c r="AU140" s="119">
        <v>15</v>
      </c>
      <c r="AV140" s="101">
        <f>($F$135-M140)/$F$135</f>
        <v>1</v>
      </c>
      <c r="AX140" s="101">
        <f>($G$135-AM140)/$G$135</f>
        <v>0.75</v>
      </c>
      <c r="AY140" s="101">
        <f>AQ140/AP140</f>
        <v>0.8666666666666667</v>
      </c>
      <c r="AZ140" s="101">
        <f>AS140/AR140</f>
        <v>1</v>
      </c>
      <c r="BA140" s="85">
        <f>(AV140+AX140+AY140+AZ140)/4</f>
        <v>0.90416666666666667</v>
      </c>
      <c r="BB140" s="13">
        <f>AO140/$H$135</f>
        <v>1</v>
      </c>
      <c r="BC140" s="118">
        <f>AU140/AO140</f>
        <v>0.83333333333333337</v>
      </c>
      <c r="BD140" s="13">
        <f>AN140/AO140</f>
        <v>17.777777777777779</v>
      </c>
      <c r="BE140" s="13">
        <f>AS140/$H$135</f>
        <v>0.1111111111111111</v>
      </c>
      <c r="BF140" s="13">
        <f>AQ140/$H$135</f>
        <v>0.72222222222222221</v>
      </c>
      <c r="BP140" t="str">
        <f t="shared" si="19"/>
        <v>1-1 &amp;  &amp; 0.69047619047619 &amp; 0.852941176470588 &amp; 0.763157894736842 &amp; 0.5 &amp; 0.666666666666667 &amp; 0.571428571428572 &amp; 0.605263157894737 &amp; 0.741935483870968 &amp; 0.666666666666667 &amp; 2 &amp; 2 &amp; 0.111111111111111 &amp; 1 \\ \hline</v>
      </c>
    </row>
    <row r="141" spans="1:68">
      <c r="P141" s="129"/>
      <c r="Q141" s="129"/>
      <c r="R141" s="127"/>
      <c r="V141" s="129"/>
      <c r="W141" s="129"/>
      <c r="X141" s="127"/>
      <c r="AB141" s="129"/>
      <c r="AC141" s="129"/>
      <c r="AD141" s="127"/>
      <c r="AF141"/>
      <c r="AG141"/>
      <c r="AH141" s="127"/>
      <c r="AI141" s="131"/>
      <c r="AU141" s="119">
        <v>0</v>
      </c>
    </row>
    <row r="142" spans="1:68" s="75" customFormat="1">
      <c r="A142" s="75" t="s">
        <v>332</v>
      </c>
      <c r="B142" s="94">
        <v>45179</v>
      </c>
      <c r="C142" s="93" t="s">
        <v>166</v>
      </c>
      <c r="D142" s="78">
        <f>VLOOKUP($C$142,Overview!$Q$2:$AS$64,23,FALSE)</f>
        <v>0.97510654491951687</v>
      </c>
      <c r="E142" s="78" t="str">
        <f>VLOOKUP($C$142,Overview!$Q$2:$AS$64,24,FALSE)</f>
        <v>medium</v>
      </c>
      <c r="F142" s="75">
        <f>VLOOKUP(C142,Overview!$Q$2:$AS$64,13,FALSE)</f>
        <v>39</v>
      </c>
      <c r="G142" s="75">
        <f>VLOOKUP(C142,Overview!$Q$2:$AS$64,16,FALSE)</f>
        <v>13</v>
      </c>
      <c r="H142" s="75">
        <f>VLOOKUP(C142,Overview!$Q$2:$AS$64,18,FALSE)</f>
        <v>17</v>
      </c>
      <c r="I142" s="75">
        <f>VLOOKUP($C$142,Overview!$Q$2:$AS$64,19,FALSE)</f>
        <v>35</v>
      </c>
      <c r="K142" s="96"/>
      <c r="M142" s="115"/>
      <c r="N142" s="97"/>
      <c r="O142" s="97"/>
      <c r="P142" s="130"/>
      <c r="Q142" s="130"/>
      <c r="R142" s="128"/>
      <c r="S142" s="115"/>
      <c r="T142" s="97"/>
      <c r="U142" s="97"/>
      <c r="V142" s="130"/>
      <c r="W142" s="130"/>
      <c r="X142" s="128"/>
      <c r="Y142" s="115"/>
      <c r="Z142" s="97"/>
      <c r="AA142" s="97"/>
      <c r="AB142" s="130"/>
      <c r="AC142" s="130"/>
      <c r="AD142" s="128"/>
      <c r="AE142" s="115"/>
      <c r="AH142" s="128"/>
      <c r="AI142" s="132"/>
      <c r="AJ142" s="97"/>
      <c r="AK142" s="115"/>
      <c r="AL142" s="122"/>
      <c r="AM142" s="101"/>
      <c r="AP142" s="101"/>
      <c r="AQ142" s="101"/>
      <c r="AU142" s="119"/>
      <c r="AV142" s="101"/>
      <c r="AW142" s="101"/>
      <c r="AX142" s="101"/>
      <c r="AY142" s="101"/>
      <c r="AZ142" s="101"/>
      <c r="BA142" s="83"/>
      <c r="BC142" s="101"/>
      <c r="BP142"/>
    </row>
    <row r="143" spans="1:68" ht="16">
      <c r="A143" t="s">
        <v>305</v>
      </c>
      <c r="C143" s="310"/>
      <c r="K143" s="47" t="s">
        <v>378</v>
      </c>
      <c r="L143" s="77" t="s">
        <v>500</v>
      </c>
      <c r="N143" s="81">
        <f>O143-8</f>
        <v>28</v>
      </c>
      <c r="O143" s="81">
        <f>$F$142-3</f>
        <v>36</v>
      </c>
      <c r="P143" s="129">
        <f>N143/$F$142</f>
        <v>0.71794871794871795</v>
      </c>
      <c r="Q143" s="129">
        <f>N143/O143</f>
        <v>0.77777777777777779</v>
      </c>
      <c r="R143" s="127">
        <f>2*(P143*Q143)/(P143+Q143)</f>
        <v>0.74666666666666659</v>
      </c>
      <c r="T143" s="81">
        <f>U143-6</f>
        <v>5</v>
      </c>
      <c r="U143" s="81">
        <f>$G$142-2</f>
        <v>11</v>
      </c>
      <c r="V143" s="129">
        <f>T143/$G$142</f>
        <v>0.38461538461538464</v>
      </c>
      <c r="W143" s="129">
        <f>T143/U143</f>
        <v>0.45454545454545453</v>
      </c>
      <c r="X143" s="127">
        <f>2*(V143*W143)/(V143+W143)</f>
        <v>0.41666666666666663</v>
      </c>
      <c r="Z143" s="81">
        <f>AA143-4</f>
        <v>28</v>
      </c>
      <c r="AA143" s="81">
        <f>$I$142-3</f>
        <v>32</v>
      </c>
      <c r="AB143" s="129">
        <f>Z143/$I$142</f>
        <v>0.8</v>
      </c>
      <c r="AC143" s="129">
        <f>Z143/AA143</f>
        <v>0.875</v>
      </c>
      <c r="AD143" s="127">
        <f>2*(AB143*AC143)/(AB143+AC143)</f>
        <v>0.83582089552238814</v>
      </c>
      <c r="AF143">
        <v>0</v>
      </c>
      <c r="AG143">
        <v>1</v>
      </c>
      <c r="AH143" s="127">
        <f>AF143/$H$142</f>
        <v>0</v>
      </c>
      <c r="AI143" s="127">
        <f>AF143/AG143</f>
        <v>0</v>
      </c>
      <c r="AL143" s="122">
        <v>1</v>
      </c>
      <c r="AM143" s="101">
        <v>1</v>
      </c>
      <c r="AN143">
        <v>194</v>
      </c>
      <c r="AO143">
        <v>11</v>
      </c>
      <c r="AP143" s="101">
        <v>10</v>
      </c>
      <c r="AQ143" s="101">
        <v>9</v>
      </c>
      <c r="AR143">
        <v>1</v>
      </c>
      <c r="AS143">
        <v>0</v>
      </c>
      <c r="AT143">
        <v>0</v>
      </c>
      <c r="AU143" s="119">
        <v>7</v>
      </c>
      <c r="AV143" s="101">
        <f>($F$142-M143)/$F$142</f>
        <v>1</v>
      </c>
      <c r="AX143" s="101">
        <f>($G$142-AM143)/$G$142</f>
        <v>0.92307692307692313</v>
      </c>
      <c r="AY143" s="101">
        <f>AQ143/AP143</f>
        <v>0.9</v>
      </c>
      <c r="AZ143" s="101">
        <f>AS143/AR143</f>
        <v>0</v>
      </c>
      <c r="BA143" s="85">
        <f>(AV143+AX143+AY143+AZ143)/4</f>
        <v>0.70576923076923082</v>
      </c>
      <c r="BB143" s="13">
        <f>AO143/$H$142</f>
        <v>0.6470588235294118</v>
      </c>
      <c r="BC143" s="118">
        <f>AU143/AO143</f>
        <v>0.63636363636363635</v>
      </c>
      <c r="BD143" s="13">
        <f>AN143/AO143</f>
        <v>17.636363636363637</v>
      </c>
      <c r="BE143" s="13">
        <f>AS143/$H$142</f>
        <v>0</v>
      </c>
      <c r="BF143" s="13">
        <f>AQ143/$H$142</f>
        <v>0.52941176470588236</v>
      </c>
      <c r="BP143" t="str">
        <f>_xlfn.CONCAT($C$142," &amp; ",C143," &amp; ",P143," &amp; ",Q143," &amp; ",R143," &amp; ",V143," &amp; ",W143," &amp; ",X143," &amp; ",AB143," &amp; ",AC143," &amp; ",AD143," &amp; ",AF143," &amp; ",AG143," &amp; ",AH143," &amp; ",AI143, " \\ \hline")</f>
        <v>9-4 &amp;  &amp; 0.717948717948718 &amp; 0.777777777777778 &amp; 0.746666666666667 &amp; 0.384615384615385 &amp; 0.454545454545455 &amp; 0.416666666666667 &amp; 0.8 &amp; 0.875 &amp; 0.835820895522388 &amp; 0 &amp; 1 &amp; 0 &amp; 0 \\ \hline</v>
      </c>
    </row>
    <row r="144" spans="1:68" ht="16">
      <c r="A144" t="s">
        <v>306</v>
      </c>
      <c r="C144" s="310"/>
      <c r="K144" s="47" t="s">
        <v>379</v>
      </c>
      <c r="L144" s="77" t="s">
        <v>501</v>
      </c>
      <c r="N144" s="81">
        <f>O144-5</f>
        <v>31</v>
      </c>
      <c r="O144" s="81">
        <f>$F$142-3</f>
        <v>36</v>
      </c>
      <c r="P144" s="129">
        <f>N144/$F$142</f>
        <v>0.79487179487179482</v>
      </c>
      <c r="Q144" s="129">
        <f>N144/O144</f>
        <v>0.86111111111111116</v>
      </c>
      <c r="R144" s="127">
        <f>2*(P144*Q144)/(P144+Q144)</f>
        <v>0.82666666666666666</v>
      </c>
      <c r="T144" s="81">
        <f>U144-3</f>
        <v>8</v>
      </c>
      <c r="U144" s="81">
        <f>$G$142-2</f>
        <v>11</v>
      </c>
      <c r="V144" s="129">
        <f>T144/$G$142</f>
        <v>0.61538461538461542</v>
      </c>
      <c r="W144" s="129">
        <f>T144/U144</f>
        <v>0.72727272727272729</v>
      </c>
      <c r="X144" s="127">
        <f>2*(V144*W144)/(V144+W144)</f>
        <v>0.66666666666666674</v>
      </c>
      <c r="Z144" s="81">
        <f>AA144-3</f>
        <v>29</v>
      </c>
      <c r="AA144" s="81">
        <f>$I$142-3</f>
        <v>32</v>
      </c>
      <c r="AB144" s="129">
        <f>Z144/$I$142</f>
        <v>0.82857142857142863</v>
      </c>
      <c r="AC144" s="129">
        <f>Z144/AA144</f>
        <v>0.90625</v>
      </c>
      <c r="AD144" s="127">
        <f>2*(AB144*AC144)/(AB144+AC144)</f>
        <v>0.86567164179104472</v>
      </c>
      <c r="AF144">
        <v>1</v>
      </c>
      <c r="AG144">
        <v>2</v>
      </c>
      <c r="AH144" s="127">
        <f>AF144/$H$142</f>
        <v>5.8823529411764705E-2</v>
      </c>
      <c r="AI144" s="127">
        <f>AF144/AG144</f>
        <v>0.5</v>
      </c>
      <c r="AL144" s="122">
        <v>1</v>
      </c>
      <c r="AM144" s="101">
        <v>1</v>
      </c>
      <c r="AN144">
        <v>367</v>
      </c>
      <c r="AO144">
        <v>14</v>
      </c>
      <c r="AP144" s="101">
        <v>12</v>
      </c>
      <c r="AQ144" s="101">
        <v>11</v>
      </c>
      <c r="AR144">
        <v>2</v>
      </c>
      <c r="AS144">
        <v>1</v>
      </c>
      <c r="AT144">
        <v>0</v>
      </c>
      <c r="AU144" s="119">
        <v>7</v>
      </c>
      <c r="AV144" s="101">
        <f>($F$142-M144)/$F$142</f>
        <v>1</v>
      </c>
      <c r="AX144" s="101">
        <f>($G$142-AM144)/$G$142</f>
        <v>0.92307692307692313</v>
      </c>
      <c r="AY144" s="101">
        <f>AQ144/AP144</f>
        <v>0.91666666666666663</v>
      </c>
      <c r="AZ144" s="101">
        <f>AS144/AR144</f>
        <v>0.5</v>
      </c>
      <c r="BA144" s="85">
        <f>(AV144+AX144+AY144+AZ144)/4</f>
        <v>0.83493589743589747</v>
      </c>
      <c r="BB144" s="13">
        <f>AO144/$H$142</f>
        <v>0.82352941176470584</v>
      </c>
      <c r="BC144" s="118">
        <f>AU144/AO144</f>
        <v>0.5</v>
      </c>
      <c r="BD144" s="13">
        <f>AN144/AO144</f>
        <v>26.214285714285715</v>
      </c>
      <c r="BE144" s="13">
        <f>AS144/$H$142</f>
        <v>5.8823529411764705E-2</v>
      </c>
      <c r="BF144" s="13">
        <f>AQ144/$H$142</f>
        <v>0.6470588235294118</v>
      </c>
      <c r="BP144" t="str">
        <f t="shared" ref="BP144:BP147" si="20">_xlfn.CONCAT($C$142," &amp; ",C144," &amp; ",P144," &amp; ",Q144," &amp; ",R144," &amp; ",V144," &amp; ",W144," &amp; ",X144," &amp; ",AB144," &amp; ",AC144," &amp; ",AD144," &amp; ",AF144," &amp; ",AG144," &amp; ",AH144," &amp; ",AI144, " \\ \hline")</f>
        <v>9-4 &amp;  &amp; 0.794871794871795 &amp; 0.861111111111111 &amp; 0.826666666666667 &amp; 0.615384615384615 &amp; 0.727272727272727 &amp; 0.666666666666667 &amp; 0.828571428571429 &amp; 0.90625 &amp; 0.865671641791045 &amp; 1 &amp; 2 &amp; 0.0588235294117647 &amp; 0.5 \\ \hline</v>
      </c>
    </row>
    <row r="145" spans="1:68" ht="16">
      <c r="A145" t="s">
        <v>307</v>
      </c>
      <c r="C145" s="310"/>
      <c r="K145" s="47" t="s">
        <v>380</v>
      </c>
      <c r="L145" s="77" t="s">
        <v>502</v>
      </c>
      <c r="N145" s="81">
        <f>O145-8</f>
        <v>28</v>
      </c>
      <c r="O145" s="81">
        <f>$F$142-3</f>
        <v>36</v>
      </c>
      <c r="P145" s="129">
        <f>N145/$F$142</f>
        <v>0.71794871794871795</v>
      </c>
      <c r="Q145" s="129">
        <f>N145/O145</f>
        <v>0.77777777777777779</v>
      </c>
      <c r="R145" s="127">
        <f>2*(P145*Q145)/(P145+Q145)</f>
        <v>0.74666666666666659</v>
      </c>
      <c r="T145" s="81">
        <f>U145-6</f>
        <v>5</v>
      </c>
      <c r="U145" s="81">
        <f>$G$142-2</f>
        <v>11</v>
      </c>
      <c r="V145" s="129">
        <f>T145/$G$142</f>
        <v>0.38461538461538464</v>
      </c>
      <c r="W145" s="129">
        <f>T145/U145</f>
        <v>0.45454545454545453</v>
      </c>
      <c r="X145" s="127">
        <f>2*(V145*W145)/(V145+W145)</f>
        <v>0.41666666666666663</v>
      </c>
      <c r="Z145" s="81">
        <f>AA145-2</f>
        <v>30</v>
      </c>
      <c r="AA145" s="81">
        <f>$I$142-3</f>
        <v>32</v>
      </c>
      <c r="AB145" s="129">
        <f>Z145/$I$142</f>
        <v>0.8571428571428571</v>
      </c>
      <c r="AC145" s="129">
        <f>Z145/AA145</f>
        <v>0.9375</v>
      </c>
      <c r="AD145" s="127">
        <f>2*(AB145*AC145)/(AB145+AC145)</f>
        <v>0.89552238805970141</v>
      </c>
      <c r="AF145">
        <v>1</v>
      </c>
      <c r="AG145">
        <v>2</v>
      </c>
      <c r="AH145" s="127">
        <f>AF145/$H$142</f>
        <v>5.8823529411764705E-2</v>
      </c>
      <c r="AI145" s="127">
        <f>AF145/AG145</f>
        <v>0.5</v>
      </c>
      <c r="AL145" s="122">
        <v>1</v>
      </c>
      <c r="AM145" s="101">
        <v>1</v>
      </c>
      <c r="AN145">
        <v>284</v>
      </c>
      <c r="AO145">
        <v>16</v>
      </c>
      <c r="AP145" s="101">
        <v>14</v>
      </c>
      <c r="AQ145" s="101">
        <v>13</v>
      </c>
      <c r="AR145">
        <v>2</v>
      </c>
      <c r="AS145">
        <v>1</v>
      </c>
      <c r="AT145">
        <v>0</v>
      </c>
      <c r="AU145" s="119">
        <v>9</v>
      </c>
      <c r="AV145" s="101">
        <f>($F$142-M145)/$F$142</f>
        <v>1</v>
      </c>
      <c r="AX145" s="101">
        <f>($G$142-AM145)/$G$142</f>
        <v>0.92307692307692313</v>
      </c>
      <c r="AY145" s="101">
        <f>AQ145/AP145</f>
        <v>0.9285714285714286</v>
      </c>
      <c r="AZ145" s="101">
        <f>AS145/AR145</f>
        <v>0.5</v>
      </c>
      <c r="BA145" s="85">
        <f>(AV145+AX145+AY145+AZ145)/4</f>
        <v>0.83791208791208793</v>
      </c>
      <c r="BB145" s="13">
        <f>AO145/$H$142</f>
        <v>0.94117647058823528</v>
      </c>
      <c r="BC145" s="118">
        <f>AU145/AO145</f>
        <v>0.5625</v>
      </c>
      <c r="BD145" s="13">
        <f>AN145/AO145</f>
        <v>17.75</v>
      </c>
      <c r="BE145" s="13">
        <f>AS145/$H$142</f>
        <v>5.8823529411764705E-2</v>
      </c>
      <c r="BF145" s="13">
        <f>AQ145/$H$142</f>
        <v>0.76470588235294112</v>
      </c>
      <c r="BP145" t="str">
        <f t="shared" si="20"/>
        <v>9-4 &amp;  &amp; 0.717948717948718 &amp; 0.777777777777778 &amp; 0.746666666666667 &amp; 0.384615384615385 &amp; 0.454545454545455 &amp; 0.416666666666667 &amp; 0.857142857142857 &amp; 0.9375 &amp; 0.895522388059701 &amp; 1 &amp; 2 &amp; 0.0588235294117647 &amp; 0.5 \\ \hline</v>
      </c>
    </row>
    <row r="146" spans="1:68" ht="16">
      <c r="A146" t="s">
        <v>308</v>
      </c>
      <c r="C146" s="310"/>
      <c r="K146" s="47" t="s">
        <v>381</v>
      </c>
      <c r="L146" s="77" t="s">
        <v>503</v>
      </c>
      <c r="N146" s="81">
        <f>O146-6</f>
        <v>30</v>
      </c>
      <c r="O146" s="81">
        <f>$F$142-3</f>
        <v>36</v>
      </c>
      <c r="P146" s="129">
        <f>N146/$F$142</f>
        <v>0.76923076923076927</v>
      </c>
      <c r="Q146" s="129">
        <f>N146/O146</f>
        <v>0.83333333333333337</v>
      </c>
      <c r="R146" s="127">
        <f>2*(P146*Q146)/(P146+Q146)</f>
        <v>0.8</v>
      </c>
      <c r="T146" s="81">
        <f>U146-4</f>
        <v>7</v>
      </c>
      <c r="U146" s="81">
        <f>$G$142-2</f>
        <v>11</v>
      </c>
      <c r="V146" s="129">
        <f>T146/$G$142</f>
        <v>0.53846153846153844</v>
      </c>
      <c r="W146" s="129">
        <f>T146/U146</f>
        <v>0.63636363636363635</v>
      </c>
      <c r="X146" s="127">
        <f>2*(V146*W146)/(V146+W146)</f>
        <v>0.58333333333333337</v>
      </c>
      <c r="Z146" s="81">
        <f>AA146-2</f>
        <v>30</v>
      </c>
      <c r="AA146" s="81">
        <f>$I$142-3</f>
        <v>32</v>
      </c>
      <c r="AB146" s="129">
        <f>Z146/$I$142</f>
        <v>0.8571428571428571</v>
      </c>
      <c r="AC146" s="129">
        <f>Z146/AA146</f>
        <v>0.9375</v>
      </c>
      <c r="AD146" s="127">
        <f>2*(AB146*AC146)/(AB146+AC146)</f>
        <v>0.89552238805970141</v>
      </c>
      <c r="AF146">
        <v>1</v>
      </c>
      <c r="AG146">
        <v>2</v>
      </c>
      <c r="AH146" s="127">
        <f>AF146/$H$142</f>
        <v>5.8823529411764705E-2</v>
      </c>
      <c r="AI146" s="127">
        <f>AF146/AG146</f>
        <v>0.5</v>
      </c>
      <c r="AL146" s="122">
        <v>1</v>
      </c>
      <c r="AM146" s="101">
        <v>1</v>
      </c>
      <c r="AN146">
        <v>387</v>
      </c>
      <c r="AO146">
        <v>18</v>
      </c>
      <c r="AP146" s="101">
        <v>15</v>
      </c>
      <c r="AQ146" s="101">
        <v>14</v>
      </c>
      <c r="AR146">
        <v>2</v>
      </c>
      <c r="AS146">
        <v>1</v>
      </c>
      <c r="AT146">
        <v>0</v>
      </c>
      <c r="AU146" s="119">
        <v>13</v>
      </c>
      <c r="AV146" s="101">
        <f>($F$142-M146)/$F$142</f>
        <v>1</v>
      </c>
      <c r="AX146" s="101">
        <f>($G$142-AM146)/$G$142</f>
        <v>0.92307692307692313</v>
      </c>
      <c r="AY146" s="101">
        <f>AQ146/AP146</f>
        <v>0.93333333333333335</v>
      </c>
      <c r="AZ146" s="101">
        <f>AS146/AR146</f>
        <v>0.5</v>
      </c>
      <c r="BA146" s="85">
        <f>(AV146+AX146+AY146+AZ146)/4</f>
        <v>0.83910256410256412</v>
      </c>
      <c r="BB146" s="13">
        <f>AO146/$H$142</f>
        <v>1.0588235294117647</v>
      </c>
      <c r="BC146" s="118">
        <f>AU146/AO146</f>
        <v>0.72222222222222221</v>
      </c>
      <c r="BD146" s="13">
        <f>AN146/AO146</f>
        <v>21.5</v>
      </c>
      <c r="BE146" s="13">
        <f>AS146/$H$142</f>
        <v>5.8823529411764705E-2</v>
      </c>
      <c r="BF146" s="13">
        <f>AQ146/$H$142</f>
        <v>0.82352941176470584</v>
      </c>
      <c r="BP146" t="str">
        <f t="shared" si="20"/>
        <v>9-4 &amp;  &amp; 0.769230769230769 &amp; 0.833333333333333 &amp; 0.8 &amp; 0.538461538461538 &amp; 0.636363636363636 &amp; 0.583333333333333 &amp; 0.857142857142857 &amp; 0.9375 &amp; 0.895522388059701 &amp; 1 &amp; 2 &amp; 0.0588235294117647 &amp; 0.5 \\ \hline</v>
      </c>
    </row>
    <row r="147" spans="1:68" ht="16">
      <c r="A147" t="s">
        <v>309</v>
      </c>
      <c r="C147" s="310"/>
      <c r="K147" s="47" t="s">
        <v>382</v>
      </c>
      <c r="L147" s="77" t="s">
        <v>504</v>
      </c>
      <c r="N147" s="81">
        <f>O147-8</f>
        <v>28</v>
      </c>
      <c r="O147" s="81">
        <f>$F$142-3</f>
        <v>36</v>
      </c>
      <c r="P147" s="129">
        <f>N147/$F$142</f>
        <v>0.71794871794871795</v>
      </c>
      <c r="Q147" s="129">
        <f>N147/O147</f>
        <v>0.77777777777777779</v>
      </c>
      <c r="R147" s="127">
        <f>2*(P147*Q147)/(P147+Q147)</f>
        <v>0.74666666666666659</v>
      </c>
      <c r="T147" s="81">
        <f>U147-6</f>
        <v>5</v>
      </c>
      <c r="U147" s="81">
        <f>$G$142-2</f>
        <v>11</v>
      </c>
      <c r="V147" s="129">
        <f>T147/$G$142</f>
        <v>0.38461538461538464</v>
      </c>
      <c r="W147" s="129">
        <f>T147/U147</f>
        <v>0.45454545454545453</v>
      </c>
      <c r="X147" s="127">
        <f>2*(V147*W147)/(V147+W147)</f>
        <v>0.41666666666666663</v>
      </c>
      <c r="Z147" s="81">
        <f>AA147-4</f>
        <v>28</v>
      </c>
      <c r="AA147" s="81">
        <f>$I$142-3</f>
        <v>32</v>
      </c>
      <c r="AB147" s="129">
        <f>Z147/$I$142</f>
        <v>0.8</v>
      </c>
      <c r="AC147" s="129">
        <f>Z147/AA147</f>
        <v>0.875</v>
      </c>
      <c r="AD147" s="127">
        <f>2*(AB147*AC147)/(AB147+AC147)</f>
        <v>0.83582089552238814</v>
      </c>
      <c r="AF147">
        <v>1</v>
      </c>
      <c r="AG147">
        <v>2</v>
      </c>
      <c r="AH147" s="127">
        <f>AF147/$H$142</f>
        <v>5.8823529411764705E-2</v>
      </c>
      <c r="AI147" s="127">
        <f>AF147/AG147</f>
        <v>0.5</v>
      </c>
      <c r="AL147" s="122">
        <v>1</v>
      </c>
      <c r="AM147" s="101">
        <v>1</v>
      </c>
      <c r="AN147">
        <v>354</v>
      </c>
      <c r="AO147">
        <v>16</v>
      </c>
      <c r="AP147" s="101">
        <v>14</v>
      </c>
      <c r="AQ147" s="101">
        <v>13</v>
      </c>
      <c r="AR147">
        <v>2</v>
      </c>
      <c r="AS147">
        <v>1</v>
      </c>
      <c r="AT147">
        <v>0</v>
      </c>
      <c r="AU147" s="119">
        <v>10</v>
      </c>
      <c r="AV147" s="101">
        <f>($F$142-M147)/$F$142</f>
        <v>1</v>
      </c>
      <c r="AX147" s="101">
        <f>($G$142-AM147)/$G$142</f>
        <v>0.92307692307692313</v>
      </c>
      <c r="AY147" s="101">
        <f>AQ147/AP147</f>
        <v>0.9285714285714286</v>
      </c>
      <c r="AZ147" s="101">
        <f>AS147/AR147</f>
        <v>0.5</v>
      </c>
      <c r="BA147" s="85">
        <f>(AV147+AX147+AY147+AZ147)/4</f>
        <v>0.83791208791208793</v>
      </c>
      <c r="BB147" s="13">
        <f>AO147/$H$142</f>
        <v>0.94117647058823528</v>
      </c>
      <c r="BC147" s="118">
        <f>AU147/AO147</f>
        <v>0.625</v>
      </c>
      <c r="BD147" s="13">
        <f>AN147/AO147</f>
        <v>22.125</v>
      </c>
      <c r="BE147" s="13">
        <f>AS147/$H$142</f>
        <v>5.8823529411764705E-2</v>
      </c>
      <c r="BF147" s="13">
        <f>AQ147/$H$142</f>
        <v>0.76470588235294112</v>
      </c>
      <c r="BP147" t="str">
        <f t="shared" si="20"/>
        <v>9-4 &amp;  &amp; 0.717948717948718 &amp; 0.777777777777778 &amp; 0.746666666666667 &amp; 0.384615384615385 &amp; 0.454545454545455 &amp; 0.416666666666667 &amp; 0.8 &amp; 0.875 &amp; 0.835820895522388 &amp; 1 &amp; 2 &amp; 0.0588235294117647 &amp; 0.5 \\ \hline</v>
      </c>
    </row>
    <row r="148" spans="1:68">
      <c r="P148" s="129"/>
      <c r="Q148" s="129"/>
      <c r="R148" s="127"/>
      <c r="V148" s="129"/>
      <c r="W148" s="129"/>
      <c r="X148" s="127"/>
      <c r="AB148" s="129"/>
      <c r="AC148" s="129"/>
      <c r="AD148" s="127"/>
      <c r="AF148"/>
      <c r="AG148"/>
      <c r="AH148" s="127"/>
      <c r="AI148" s="131"/>
    </row>
    <row r="149" spans="1:68" s="75" customFormat="1">
      <c r="A149" s="75" t="s">
        <v>333</v>
      </c>
      <c r="B149" s="94">
        <v>45179</v>
      </c>
      <c r="C149" s="93" t="s">
        <v>164</v>
      </c>
      <c r="D149" s="78">
        <f>VLOOKUP($C$149,Overview!$Q$2:$AS$64,23,FALSE)</f>
        <v>1.0040864084632239</v>
      </c>
      <c r="E149" s="78" t="str">
        <f>VLOOKUP($C$149,Overview!$Q$2:$AS$64,24,FALSE)</f>
        <v>medium</v>
      </c>
      <c r="F149" s="75">
        <f>VLOOKUP(C149,Overview!$Q$2:$AS$64,13,FALSE)</f>
        <v>36</v>
      </c>
      <c r="G149" s="75">
        <f>VLOOKUP(C149,Overview!$Q$2:$AS$64,16,FALSE)</f>
        <v>15</v>
      </c>
      <c r="H149" s="75">
        <f>VLOOKUP(C149,Overview!$Q$2:$AS$64,18,FALSE)</f>
        <v>16</v>
      </c>
      <c r="I149" s="75">
        <f>VLOOKUP($C$149,Overview!$Q$2:$AS$64,19,FALSE)</f>
        <v>33</v>
      </c>
      <c r="K149" s="96"/>
      <c r="M149" s="115"/>
      <c r="N149" s="97"/>
      <c r="O149" s="97"/>
      <c r="P149" s="130"/>
      <c r="Q149" s="130"/>
      <c r="R149" s="128"/>
      <c r="S149" s="115"/>
      <c r="T149" s="97"/>
      <c r="U149" s="97"/>
      <c r="V149" s="130"/>
      <c r="W149" s="130"/>
      <c r="X149" s="128"/>
      <c r="Y149" s="115"/>
      <c r="Z149" s="97"/>
      <c r="AA149" s="97"/>
      <c r="AB149" s="130"/>
      <c r="AC149" s="130"/>
      <c r="AD149" s="128"/>
      <c r="AE149" s="115"/>
      <c r="AH149" s="128"/>
      <c r="AI149" s="132"/>
      <c r="AJ149" s="97"/>
      <c r="AK149" s="115"/>
      <c r="AL149" s="122"/>
      <c r="AM149" s="101"/>
      <c r="AP149" s="101"/>
      <c r="AQ149" s="101"/>
      <c r="AU149" s="119"/>
      <c r="AV149" s="101"/>
      <c r="AW149" s="101"/>
      <c r="AX149" s="101"/>
      <c r="AY149" s="101"/>
      <c r="AZ149" s="101"/>
      <c r="BA149" s="83"/>
      <c r="BC149" s="101"/>
      <c r="BP149"/>
    </row>
    <row r="150" spans="1:68" ht="16">
      <c r="A150" t="s">
        <v>305</v>
      </c>
      <c r="C150" s="310"/>
      <c r="K150" s="47" t="s">
        <v>378</v>
      </c>
      <c r="L150" s="77" t="s">
        <v>505</v>
      </c>
      <c r="N150" s="81">
        <f>O150-2</f>
        <v>31</v>
      </c>
      <c r="O150" s="81">
        <f>$F$149-3</f>
        <v>33</v>
      </c>
      <c r="P150" s="129">
        <f>N150/$F$149</f>
        <v>0.86111111111111116</v>
      </c>
      <c r="Q150" s="129">
        <f>N150/O150</f>
        <v>0.93939393939393945</v>
      </c>
      <c r="R150" s="127">
        <f>2*(P150*Q150)/(P150+Q150)</f>
        <v>0.89855072463768126</v>
      </c>
      <c r="T150" s="81">
        <f>U150-1</f>
        <v>12</v>
      </c>
      <c r="U150" s="81">
        <f>$G$149-2</f>
        <v>13</v>
      </c>
      <c r="V150" s="129">
        <f>T150/$G$149</f>
        <v>0.8</v>
      </c>
      <c r="W150" s="129">
        <f>T150/U150</f>
        <v>0.92307692307692313</v>
      </c>
      <c r="X150" s="127">
        <f>2*(V150*W150)/(V150+W150)</f>
        <v>0.8571428571428571</v>
      </c>
      <c r="Z150" s="81">
        <f>AA150-4</f>
        <v>28</v>
      </c>
      <c r="AA150" s="81">
        <f>$I$149-1</f>
        <v>32</v>
      </c>
      <c r="AB150" s="129">
        <f>Z150/$I$149</f>
        <v>0.84848484848484851</v>
      </c>
      <c r="AC150" s="129">
        <f>Z150/AA150</f>
        <v>0.875</v>
      </c>
      <c r="AD150" s="127">
        <f>2*(AB150*AC150)/(AB150+AC150)</f>
        <v>0.86153846153846148</v>
      </c>
      <c r="AF150">
        <v>0</v>
      </c>
      <c r="AG150">
        <v>0</v>
      </c>
      <c r="AH150" s="127">
        <f>AF150/$H$149</f>
        <v>0</v>
      </c>
      <c r="AI150" s="127">
        <v>0</v>
      </c>
      <c r="AL150" s="122">
        <v>6</v>
      </c>
      <c r="AM150" s="101">
        <v>5</v>
      </c>
      <c r="AN150">
        <v>348</v>
      </c>
      <c r="AO150">
        <v>16</v>
      </c>
      <c r="AP150" s="101">
        <v>16</v>
      </c>
      <c r="AQ150" s="101">
        <v>13</v>
      </c>
      <c r="AR150">
        <v>0</v>
      </c>
      <c r="AS150">
        <v>0</v>
      </c>
      <c r="AT150">
        <v>0</v>
      </c>
      <c r="AU150" s="119">
        <v>14</v>
      </c>
      <c r="AV150" s="101">
        <f>($F$149-M150)/$F$149</f>
        <v>1</v>
      </c>
      <c r="AX150" s="101">
        <f>($G$149-AM150)/$G$149</f>
        <v>0.66666666666666663</v>
      </c>
      <c r="AY150" s="101">
        <f>AQ150/AP150</f>
        <v>0.8125</v>
      </c>
      <c r="AZ150" s="101">
        <v>0</v>
      </c>
      <c r="BA150" s="85">
        <f>(AV150+AX150+AY150+AZ150)/4</f>
        <v>0.61979166666666663</v>
      </c>
      <c r="BB150" s="13">
        <f>AO150/$H$149</f>
        <v>1</v>
      </c>
      <c r="BC150" s="118">
        <f>AU150/AO150</f>
        <v>0.875</v>
      </c>
      <c r="BD150" s="13">
        <f>AN150/AO150</f>
        <v>21.75</v>
      </c>
      <c r="BE150" s="13">
        <f>AS150/$H$149</f>
        <v>0</v>
      </c>
      <c r="BF150" s="13">
        <f>AQ150/$H$149</f>
        <v>0.8125</v>
      </c>
      <c r="BP150" t="str">
        <f>_xlfn.CONCAT($C$149," &amp; ",C150," &amp; ",P150," &amp; ",Q150," &amp; ",R150," &amp; ",V150," &amp; ",W150," &amp; ",X150," &amp; ",AB150," &amp; ",AC150," &amp; ",AD150," &amp; ",AF150," &amp; ",AG150," &amp; ",AH150," &amp; ",AI150, " \\ \hline")</f>
        <v>9-2 &amp;  &amp; 0.861111111111111 &amp; 0.939393939393939 &amp; 0.898550724637681 &amp; 0.8 &amp; 0.923076923076923 &amp; 0.857142857142857 &amp; 0.848484848484849 &amp; 0.875 &amp; 0.861538461538461 &amp; 0 &amp; 0 &amp; 0 &amp; 0 \\ \hline</v>
      </c>
    </row>
    <row r="151" spans="1:68" ht="16">
      <c r="A151" t="s">
        <v>306</v>
      </c>
      <c r="C151" s="310"/>
      <c r="K151" s="47" t="s">
        <v>379</v>
      </c>
      <c r="L151" s="77" t="s">
        <v>506</v>
      </c>
      <c r="N151" s="81">
        <f>O151-5</f>
        <v>30</v>
      </c>
      <c r="O151" s="81">
        <f>$F$149-1</f>
        <v>35</v>
      </c>
      <c r="P151" s="129">
        <f>N151/$F$149</f>
        <v>0.83333333333333337</v>
      </c>
      <c r="Q151" s="129">
        <f>N151/O151</f>
        <v>0.8571428571428571</v>
      </c>
      <c r="R151" s="127">
        <f>2*(P151*Q151)/(P151+Q151)</f>
        <v>0.84507042253521125</v>
      </c>
      <c r="T151" s="81">
        <f>U151-3</f>
        <v>11</v>
      </c>
      <c r="U151" s="81">
        <f>$G$149-1</f>
        <v>14</v>
      </c>
      <c r="V151" s="129">
        <f>T151/$G$149</f>
        <v>0.73333333333333328</v>
      </c>
      <c r="W151" s="129">
        <f>T151/U151</f>
        <v>0.7857142857142857</v>
      </c>
      <c r="X151" s="127">
        <f>2*(V151*W151)/(V151+W151)</f>
        <v>0.75862068965517238</v>
      </c>
      <c r="Z151" s="81">
        <f>AA151-3</f>
        <v>29</v>
      </c>
      <c r="AA151" s="81">
        <f>$I$149-1</f>
        <v>32</v>
      </c>
      <c r="AB151" s="129">
        <f>Z151/$I$149</f>
        <v>0.87878787878787878</v>
      </c>
      <c r="AC151" s="129">
        <f>Z151/AA151</f>
        <v>0.90625</v>
      </c>
      <c r="AD151" s="127">
        <f>2*(AB151*AC151)/(AB151+AC151)</f>
        <v>0.89230769230769225</v>
      </c>
      <c r="AF151">
        <v>1</v>
      </c>
      <c r="AG151">
        <v>1</v>
      </c>
      <c r="AH151" s="127">
        <f>AF151/$H$149</f>
        <v>6.25E-2</v>
      </c>
      <c r="AI151" s="127">
        <f>AF151/AG151</f>
        <v>1</v>
      </c>
      <c r="AL151" s="122">
        <v>1</v>
      </c>
      <c r="AM151" s="101">
        <v>1</v>
      </c>
      <c r="AN151">
        <v>303</v>
      </c>
      <c r="AO151" s="107">
        <v>12</v>
      </c>
      <c r="AP151" s="101">
        <v>11</v>
      </c>
      <c r="AQ151" s="101">
        <v>10</v>
      </c>
      <c r="AR151">
        <v>1</v>
      </c>
      <c r="AS151">
        <v>1</v>
      </c>
      <c r="AT151">
        <v>0</v>
      </c>
      <c r="AU151" s="119">
        <v>10</v>
      </c>
      <c r="AV151" s="101">
        <f>($F$149-M151)/$F$149</f>
        <v>1</v>
      </c>
      <c r="AX151" s="101">
        <f>($G$149-AM151)/$G$149</f>
        <v>0.93333333333333335</v>
      </c>
      <c r="AY151" s="101">
        <f>AQ151/AP151</f>
        <v>0.90909090909090906</v>
      </c>
      <c r="AZ151" s="101">
        <f>AS151/AR151</f>
        <v>1</v>
      </c>
      <c r="BA151" s="85">
        <f>(AV151+AX151+AY151+AZ151)/4</f>
        <v>0.96060606060606057</v>
      </c>
      <c r="BB151" s="13">
        <f>AO151/$H$149</f>
        <v>0.75</v>
      </c>
      <c r="BC151" s="118">
        <f>AU151/AO151</f>
        <v>0.83333333333333337</v>
      </c>
      <c r="BD151" s="13">
        <f>AN151/AO151</f>
        <v>25.25</v>
      </c>
      <c r="BE151" s="13">
        <f>AS151/$H$149</f>
        <v>6.25E-2</v>
      </c>
      <c r="BF151" s="13">
        <f>AQ151/$H$149</f>
        <v>0.625</v>
      </c>
      <c r="BP151" t="str">
        <f t="shared" ref="BP151:BP154" si="21">_xlfn.CONCAT($C$149," &amp; ",C151," &amp; ",P151," &amp; ",Q151," &amp; ",R151," &amp; ",V151," &amp; ",W151," &amp; ",X151," &amp; ",AB151," &amp; ",AC151," &amp; ",AD151," &amp; ",AF151," &amp; ",AG151," &amp; ",AH151," &amp; ",AI151, " \\ \hline")</f>
        <v>9-2 &amp;  &amp; 0.833333333333333 &amp; 0.857142857142857 &amp; 0.845070422535211 &amp; 0.733333333333333 &amp; 0.785714285714286 &amp; 0.758620689655172 &amp; 0.878787878787879 &amp; 0.90625 &amp; 0.892307692307692 &amp; 1 &amp; 1 &amp; 0.0625 &amp; 1 \\ \hline</v>
      </c>
    </row>
    <row r="152" spans="1:68" ht="16">
      <c r="A152" t="s">
        <v>307</v>
      </c>
      <c r="C152" s="310"/>
      <c r="K152" s="47" t="s">
        <v>380</v>
      </c>
      <c r="L152" s="77" t="s">
        <v>507</v>
      </c>
      <c r="N152" s="81">
        <f>O152-4</f>
        <v>31</v>
      </c>
      <c r="O152" s="81">
        <f>$F$149-1</f>
        <v>35</v>
      </c>
      <c r="P152" s="129">
        <f>N152/$F$149</f>
        <v>0.86111111111111116</v>
      </c>
      <c r="Q152" s="129">
        <f>N152/O152</f>
        <v>0.88571428571428568</v>
      </c>
      <c r="R152" s="127">
        <f>2*(P152*Q152)/(P152+Q152)</f>
        <v>0.87323943661971837</v>
      </c>
      <c r="T152" s="81">
        <f>U152-1</f>
        <v>11</v>
      </c>
      <c r="U152" s="81">
        <f>$G$149-3</f>
        <v>12</v>
      </c>
      <c r="V152" s="129">
        <f>T152/$G$149</f>
        <v>0.73333333333333328</v>
      </c>
      <c r="W152" s="129">
        <f>T152/U152</f>
        <v>0.91666666666666663</v>
      </c>
      <c r="X152" s="127">
        <f>2*(V152*W152)/(V152+W152)</f>
        <v>0.81481481481481477</v>
      </c>
      <c r="Z152" s="81">
        <f>AA152-10</f>
        <v>22</v>
      </c>
      <c r="AA152" s="81">
        <f>$I$149-1</f>
        <v>32</v>
      </c>
      <c r="AB152" s="129">
        <f>Z152/$I$149</f>
        <v>0.66666666666666663</v>
      </c>
      <c r="AC152" s="129">
        <f>Z152/AA152</f>
        <v>0.6875</v>
      </c>
      <c r="AD152" s="127">
        <f>2*(AB152*AC152)/(AB152+AC152)</f>
        <v>0.67692307692307696</v>
      </c>
      <c r="AF152">
        <v>1</v>
      </c>
      <c r="AG152">
        <v>1</v>
      </c>
      <c r="AH152" s="127">
        <f>AF152/$H$149</f>
        <v>6.25E-2</v>
      </c>
      <c r="AI152" s="127">
        <f>AF152/AG152</f>
        <v>1</v>
      </c>
      <c r="AL152" s="122">
        <v>4</v>
      </c>
      <c r="AM152" s="101">
        <v>4</v>
      </c>
      <c r="AN152">
        <v>340</v>
      </c>
      <c r="AO152">
        <v>15</v>
      </c>
      <c r="AP152" s="101">
        <v>15</v>
      </c>
      <c r="AQ152" s="101">
        <v>11</v>
      </c>
      <c r="AR152">
        <v>0</v>
      </c>
      <c r="AS152">
        <v>0</v>
      </c>
      <c r="AT152">
        <v>0</v>
      </c>
      <c r="AU152" s="119">
        <v>11</v>
      </c>
      <c r="AV152" s="101">
        <f>($F$149-M152)/$F$149</f>
        <v>1</v>
      </c>
      <c r="AX152" s="101">
        <f>($G$149-AM152)/$G$149</f>
        <v>0.73333333333333328</v>
      </c>
      <c r="AY152" s="101">
        <f>AQ152/AP152</f>
        <v>0.73333333333333328</v>
      </c>
      <c r="AZ152" s="101">
        <v>0</v>
      </c>
      <c r="BA152" s="85">
        <f>(AV152+AX152+AY152+AZ152)/4</f>
        <v>0.6166666666666667</v>
      </c>
      <c r="BB152" s="13">
        <f>AO152/$H$149</f>
        <v>0.9375</v>
      </c>
      <c r="BC152" s="118">
        <f>AU152/AO152</f>
        <v>0.73333333333333328</v>
      </c>
      <c r="BD152" s="13">
        <f>AN152/AO152</f>
        <v>22.666666666666668</v>
      </c>
      <c r="BE152" s="13">
        <f>AS152/$H$149</f>
        <v>0</v>
      </c>
      <c r="BF152" s="13">
        <f>AQ152/$H$149</f>
        <v>0.6875</v>
      </c>
      <c r="BP152" t="str">
        <f t="shared" si="21"/>
        <v>9-2 &amp;  &amp; 0.861111111111111 &amp; 0.885714285714286 &amp; 0.873239436619718 &amp; 0.733333333333333 &amp; 0.916666666666667 &amp; 0.814814814814815 &amp; 0.666666666666667 &amp; 0.6875 &amp; 0.676923076923077 &amp; 1 &amp; 1 &amp; 0.0625 &amp; 1 \\ \hline</v>
      </c>
    </row>
    <row r="153" spans="1:68" ht="16">
      <c r="A153" t="s">
        <v>308</v>
      </c>
      <c r="C153" s="310"/>
      <c r="K153" s="47" t="s">
        <v>381</v>
      </c>
      <c r="L153" s="77" t="s">
        <v>508</v>
      </c>
      <c r="N153" s="81">
        <f>O153-7</f>
        <v>28</v>
      </c>
      <c r="O153" s="81">
        <f>$F$149-1</f>
        <v>35</v>
      </c>
      <c r="P153" s="129">
        <f>N153/$F$149</f>
        <v>0.77777777777777779</v>
      </c>
      <c r="Q153" s="129">
        <f>N153/O153</f>
        <v>0.8</v>
      </c>
      <c r="R153" s="127">
        <f>2*(P153*Q153)/(P153+Q153)</f>
        <v>0.78873239436619713</v>
      </c>
      <c r="T153" s="81">
        <f>U153-3</f>
        <v>9</v>
      </c>
      <c r="U153" s="81">
        <f>$G$149-3</f>
        <v>12</v>
      </c>
      <c r="V153" s="129">
        <f>T153/$G$149</f>
        <v>0.6</v>
      </c>
      <c r="W153" s="129">
        <f>T153/U153</f>
        <v>0.75</v>
      </c>
      <c r="X153" s="127">
        <f>2*(V153*W153)/(V153+W153)</f>
        <v>0.66666666666666652</v>
      </c>
      <c r="Z153" s="81">
        <f>AA153-2</f>
        <v>30</v>
      </c>
      <c r="AA153" s="81">
        <f>$I$149-1</f>
        <v>32</v>
      </c>
      <c r="AB153" s="129">
        <f>Z153/$I$149</f>
        <v>0.90909090909090906</v>
      </c>
      <c r="AC153" s="129">
        <f>Z153/AA153</f>
        <v>0.9375</v>
      </c>
      <c r="AD153" s="127">
        <f>2*(AB153*AC153)/(AB153+AC153)</f>
        <v>0.92307692307692302</v>
      </c>
      <c r="AF153">
        <v>0</v>
      </c>
      <c r="AG153">
        <v>0</v>
      </c>
      <c r="AH153" s="127">
        <f>AF153/$H$149</f>
        <v>0</v>
      </c>
      <c r="AI153" s="127">
        <v>0</v>
      </c>
      <c r="AL153" s="122">
        <v>4</v>
      </c>
      <c r="AM153" s="101">
        <v>4</v>
      </c>
      <c r="AN153">
        <v>331</v>
      </c>
      <c r="AO153">
        <v>13</v>
      </c>
      <c r="AP153" s="101">
        <v>13</v>
      </c>
      <c r="AQ153" s="101">
        <v>10</v>
      </c>
      <c r="AR153">
        <v>0</v>
      </c>
      <c r="AS153">
        <v>0</v>
      </c>
      <c r="AT153">
        <v>0</v>
      </c>
      <c r="AU153" s="119">
        <v>10</v>
      </c>
      <c r="AV153" s="101">
        <f>($F$149-M153)/$F$149</f>
        <v>1</v>
      </c>
      <c r="AX153" s="101">
        <f>($G$149-AM153)/$G$149</f>
        <v>0.73333333333333328</v>
      </c>
      <c r="AY153" s="101">
        <f>AQ153/AP153</f>
        <v>0.76923076923076927</v>
      </c>
      <c r="AZ153" s="101">
        <v>0</v>
      </c>
      <c r="BA153" s="85">
        <f>(AV153+AX153+AY153+AZ153)/4</f>
        <v>0.62564102564102564</v>
      </c>
      <c r="BB153" s="13">
        <f>AO153/$H$149</f>
        <v>0.8125</v>
      </c>
      <c r="BC153" s="118">
        <f>AU153/AO153</f>
        <v>0.76923076923076927</v>
      </c>
      <c r="BD153" s="13">
        <f>AN153/AO153</f>
        <v>25.46153846153846</v>
      </c>
      <c r="BE153" s="13">
        <f>AS153/$H$149</f>
        <v>0</v>
      </c>
      <c r="BF153" s="13">
        <f>AQ153/$H$149</f>
        <v>0.625</v>
      </c>
      <c r="BP153" t="str">
        <f t="shared" si="21"/>
        <v>9-2 &amp;  &amp; 0.777777777777778 &amp; 0.8 &amp; 0.788732394366197 &amp; 0.6 &amp; 0.75 &amp; 0.666666666666667 &amp; 0.909090909090909 &amp; 0.9375 &amp; 0.923076923076923 &amp; 0 &amp; 0 &amp; 0 &amp; 0 \\ \hline</v>
      </c>
    </row>
    <row r="154" spans="1:68" ht="16">
      <c r="A154" t="s">
        <v>309</v>
      </c>
      <c r="C154" s="310"/>
      <c r="K154" s="47" t="s">
        <v>382</v>
      </c>
      <c r="L154" s="77" t="s">
        <v>509</v>
      </c>
      <c r="N154" s="81">
        <f>O154-3</f>
        <v>32</v>
      </c>
      <c r="O154" s="81">
        <f>$F$149-1</f>
        <v>35</v>
      </c>
      <c r="P154" s="129">
        <f>N154/$F$149</f>
        <v>0.88888888888888884</v>
      </c>
      <c r="Q154" s="129">
        <f>N154/O154</f>
        <v>0.91428571428571426</v>
      </c>
      <c r="R154" s="127">
        <f>2*(P154*Q154)/(P154+Q154)</f>
        <v>0.90140845070422537</v>
      </c>
      <c r="T154" s="81">
        <f>U154-1</f>
        <v>11</v>
      </c>
      <c r="U154" s="81">
        <f>$G$149-3</f>
        <v>12</v>
      </c>
      <c r="V154" s="129">
        <f>T154/$G$149</f>
        <v>0.73333333333333328</v>
      </c>
      <c r="W154" s="129">
        <f>T154/U154</f>
        <v>0.91666666666666663</v>
      </c>
      <c r="X154" s="127">
        <f>2*(V154*W154)/(V154+W154)</f>
        <v>0.81481481481481477</v>
      </c>
      <c r="Z154" s="81">
        <f>AA154-4</f>
        <v>29</v>
      </c>
      <c r="AA154" s="81">
        <f>$I$149-0</f>
        <v>33</v>
      </c>
      <c r="AB154" s="129">
        <f>Z154/$I$149</f>
        <v>0.87878787878787878</v>
      </c>
      <c r="AC154" s="129">
        <f>Z154/AA154</f>
        <v>0.87878787878787878</v>
      </c>
      <c r="AD154" s="127">
        <f>2*(AB154*AC154)/(AB154+AC154)</f>
        <v>0.87878787878787878</v>
      </c>
      <c r="AF154">
        <v>1</v>
      </c>
      <c r="AG154">
        <v>1</v>
      </c>
      <c r="AH154" s="127">
        <f>AF154/$H$149</f>
        <v>6.25E-2</v>
      </c>
      <c r="AI154" s="127">
        <v>0</v>
      </c>
      <c r="AL154" s="122">
        <v>3</v>
      </c>
      <c r="AM154" s="101">
        <v>3</v>
      </c>
      <c r="AN154">
        <v>364</v>
      </c>
      <c r="AO154">
        <v>15</v>
      </c>
      <c r="AP154" s="101">
        <v>15</v>
      </c>
      <c r="AQ154" s="101">
        <v>12</v>
      </c>
      <c r="AR154">
        <v>0</v>
      </c>
      <c r="AS154">
        <v>0</v>
      </c>
      <c r="AT154">
        <v>0</v>
      </c>
      <c r="AU154" s="119">
        <v>11</v>
      </c>
      <c r="AV154" s="101">
        <f>($F$149-M154)/$F$149</f>
        <v>1</v>
      </c>
      <c r="AX154" s="101">
        <f>($G$149-AM154)/$G$149</f>
        <v>0.8</v>
      </c>
      <c r="AY154" s="101">
        <f>AQ154/AP154</f>
        <v>0.8</v>
      </c>
      <c r="AZ154" s="101">
        <v>0</v>
      </c>
      <c r="BA154" s="85">
        <f>(AV154+AX154+AY154+AZ154)/4</f>
        <v>0.65</v>
      </c>
      <c r="BB154" s="13">
        <f>AO154/$H$149</f>
        <v>0.9375</v>
      </c>
      <c r="BC154" s="118">
        <f>AU154/AO154</f>
        <v>0.73333333333333328</v>
      </c>
      <c r="BD154" s="13">
        <f>AN154/AO154</f>
        <v>24.266666666666666</v>
      </c>
      <c r="BE154" s="13">
        <f>AS154/$H$149</f>
        <v>0</v>
      </c>
      <c r="BF154" s="13">
        <f>AQ154/$H$149</f>
        <v>0.75</v>
      </c>
      <c r="BP154" t="str">
        <f t="shared" si="21"/>
        <v>9-2 &amp;  &amp; 0.888888888888889 &amp; 0.914285714285714 &amp; 0.901408450704225 &amp; 0.733333333333333 &amp; 0.916666666666667 &amp; 0.814814814814815 &amp; 0.878787878787879 &amp; 0.878787878787879 &amp; 0.878787878787879 &amp; 1 &amp; 1 &amp; 0.0625 &amp; 0 \\ \hline</v>
      </c>
    </row>
    <row r="155" spans="1:68">
      <c r="P155" s="129"/>
      <c r="Q155" s="129"/>
      <c r="R155" s="127"/>
      <c r="V155" s="129"/>
      <c r="W155" s="129"/>
      <c r="X155" s="127"/>
      <c r="AB155" s="129"/>
      <c r="AC155" s="129"/>
      <c r="AD155" s="127"/>
      <c r="AF155"/>
      <c r="AG155"/>
      <c r="AH155" s="127"/>
      <c r="AI155" s="131"/>
    </row>
    <row r="156" spans="1:68" s="75" customFormat="1">
      <c r="A156" s="75" t="s">
        <v>334</v>
      </c>
      <c r="B156" s="94">
        <v>45179</v>
      </c>
      <c r="C156" s="93" t="s">
        <v>137</v>
      </c>
      <c r="D156" s="78">
        <f>VLOOKUP($C$156,Overview!$Q$2:$AS$64,23,FALSE)</f>
        <v>1.1042071083576701</v>
      </c>
      <c r="E156" s="78" t="str">
        <f>VLOOKUP($C$156,Overview!$Q$2:$AS$64,24,FALSE)</f>
        <v>medium</v>
      </c>
      <c r="F156" s="75">
        <f>VLOOKUP(C156,Overview!$Q$2:$AS$64,13,FALSE)</f>
        <v>48</v>
      </c>
      <c r="G156" s="75">
        <f>VLOOKUP(C156,Overview!$Q$2:$AS$64,16,FALSE)</f>
        <v>12</v>
      </c>
      <c r="H156" s="75">
        <f>VLOOKUP(C156,Overview!$Q$2:$AS$64,18,FALSE)</f>
        <v>22</v>
      </c>
      <c r="I156" s="75">
        <f>VLOOKUP($C$156,Overview!$Q$2:$AS$64,19,FALSE)</f>
        <v>46</v>
      </c>
      <c r="K156" s="96"/>
      <c r="M156" s="115"/>
      <c r="N156" s="97"/>
      <c r="O156" s="97"/>
      <c r="P156" s="130"/>
      <c r="Q156" s="130"/>
      <c r="R156" s="128"/>
      <c r="S156" s="115"/>
      <c r="T156" s="97"/>
      <c r="U156" s="97"/>
      <c r="V156" s="130"/>
      <c r="W156" s="130"/>
      <c r="X156" s="128"/>
      <c r="Y156" s="115"/>
      <c r="Z156" s="97"/>
      <c r="AA156" s="97"/>
      <c r="AB156" s="130"/>
      <c r="AC156" s="130"/>
      <c r="AD156" s="128"/>
      <c r="AE156" s="115"/>
      <c r="AH156" s="128"/>
      <c r="AI156" s="132"/>
      <c r="AJ156" s="97"/>
      <c r="AK156" s="115"/>
      <c r="AL156" s="122"/>
      <c r="AM156" s="101"/>
      <c r="AP156" s="101"/>
      <c r="AQ156" s="101"/>
      <c r="AU156" s="119"/>
      <c r="AV156" s="101"/>
      <c r="AW156" s="101"/>
      <c r="AX156" s="101"/>
      <c r="AY156" s="101"/>
      <c r="AZ156" s="101"/>
      <c r="BA156" s="83"/>
      <c r="BC156" s="101"/>
      <c r="BP156"/>
    </row>
    <row r="157" spans="1:68" ht="16">
      <c r="A157" t="s">
        <v>305</v>
      </c>
      <c r="C157" s="310"/>
      <c r="K157" s="47" t="s">
        <v>378</v>
      </c>
      <c r="L157" s="77" t="s">
        <v>510</v>
      </c>
      <c r="N157" s="81">
        <f>O157-1</f>
        <v>22</v>
      </c>
      <c r="O157" s="81">
        <f>$F$156-25</f>
        <v>23</v>
      </c>
      <c r="P157" s="129">
        <f>N157/$F$156</f>
        <v>0.45833333333333331</v>
      </c>
      <c r="Q157" s="129">
        <f>N157/O157</f>
        <v>0.95652173913043481</v>
      </c>
      <c r="R157" s="127">
        <f>2*(P157*Q157)/(P157+Q157)</f>
        <v>0.61971830985915499</v>
      </c>
      <c r="T157" s="81">
        <f>U157-1</f>
        <v>7</v>
      </c>
      <c r="U157" s="81">
        <f>$G$156-4</f>
        <v>8</v>
      </c>
      <c r="V157" s="129">
        <f>T157/$G$156</f>
        <v>0.58333333333333337</v>
      </c>
      <c r="W157" s="129">
        <f>T157/U157</f>
        <v>0.875</v>
      </c>
      <c r="X157" s="127">
        <f>2*(V157*W157)/(V157+W157)</f>
        <v>0.70000000000000007</v>
      </c>
      <c r="Z157" s="81">
        <f>AA157-6</f>
        <v>15</v>
      </c>
      <c r="AA157" s="81">
        <f>$I$156-25</f>
        <v>21</v>
      </c>
      <c r="AB157" s="129">
        <f>Z157/$I$156</f>
        <v>0.32608695652173914</v>
      </c>
      <c r="AC157" s="129">
        <f>Z157/AA157</f>
        <v>0.7142857142857143</v>
      </c>
      <c r="AD157" s="127">
        <f>2*(AB157*AC157)/(AB157+AC157)</f>
        <v>0.44776119402985071</v>
      </c>
      <c r="AF157">
        <v>0</v>
      </c>
      <c r="AG157">
        <v>0</v>
      </c>
      <c r="AH157" s="127">
        <f>AF157/$H$156</f>
        <v>0</v>
      </c>
      <c r="AI157" s="127">
        <v>0</v>
      </c>
      <c r="AL157" s="122">
        <v>11</v>
      </c>
      <c r="AM157" s="101">
        <v>6</v>
      </c>
      <c r="AN157">
        <v>277</v>
      </c>
      <c r="AO157">
        <v>12</v>
      </c>
      <c r="AP157" s="101">
        <v>12</v>
      </c>
      <c r="AQ157" s="101">
        <v>7</v>
      </c>
      <c r="AR157">
        <v>0</v>
      </c>
      <c r="AS157">
        <v>0</v>
      </c>
      <c r="AT157">
        <v>0</v>
      </c>
      <c r="AU157" s="119">
        <v>10</v>
      </c>
      <c r="AV157" s="101">
        <f>($F$156-M157)/$F$156</f>
        <v>1</v>
      </c>
      <c r="AX157" s="101">
        <f>($G$156-AM157)/$G$156</f>
        <v>0.5</v>
      </c>
      <c r="AY157" s="101">
        <f>AQ157/AP157</f>
        <v>0.58333333333333337</v>
      </c>
      <c r="AZ157" s="101">
        <v>0</v>
      </c>
      <c r="BA157" s="85">
        <f>(AV157+AX157+AY157+AZ157)/4</f>
        <v>0.52083333333333337</v>
      </c>
      <c r="BB157" s="13">
        <f>AO157/$H$156</f>
        <v>0.54545454545454541</v>
      </c>
      <c r="BC157" s="118">
        <f>AU157/AO157</f>
        <v>0.83333333333333337</v>
      </c>
      <c r="BD157" s="13">
        <f>AN157/AO157</f>
        <v>23.083333333333332</v>
      </c>
      <c r="BE157" s="13">
        <f>AS157/$H$156</f>
        <v>0</v>
      </c>
      <c r="BF157" s="13">
        <f>AQ157/$H$156</f>
        <v>0.31818181818181818</v>
      </c>
      <c r="BP157" t="str">
        <f>_xlfn.CONCAT($C$156," &amp; ",C157," &amp; ",P157," &amp; ",Q157," &amp; ",R157," &amp; ",V157," &amp; ",W157," &amp; ",X157," &amp; ",AB157," &amp; ",AC157," &amp; ",AD157," &amp; ",AF157," &amp; ",AG157," &amp; ",AH157," &amp; ",AI157, " \\ \hline")</f>
        <v>1-2 &amp;  &amp; 0.458333333333333 &amp; 0.956521739130435 &amp; 0.619718309859155 &amp; 0.583333333333333 &amp; 0.875 &amp; 0.7 &amp; 0.326086956521739 &amp; 0.714285714285714 &amp; 0.447761194029851 &amp; 0 &amp; 0 &amp; 0 &amp; 0 \\ \hline</v>
      </c>
    </row>
    <row r="158" spans="1:68" ht="16">
      <c r="A158" t="s">
        <v>306</v>
      </c>
      <c r="C158" s="310"/>
      <c r="K158" s="47" t="s">
        <v>379</v>
      </c>
      <c r="L158" s="77" t="s">
        <v>511</v>
      </c>
      <c r="N158" s="81">
        <f>O158-2</f>
        <v>21</v>
      </c>
      <c r="O158" s="81">
        <f>$F$156-25</f>
        <v>23</v>
      </c>
      <c r="P158" s="129">
        <f>N158/$F$156</f>
        <v>0.4375</v>
      </c>
      <c r="Q158" s="129">
        <f>N158/O158</f>
        <v>0.91304347826086951</v>
      </c>
      <c r="R158" s="127">
        <f>2*(P158*Q158)/(P158+Q158)</f>
        <v>0.59154929577464788</v>
      </c>
      <c r="T158" s="81">
        <f>U158-2</f>
        <v>6</v>
      </c>
      <c r="U158" s="81">
        <f>$G$156-4</f>
        <v>8</v>
      </c>
      <c r="V158" s="129">
        <f>T158/$G$156</f>
        <v>0.5</v>
      </c>
      <c r="W158" s="129">
        <f>T158/U158</f>
        <v>0.75</v>
      </c>
      <c r="X158" s="127">
        <f>2*(V158*W158)/(V158+W158)</f>
        <v>0.6</v>
      </c>
      <c r="Z158" s="81">
        <f>AA158-8</f>
        <v>13</v>
      </c>
      <c r="AA158" s="81">
        <f>$I$156-25</f>
        <v>21</v>
      </c>
      <c r="AB158" s="129">
        <f>Z158/$I$156</f>
        <v>0.28260869565217389</v>
      </c>
      <c r="AC158" s="129">
        <f>Z158/AA158</f>
        <v>0.61904761904761907</v>
      </c>
      <c r="AD158" s="127">
        <f>2*(AB158*AC158)/(AB158+AC158)</f>
        <v>0.38805970149253732</v>
      </c>
      <c r="AF158">
        <v>1</v>
      </c>
      <c r="AG158">
        <v>1</v>
      </c>
      <c r="AH158" s="127">
        <f>AF158/$H$156</f>
        <v>4.5454545454545456E-2</v>
      </c>
      <c r="AI158" s="127">
        <f>AF158/AG158</f>
        <v>1</v>
      </c>
      <c r="AL158" s="122">
        <v>10</v>
      </c>
      <c r="AM158" s="101">
        <v>5</v>
      </c>
      <c r="AN158">
        <v>298</v>
      </c>
      <c r="AO158" s="107">
        <v>15</v>
      </c>
      <c r="AP158" s="101">
        <v>12</v>
      </c>
      <c r="AQ158" s="101">
        <v>6</v>
      </c>
      <c r="AR158">
        <v>1</v>
      </c>
      <c r="AS158">
        <v>1</v>
      </c>
      <c r="AT158">
        <v>2</v>
      </c>
      <c r="AU158" s="119">
        <v>9</v>
      </c>
      <c r="AV158" s="101">
        <f>($F$156-M158)/$F$156</f>
        <v>1</v>
      </c>
      <c r="AX158" s="101">
        <f>($G$156-AM158)/$G$156</f>
        <v>0.58333333333333337</v>
      </c>
      <c r="AY158" s="101">
        <f>AQ158/AP158</f>
        <v>0.5</v>
      </c>
      <c r="AZ158" s="101">
        <f>AS158/AR158</f>
        <v>1</v>
      </c>
      <c r="BA158" s="85">
        <f>(AV158+AX158+AY158+AZ158)/4</f>
        <v>0.77083333333333337</v>
      </c>
      <c r="BB158" s="13">
        <f>AO158/$H$156</f>
        <v>0.68181818181818177</v>
      </c>
      <c r="BC158" s="118">
        <f>AU158/AO158</f>
        <v>0.6</v>
      </c>
      <c r="BD158" s="13">
        <f>AN158/AO158</f>
        <v>19.866666666666667</v>
      </c>
      <c r="BE158" s="13">
        <f>AS158/$H$156</f>
        <v>4.5454545454545456E-2</v>
      </c>
      <c r="BF158" s="13">
        <f>AQ158/$H$156</f>
        <v>0.27272727272727271</v>
      </c>
      <c r="BP158" t="str">
        <f t="shared" ref="BP158:BP161" si="22">_xlfn.CONCAT($C$156," &amp; ",C158," &amp; ",P158," &amp; ",Q158," &amp; ",R158," &amp; ",V158," &amp; ",W158," &amp; ",X158," &amp; ",AB158," &amp; ",AC158," &amp; ",AD158," &amp; ",AF158," &amp; ",AG158," &amp; ",AH158," &amp; ",AI158, " \\ \hline")</f>
        <v>1-2 &amp;  &amp; 0.4375 &amp; 0.91304347826087 &amp; 0.591549295774648 &amp; 0.5 &amp; 0.75 &amp; 0.6 &amp; 0.282608695652174 &amp; 0.619047619047619 &amp; 0.388059701492537 &amp; 1 &amp; 1 &amp; 0.0454545454545455 &amp; 1 \\ \hline</v>
      </c>
    </row>
    <row r="159" spans="1:68" ht="16">
      <c r="A159" t="s">
        <v>307</v>
      </c>
      <c r="C159" s="310"/>
      <c r="K159" s="47" t="s">
        <v>380</v>
      </c>
      <c r="L159" s="77" t="s">
        <v>512</v>
      </c>
      <c r="N159" s="81">
        <f>O159-1</f>
        <v>19</v>
      </c>
      <c r="O159" s="81">
        <f>$F$156-28</f>
        <v>20</v>
      </c>
      <c r="P159" s="129">
        <f>N159/$F$156</f>
        <v>0.39583333333333331</v>
      </c>
      <c r="Q159" s="129">
        <f>N159/O159</f>
        <v>0.95</v>
      </c>
      <c r="R159" s="127">
        <f>2*(P159*Q159)/(P159+Q159)</f>
        <v>0.55882352941176472</v>
      </c>
      <c r="T159" s="81">
        <f>U159-1</f>
        <v>6</v>
      </c>
      <c r="U159" s="81">
        <f>$G$156-5</f>
        <v>7</v>
      </c>
      <c r="V159" s="129">
        <f>T159/$G$156</f>
        <v>0.5</v>
      </c>
      <c r="W159" s="129">
        <f>T159/U159</f>
        <v>0.8571428571428571</v>
      </c>
      <c r="X159" s="127">
        <f>2*(V159*W159)/(V159+W159)</f>
        <v>0.63157894736842102</v>
      </c>
      <c r="Z159" s="81">
        <f>AA159-6</f>
        <v>12</v>
      </c>
      <c r="AA159" s="81">
        <f>$I$156-28</f>
        <v>18</v>
      </c>
      <c r="AB159" s="129">
        <f>Z159/$I$156</f>
        <v>0.2608695652173913</v>
      </c>
      <c r="AC159" s="129">
        <f>Z159/AA159</f>
        <v>0.66666666666666663</v>
      </c>
      <c r="AD159" s="127">
        <f>2*(AB159*AC159)/(AB159+AC159)</f>
        <v>0.37500000000000006</v>
      </c>
      <c r="AF159">
        <v>1</v>
      </c>
      <c r="AG159">
        <v>1</v>
      </c>
      <c r="AH159" s="127">
        <f>AF159/$H$156</f>
        <v>4.5454545454545456E-2</v>
      </c>
      <c r="AI159" s="127">
        <f>AF159/AG159</f>
        <v>1</v>
      </c>
      <c r="AL159" s="122">
        <v>11</v>
      </c>
      <c r="AM159" s="101">
        <v>7</v>
      </c>
      <c r="AN159">
        <v>331</v>
      </c>
      <c r="AO159">
        <v>17</v>
      </c>
      <c r="AP159" s="101">
        <v>14</v>
      </c>
      <c r="AQ159" s="101">
        <v>9</v>
      </c>
      <c r="AR159">
        <v>3</v>
      </c>
      <c r="AS159">
        <v>2</v>
      </c>
      <c r="AT159">
        <v>0</v>
      </c>
      <c r="AU159" s="119">
        <v>9</v>
      </c>
      <c r="AV159" s="101">
        <f>($F$156-M159)/$F$156</f>
        <v>1</v>
      </c>
      <c r="AX159" s="101">
        <f>($G$156-AM159)/$G$156</f>
        <v>0.41666666666666669</v>
      </c>
      <c r="AY159" s="101">
        <f>AQ159/AP159</f>
        <v>0.6428571428571429</v>
      </c>
      <c r="AZ159" s="101">
        <f>AS159/AR159</f>
        <v>0.66666666666666663</v>
      </c>
      <c r="BA159" s="85">
        <f>(AV159+AX159+AY159+AZ159)/4</f>
        <v>0.68154761904761907</v>
      </c>
      <c r="BB159" s="13">
        <f>AO159/$H$156</f>
        <v>0.77272727272727271</v>
      </c>
      <c r="BC159" s="118">
        <f>AU159/AO159</f>
        <v>0.52941176470588236</v>
      </c>
      <c r="BD159" s="13">
        <f>AN159/AO159</f>
        <v>19.470588235294116</v>
      </c>
      <c r="BE159" s="13">
        <f>AS159/$H$156</f>
        <v>9.0909090909090912E-2</v>
      </c>
      <c r="BF159" s="13">
        <f>AQ159/$H$156</f>
        <v>0.40909090909090912</v>
      </c>
      <c r="BP159" t="str">
        <f t="shared" si="22"/>
        <v>1-2 &amp;  &amp; 0.395833333333333 &amp; 0.95 &amp; 0.558823529411765 &amp; 0.5 &amp; 0.857142857142857 &amp; 0.631578947368421 &amp; 0.260869565217391 &amp; 0.666666666666667 &amp; 0.375 &amp; 1 &amp; 1 &amp; 0.0454545454545455 &amp; 1 \\ \hline</v>
      </c>
    </row>
    <row r="160" spans="1:68" ht="16">
      <c r="A160" t="s">
        <v>308</v>
      </c>
      <c r="C160" s="310"/>
      <c r="K160" s="47" t="s">
        <v>381</v>
      </c>
      <c r="L160" s="77" t="s">
        <v>513</v>
      </c>
      <c r="N160" s="81">
        <f>O160-2</f>
        <v>22</v>
      </c>
      <c r="O160" s="81">
        <f>$F$156-24</f>
        <v>24</v>
      </c>
      <c r="P160" s="129">
        <f>N160/$F$156</f>
        <v>0.45833333333333331</v>
      </c>
      <c r="Q160" s="129">
        <f>N160/O160</f>
        <v>0.91666666666666663</v>
      </c>
      <c r="R160" s="127">
        <f>2*(P160*Q160)/(P160+Q160)</f>
        <v>0.61111111111111105</v>
      </c>
      <c r="T160" s="81">
        <f>U160-2</f>
        <v>6</v>
      </c>
      <c r="U160" s="81">
        <f>$G$156-4</f>
        <v>8</v>
      </c>
      <c r="V160" s="129">
        <f>T160/$G$156</f>
        <v>0.5</v>
      </c>
      <c r="W160" s="129">
        <f>T160/U160</f>
        <v>0.75</v>
      </c>
      <c r="X160" s="127">
        <f>2*(V160*W160)/(V160+W160)</f>
        <v>0.6</v>
      </c>
      <c r="Z160" s="81">
        <f>AA160-6</f>
        <v>16</v>
      </c>
      <c r="AA160" s="81">
        <f>$I$156-24</f>
        <v>22</v>
      </c>
      <c r="AB160" s="129">
        <f>Z160/$I$156</f>
        <v>0.34782608695652173</v>
      </c>
      <c r="AC160" s="129">
        <f>Z160/AA160</f>
        <v>0.72727272727272729</v>
      </c>
      <c r="AD160" s="127">
        <f>2*(AB160*AC160)/(AB160+AC160)</f>
        <v>0.47058823529411759</v>
      </c>
      <c r="AF160">
        <v>0</v>
      </c>
      <c r="AG160">
        <v>0</v>
      </c>
      <c r="AH160" s="127">
        <f>AF160/$H$156</f>
        <v>0</v>
      </c>
      <c r="AI160" s="127">
        <v>0</v>
      </c>
      <c r="AL160" s="122">
        <v>11</v>
      </c>
      <c r="AM160" s="101">
        <v>5</v>
      </c>
      <c r="AN160">
        <v>321</v>
      </c>
      <c r="AO160">
        <v>13</v>
      </c>
      <c r="AP160" s="101">
        <v>13</v>
      </c>
      <c r="AQ160" s="101">
        <v>10</v>
      </c>
      <c r="AR160">
        <v>0</v>
      </c>
      <c r="AS160">
        <v>0</v>
      </c>
      <c r="AT160">
        <v>0</v>
      </c>
      <c r="AU160" s="119">
        <v>10</v>
      </c>
      <c r="AV160" s="101">
        <f>($F$156-M160)/$F$156</f>
        <v>1</v>
      </c>
      <c r="AX160" s="101">
        <f>($G$156-AM160)/$G$156</f>
        <v>0.58333333333333337</v>
      </c>
      <c r="AY160" s="101">
        <f>AQ160/AP160</f>
        <v>0.76923076923076927</v>
      </c>
      <c r="AZ160" s="101">
        <v>0</v>
      </c>
      <c r="BA160" s="85">
        <f>(AV160+AX160+AY160+AZ160)/4</f>
        <v>0.58814102564102566</v>
      </c>
      <c r="BB160" s="13">
        <f>AO160/$H$156</f>
        <v>0.59090909090909094</v>
      </c>
      <c r="BC160" s="118">
        <f>AU160/AO160</f>
        <v>0.76923076923076927</v>
      </c>
      <c r="BD160" s="13">
        <f>AN160/AO160</f>
        <v>24.692307692307693</v>
      </c>
      <c r="BE160" s="13">
        <f>AS160/$H$156</f>
        <v>0</v>
      </c>
      <c r="BF160" s="13">
        <f>AQ160/$H$156</f>
        <v>0.45454545454545453</v>
      </c>
      <c r="BP160" t="str">
        <f t="shared" si="22"/>
        <v>1-2 &amp;  &amp; 0.458333333333333 &amp; 0.916666666666667 &amp; 0.611111111111111 &amp; 0.5 &amp; 0.75 &amp; 0.6 &amp; 0.347826086956522 &amp; 0.727272727272727 &amp; 0.470588235294118 &amp; 0 &amp; 0 &amp; 0 &amp; 0 \\ \hline</v>
      </c>
    </row>
    <row r="161" spans="1:68" ht="16">
      <c r="A161" t="s">
        <v>309</v>
      </c>
      <c r="C161" s="310"/>
      <c r="K161" s="47" t="s">
        <v>382</v>
      </c>
      <c r="L161" s="77" t="s">
        <v>514</v>
      </c>
      <c r="N161" s="81">
        <f>O161-4</f>
        <v>27</v>
      </c>
      <c r="O161" s="81">
        <f>$F$156-17</f>
        <v>31</v>
      </c>
      <c r="P161" s="129">
        <f>N161/$F$156</f>
        <v>0.5625</v>
      </c>
      <c r="Q161" s="129">
        <f>N161/O161</f>
        <v>0.87096774193548387</v>
      </c>
      <c r="R161" s="127">
        <f>2*(P161*Q161)/(P161+Q161)</f>
        <v>0.68354430379746833</v>
      </c>
      <c r="T161" s="81">
        <f>U161-3</f>
        <v>7</v>
      </c>
      <c r="U161" s="81">
        <f>$G$156-2</f>
        <v>10</v>
      </c>
      <c r="V161" s="129">
        <f>T161/$G$156</f>
        <v>0.58333333333333337</v>
      </c>
      <c r="W161" s="129">
        <f>T161/U161</f>
        <v>0.7</v>
      </c>
      <c r="X161" s="127">
        <f>2*(V161*W161)/(V161+W161)</f>
        <v>0.63636363636363646</v>
      </c>
      <c r="Z161" s="81">
        <f>AA161-8</f>
        <v>21</v>
      </c>
      <c r="AA161" s="81">
        <f>$I$156-17</f>
        <v>29</v>
      </c>
      <c r="AB161" s="129">
        <f>Z161/$I$156</f>
        <v>0.45652173913043476</v>
      </c>
      <c r="AC161" s="129">
        <f>Z161/AA161</f>
        <v>0.72413793103448276</v>
      </c>
      <c r="AD161" s="127">
        <f>2*(AB161*AC161)/(AB161+AC161)</f>
        <v>0.55999999999999994</v>
      </c>
      <c r="AF161">
        <v>2</v>
      </c>
      <c r="AG161">
        <v>2</v>
      </c>
      <c r="AH161" s="127">
        <f>AF161/$H$156</f>
        <v>9.0909090909090912E-2</v>
      </c>
      <c r="AI161" s="127">
        <f>AF161/AG161</f>
        <v>1</v>
      </c>
      <c r="AL161" s="122">
        <v>8</v>
      </c>
      <c r="AM161" s="101">
        <v>3</v>
      </c>
      <c r="AN161">
        <v>391</v>
      </c>
      <c r="AO161">
        <v>18</v>
      </c>
      <c r="AP161" s="101">
        <v>12</v>
      </c>
      <c r="AQ161" s="101">
        <v>10</v>
      </c>
      <c r="AR161">
        <v>4</v>
      </c>
      <c r="AS161">
        <v>4</v>
      </c>
      <c r="AT161">
        <v>2</v>
      </c>
      <c r="AU161" s="119">
        <v>11</v>
      </c>
      <c r="AV161" s="101">
        <f>($F$156-M161)/$F$156</f>
        <v>1</v>
      </c>
      <c r="AX161" s="101">
        <f>($G$156-AM161)/$G$156</f>
        <v>0.75</v>
      </c>
      <c r="AY161" s="101">
        <f>AQ161/AP161</f>
        <v>0.83333333333333337</v>
      </c>
      <c r="AZ161" s="101">
        <f>AS161/AR161</f>
        <v>1</v>
      </c>
      <c r="BA161" s="85">
        <f>(AV161+AX161+AY161+AZ161)/4</f>
        <v>0.89583333333333337</v>
      </c>
      <c r="BB161" s="13">
        <f>AO161/$H$156</f>
        <v>0.81818181818181823</v>
      </c>
      <c r="BC161" s="118">
        <f>AU161/AO161</f>
        <v>0.61111111111111116</v>
      </c>
      <c r="BD161" s="13">
        <f>AN161/AO161</f>
        <v>21.722222222222221</v>
      </c>
      <c r="BE161" s="13">
        <f>AS161/$H$156</f>
        <v>0.18181818181818182</v>
      </c>
      <c r="BF161" s="13">
        <f>AQ161/$H$156</f>
        <v>0.45454545454545453</v>
      </c>
      <c r="BP161" t="str">
        <f t="shared" si="22"/>
        <v>1-2 &amp;  &amp; 0.5625 &amp; 0.870967741935484 &amp; 0.683544303797468 &amp; 0.583333333333333 &amp; 0.7 &amp; 0.636363636363636 &amp; 0.456521739130435 &amp; 0.724137931034483 &amp; 0.56 &amp; 2 &amp; 2 &amp; 0.0909090909090909 &amp; 1 \\ \hline</v>
      </c>
    </row>
    <row r="162" spans="1:68">
      <c r="P162" s="129"/>
      <c r="Q162" s="129"/>
      <c r="R162" s="127"/>
      <c r="V162" s="129"/>
      <c r="W162" s="129"/>
      <c r="X162" s="127"/>
      <c r="AB162" s="129"/>
      <c r="AC162" s="129"/>
      <c r="AD162" s="127"/>
      <c r="AF162"/>
      <c r="AG162"/>
      <c r="AH162" s="127"/>
      <c r="AI162" s="131"/>
    </row>
    <row r="163" spans="1:68" s="75" customFormat="1">
      <c r="A163" s="75" t="s">
        <v>335</v>
      </c>
      <c r="B163" s="94">
        <v>45179</v>
      </c>
      <c r="C163" s="93" t="s">
        <v>139</v>
      </c>
      <c r="D163" s="78">
        <f>VLOOKUP($C$163,Overview!$Q$2:$AS$64,23,FALSE)</f>
        <v>1.1679763185797205</v>
      </c>
      <c r="E163" s="78" t="str">
        <f>VLOOKUP($C$163,Overview!$Q$2:$AS$64,24,FALSE)</f>
        <v>medium</v>
      </c>
      <c r="F163" s="75">
        <f>VLOOKUP(C163,Overview!$Q$2:$AS$64,13,FALSE)</f>
        <v>47</v>
      </c>
      <c r="G163" s="75">
        <f>VLOOKUP(C163,Overview!$Q$2:$AS$64,16,FALSE)</f>
        <v>13</v>
      </c>
      <c r="H163" s="75">
        <f>VLOOKUP(C163,Overview!$Q$2:$AS$64,18,FALSE)</f>
        <v>23</v>
      </c>
      <c r="I163" s="75">
        <f>VLOOKUP($C$163,Overview!$Q$2:$AS$64,19,FALSE)</f>
        <v>46</v>
      </c>
      <c r="K163" s="96"/>
      <c r="M163" s="115"/>
      <c r="N163" s="97"/>
      <c r="O163" s="97"/>
      <c r="P163" s="130"/>
      <c r="Q163" s="130"/>
      <c r="R163" s="128"/>
      <c r="S163" s="115"/>
      <c r="T163" s="97"/>
      <c r="U163" s="97"/>
      <c r="V163" s="130"/>
      <c r="W163" s="130"/>
      <c r="X163" s="128"/>
      <c r="Y163" s="115"/>
      <c r="Z163" s="97"/>
      <c r="AA163" s="97"/>
      <c r="AB163" s="130"/>
      <c r="AC163" s="130"/>
      <c r="AD163" s="128"/>
      <c r="AE163" s="115"/>
      <c r="AH163" s="128"/>
      <c r="AI163" s="132"/>
      <c r="AJ163" s="97"/>
      <c r="AK163" s="115"/>
      <c r="AL163" s="122"/>
      <c r="AM163" s="101"/>
      <c r="AP163" s="101"/>
      <c r="AQ163" s="101"/>
      <c r="AU163" s="119"/>
      <c r="AV163" s="101"/>
      <c r="AW163" s="101"/>
      <c r="AX163" s="101"/>
      <c r="AY163" s="101"/>
      <c r="AZ163" s="101"/>
      <c r="BA163" s="83"/>
      <c r="BC163" s="101"/>
      <c r="BP163"/>
    </row>
    <row r="164" spans="1:68" ht="16">
      <c r="A164" t="s">
        <v>305</v>
      </c>
      <c r="C164" s="310"/>
      <c r="K164" s="47" t="s">
        <v>378</v>
      </c>
      <c r="L164" s="77" t="s">
        <v>515</v>
      </c>
      <c r="N164" s="81">
        <f>O164-5</f>
        <v>38</v>
      </c>
      <c r="O164" s="81">
        <f>$F$163-4</f>
        <v>43</v>
      </c>
      <c r="P164" s="129">
        <f>N164/$F$163</f>
        <v>0.80851063829787229</v>
      </c>
      <c r="Q164" s="129">
        <f>N164/O164</f>
        <v>0.88372093023255816</v>
      </c>
      <c r="R164" s="127">
        <f>2*(P164*Q164)/(P164+Q164)</f>
        <v>0.84444444444444444</v>
      </c>
      <c r="T164" s="81">
        <f>U164-5</f>
        <v>7</v>
      </c>
      <c r="U164" s="81">
        <f>$G$163-1</f>
        <v>12</v>
      </c>
      <c r="V164" s="129">
        <f>T164/$G$163</f>
        <v>0.53846153846153844</v>
      </c>
      <c r="W164" s="129">
        <f>T164/U164</f>
        <v>0.58333333333333337</v>
      </c>
      <c r="X164" s="127">
        <f>2*(V164*W164)/(V164+W164)</f>
        <v>0.55999999999999994</v>
      </c>
      <c r="Z164" s="81">
        <f>AA164-2</f>
        <v>41</v>
      </c>
      <c r="AA164" s="81">
        <f>$I$163-3</f>
        <v>43</v>
      </c>
      <c r="AB164" s="129">
        <f>Z164/$I$163</f>
        <v>0.89130434782608692</v>
      </c>
      <c r="AC164" s="129">
        <f>Z164/AA164</f>
        <v>0.95348837209302328</v>
      </c>
      <c r="AD164" s="127">
        <f>2*(AB164*AC164)/(AB164+AC164)</f>
        <v>0.92134831460674171</v>
      </c>
      <c r="AF164">
        <v>4</v>
      </c>
      <c r="AG164">
        <v>4</v>
      </c>
      <c r="AH164" s="127">
        <f>AF164/$H$163</f>
        <v>0.17391304347826086</v>
      </c>
      <c r="AI164" s="127">
        <f>AF164/AG164</f>
        <v>1</v>
      </c>
      <c r="AL164" s="122">
        <v>2</v>
      </c>
      <c r="AM164" s="101">
        <v>2</v>
      </c>
      <c r="AN164">
        <v>393</v>
      </c>
      <c r="AO164">
        <v>22</v>
      </c>
      <c r="AP164" s="101">
        <v>19</v>
      </c>
      <c r="AQ164" s="101">
        <v>18</v>
      </c>
      <c r="AR164">
        <v>3</v>
      </c>
      <c r="AS164">
        <v>3</v>
      </c>
      <c r="AT164">
        <v>0</v>
      </c>
      <c r="AU164" s="119">
        <v>21</v>
      </c>
      <c r="AV164" s="101">
        <f>($F$163-M164)/$F$163</f>
        <v>1</v>
      </c>
      <c r="AX164" s="101">
        <f>($G$163-AM164)/$G$163</f>
        <v>0.84615384615384615</v>
      </c>
      <c r="AY164" s="101">
        <f>AQ164/AP164</f>
        <v>0.94736842105263153</v>
      </c>
      <c r="AZ164" s="101">
        <f>AS164/AR164</f>
        <v>1</v>
      </c>
      <c r="BA164" s="85">
        <f>(AV164+AX164+AY164+AZ164)/4</f>
        <v>0.94838056680161942</v>
      </c>
      <c r="BB164" s="13">
        <f>AO164/$H$163</f>
        <v>0.95652173913043481</v>
      </c>
      <c r="BC164" s="118">
        <f>AU164/AO164</f>
        <v>0.95454545454545459</v>
      </c>
      <c r="BD164" s="13">
        <f>AN164/AO164</f>
        <v>17.863636363636363</v>
      </c>
      <c r="BE164" s="13">
        <f>AS164/$H$163</f>
        <v>0.13043478260869565</v>
      </c>
      <c r="BF164" s="13">
        <f>AQ164/$H$163</f>
        <v>0.78260869565217395</v>
      </c>
      <c r="BP164" t="str">
        <f>_xlfn.CONCAT($C$163," &amp; ",C164," &amp; ",P164," &amp; ",Q164," &amp; ",R164," &amp; ",V164," &amp; ",W164," &amp; ",X164," &amp; ",AB164," &amp; ",AC164," &amp; ",AD164," &amp; ",AF164," &amp; ",AG164," &amp; ",AH164," &amp; ",AI164, " \\ \hline")</f>
        <v>1-4 &amp;  &amp; 0.808510638297872 &amp; 0.883720930232558 &amp; 0.844444444444444 &amp; 0.538461538461538 &amp; 0.583333333333333 &amp; 0.56 &amp; 0.891304347826087 &amp; 0.953488372093023 &amp; 0.921348314606742 &amp; 4 &amp; 4 &amp; 0.173913043478261 &amp; 1 \\ \hline</v>
      </c>
    </row>
    <row r="165" spans="1:68" ht="16">
      <c r="A165" t="s">
        <v>306</v>
      </c>
      <c r="C165" s="310"/>
      <c r="K165" s="47" t="s">
        <v>379</v>
      </c>
      <c r="L165" s="77" t="s">
        <v>516</v>
      </c>
      <c r="N165" s="81">
        <f>O165-3</f>
        <v>42</v>
      </c>
      <c r="O165" s="81">
        <f>$F$163-2</f>
        <v>45</v>
      </c>
      <c r="P165" s="129">
        <f>N165/$F$163</f>
        <v>0.8936170212765957</v>
      </c>
      <c r="Q165" s="129">
        <f>N165/O165</f>
        <v>0.93333333333333335</v>
      </c>
      <c r="R165" s="127">
        <f>2*(P165*Q165)/(P165+Q165)</f>
        <v>0.91304347826086951</v>
      </c>
      <c r="T165" s="81">
        <f>U165-1</f>
        <v>11</v>
      </c>
      <c r="U165" s="81">
        <f>$G$163-1</f>
        <v>12</v>
      </c>
      <c r="V165" s="129">
        <f>T165/$G$163</f>
        <v>0.84615384615384615</v>
      </c>
      <c r="W165" s="129">
        <f>T165/U165</f>
        <v>0.91666666666666663</v>
      </c>
      <c r="X165" s="127">
        <f>2*(V165*W165)/(V165+W165)</f>
        <v>0.87999999999999989</v>
      </c>
      <c r="Z165" s="81">
        <f>AA165-25</f>
        <v>19</v>
      </c>
      <c r="AA165" s="81">
        <f>$I$163-2</f>
        <v>44</v>
      </c>
      <c r="AB165" s="129">
        <f>Z165/$I$163</f>
        <v>0.41304347826086957</v>
      </c>
      <c r="AC165" s="129">
        <f>Z165/AA165</f>
        <v>0.43181818181818182</v>
      </c>
      <c r="AD165" s="127">
        <f>2*(AB165*AC165)/(AB165+AC165)</f>
        <v>0.42222222222222222</v>
      </c>
      <c r="AF165" s="81">
        <v>0</v>
      </c>
      <c r="AG165" s="81">
        <v>0</v>
      </c>
      <c r="AH165" s="127">
        <f>AF165/$H$163</f>
        <v>0</v>
      </c>
      <c r="AI165" s="127">
        <v>0</v>
      </c>
      <c r="AN165">
        <v>329</v>
      </c>
      <c r="AO165">
        <v>20</v>
      </c>
      <c r="AT165">
        <v>2</v>
      </c>
      <c r="AV165" s="101">
        <f>($F$163-M165)/$F$163</f>
        <v>1</v>
      </c>
      <c r="AX165" s="101">
        <f>($G$163-AM165)/$G$163</f>
        <v>1</v>
      </c>
      <c r="AY165" s="101" t="e">
        <f>AQ165/AP165</f>
        <v>#DIV/0!</v>
      </c>
      <c r="AZ165" s="101" t="e">
        <f>AS165/AR165</f>
        <v>#DIV/0!</v>
      </c>
      <c r="BA165" s="85" t="e">
        <f>(AV165+AX165+AY165+AZ165)/4</f>
        <v>#DIV/0!</v>
      </c>
      <c r="BB165" s="13">
        <f>AO165/$H$163</f>
        <v>0.86956521739130432</v>
      </c>
      <c r="BC165" s="118">
        <f>AU165/AO165</f>
        <v>0</v>
      </c>
      <c r="BD165" s="13">
        <f>AN165/AO165</f>
        <v>16.45</v>
      </c>
      <c r="BE165" s="13">
        <f>AS165/$H$163</f>
        <v>0</v>
      </c>
      <c r="BF165" s="13">
        <f>AQ165/$H$163</f>
        <v>0</v>
      </c>
      <c r="BP165" t="str">
        <f t="shared" ref="BP165:BP168" si="23">_xlfn.CONCAT($C$163," &amp; ",C165," &amp; ",P165," &amp; ",Q165," &amp; ",R165," &amp; ",V165," &amp; ",W165," &amp; ",X165," &amp; ",AB165," &amp; ",AC165," &amp; ",AD165," &amp; ",AF165," &amp; ",AG165," &amp; ",AH165," &amp; ",AI165, " \\ \hline")</f>
        <v>1-4 &amp;  &amp; 0.893617021276596 &amp; 0.933333333333333 &amp; 0.91304347826087 &amp; 0.846153846153846 &amp; 0.916666666666667 &amp; 0.88 &amp; 0.41304347826087 &amp; 0.431818181818182 &amp; 0.422222222222222 &amp; 0 &amp; 0 &amp; 0 &amp; 0 \\ \hline</v>
      </c>
    </row>
    <row r="166" spans="1:68" ht="16">
      <c r="A166" t="s">
        <v>307</v>
      </c>
      <c r="C166" s="310"/>
      <c r="K166" s="47" t="s">
        <v>380</v>
      </c>
      <c r="L166" s="77" t="s">
        <v>537</v>
      </c>
      <c r="N166" s="81">
        <f>O166-5</f>
        <v>41</v>
      </c>
      <c r="O166" s="81">
        <f>$F$163-1</f>
        <v>46</v>
      </c>
      <c r="P166" s="129">
        <f>N166/$F$163</f>
        <v>0.87234042553191493</v>
      </c>
      <c r="Q166" s="129">
        <f>N166/O166</f>
        <v>0.89130434782608692</v>
      </c>
      <c r="R166" s="127">
        <f>2*(P166*Q166)/(P166+Q166)</f>
        <v>0.88172043010752688</v>
      </c>
      <c r="T166" s="81">
        <f>U166-3</f>
        <v>9</v>
      </c>
      <c r="U166" s="81">
        <f>$G$163-1</f>
        <v>12</v>
      </c>
      <c r="V166" s="129">
        <f>T166/$G$163</f>
        <v>0.69230769230769229</v>
      </c>
      <c r="W166" s="129">
        <f>T166/U166</f>
        <v>0.75</v>
      </c>
      <c r="X166" s="127">
        <f>2*(V166*W166)/(V166+W166)</f>
        <v>0.71999999999999986</v>
      </c>
      <c r="Z166" s="81">
        <f>AA166-2</f>
        <v>43</v>
      </c>
      <c r="AA166" s="81">
        <f>$I$163-1</f>
        <v>45</v>
      </c>
      <c r="AB166" s="129">
        <f>Z166/$I$163</f>
        <v>0.93478260869565222</v>
      </c>
      <c r="AC166" s="129">
        <f>Z166/AA166</f>
        <v>0.9555555555555556</v>
      </c>
      <c r="AD166" s="127">
        <f>2*(AB166*AC166)/(AB166+AC166)</f>
        <v>0.94505494505494503</v>
      </c>
      <c r="AF166" s="81">
        <v>0</v>
      </c>
      <c r="AG166" s="81">
        <v>0</v>
      </c>
      <c r="AH166" s="127">
        <f>AF166/$H$163</f>
        <v>0</v>
      </c>
      <c r="AI166" s="127">
        <v>0</v>
      </c>
      <c r="AV166" s="101">
        <f>($F$163-M166)/$F$163</f>
        <v>1</v>
      </c>
      <c r="AX166" s="101">
        <f>($G$163-AM166)/$G$163</f>
        <v>1</v>
      </c>
      <c r="AY166" s="101" t="e">
        <f>AQ166/AP166</f>
        <v>#DIV/0!</v>
      </c>
      <c r="AZ166" s="101" t="e">
        <f>AS166/AR166</f>
        <v>#DIV/0!</v>
      </c>
      <c r="BA166" s="85" t="e">
        <f>(AV166+AX166+AY166+AZ166)/4</f>
        <v>#DIV/0!</v>
      </c>
      <c r="BB166" s="13">
        <f>AO166/$H$163</f>
        <v>0</v>
      </c>
      <c r="BC166" s="118" t="e">
        <f>AU166/AO166</f>
        <v>#DIV/0!</v>
      </c>
      <c r="BD166" s="13" t="e">
        <f>AN166/AO166</f>
        <v>#DIV/0!</v>
      </c>
      <c r="BE166" s="13">
        <f>AS166/$H$163</f>
        <v>0</v>
      </c>
      <c r="BF166" s="13">
        <f>AQ166/$H$163</f>
        <v>0</v>
      </c>
      <c r="BP166" t="str">
        <f t="shared" si="23"/>
        <v>1-4 &amp;  &amp; 0.872340425531915 &amp; 0.891304347826087 &amp; 0.881720430107527 &amp; 0.692307692307692 &amp; 0.75 &amp; 0.72 &amp; 0.934782608695652 &amp; 0.955555555555556 &amp; 0.945054945054945 &amp; 0 &amp; 0 &amp; 0 &amp; 0 \\ \hline</v>
      </c>
    </row>
    <row r="167" spans="1:68" ht="16">
      <c r="A167" t="s">
        <v>308</v>
      </c>
      <c r="C167" s="310"/>
      <c r="K167" s="47" t="s">
        <v>381</v>
      </c>
      <c r="L167" s="77" t="s">
        <v>539</v>
      </c>
      <c r="N167" s="81">
        <f>O167-5</f>
        <v>41</v>
      </c>
      <c r="O167" s="81">
        <f>$F$163-1</f>
        <v>46</v>
      </c>
      <c r="P167" s="129">
        <f>N167/$F$163</f>
        <v>0.87234042553191493</v>
      </c>
      <c r="Q167" s="129">
        <f>N167/O167</f>
        <v>0.89130434782608692</v>
      </c>
      <c r="R167" s="127">
        <f>2*(P167*Q167)/(P167+Q167)</f>
        <v>0.88172043010752688</v>
      </c>
      <c r="T167" s="81">
        <f>U167-2</f>
        <v>9</v>
      </c>
      <c r="U167" s="81">
        <f>$G$163-2</f>
        <v>11</v>
      </c>
      <c r="V167" s="129">
        <f>T167/$G$163</f>
        <v>0.69230769230769229</v>
      </c>
      <c r="W167" s="129">
        <f>T167/U167</f>
        <v>0.81818181818181823</v>
      </c>
      <c r="X167" s="127">
        <f>2*(V167*W167)/(V167+W167)</f>
        <v>0.75000000000000011</v>
      </c>
      <c r="Z167" s="81">
        <f>AA167-2</f>
        <v>43</v>
      </c>
      <c r="AA167" s="81">
        <f>$I$163-1</f>
        <v>45</v>
      </c>
      <c r="AB167" s="129">
        <f>Z167/$I$163</f>
        <v>0.93478260869565222</v>
      </c>
      <c r="AC167" s="129">
        <f>Z167/AA167</f>
        <v>0.9555555555555556</v>
      </c>
      <c r="AD167" s="127">
        <f>2*(AB167*AC167)/(AB167+AC167)</f>
        <v>0.94505494505494503</v>
      </c>
      <c r="AF167" s="81">
        <v>1</v>
      </c>
      <c r="AG167" s="81">
        <v>1</v>
      </c>
      <c r="AH167" s="127">
        <f>AF167/$H$163</f>
        <v>4.3478260869565216E-2</v>
      </c>
      <c r="AI167" s="127">
        <v>0</v>
      </c>
      <c r="AV167" s="101">
        <f>($F$163-M167)/$F$163</f>
        <v>1</v>
      </c>
      <c r="AX167" s="101">
        <f>($G$163-AM167)/$G$163</f>
        <v>1</v>
      </c>
      <c r="AY167" s="101" t="e">
        <f>AQ167/AP167</f>
        <v>#DIV/0!</v>
      </c>
      <c r="AZ167" s="101" t="e">
        <f>AS167/AR167</f>
        <v>#DIV/0!</v>
      </c>
      <c r="BA167" s="85" t="e">
        <f>(AV167+AX167+AY167+AZ167)/4</f>
        <v>#DIV/0!</v>
      </c>
      <c r="BB167" s="13">
        <f>AO167/$H$163</f>
        <v>0</v>
      </c>
      <c r="BC167" s="118" t="e">
        <f>AU167/AO167</f>
        <v>#DIV/0!</v>
      </c>
      <c r="BD167" s="13" t="e">
        <f>AN167/AO167</f>
        <v>#DIV/0!</v>
      </c>
      <c r="BE167" s="13">
        <f>AS167/$H$163</f>
        <v>0</v>
      </c>
      <c r="BF167" s="13">
        <f>AQ167/$H$163</f>
        <v>0</v>
      </c>
      <c r="BP167" t="str">
        <f t="shared" si="23"/>
        <v>1-4 &amp;  &amp; 0.872340425531915 &amp; 0.891304347826087 &amp; 0.881720430107527 &amp; 0.692307692307692 &amp; 0.818181818181818 &amp; 0.75 &amp; 0.934782608695652 &amp; 0.955555555555556 &amp; 0.945054945054945 &amp; 1 &amp; 1 &amp; 0.0434782608695652 &amp; 0 \\ \hline</v>
      </c>
    </row>
    <row r="168" spans="1:68" ht="16">
      <c r="A168" t="s">
        <v>309</v>
      </c>
      <c r="C168" s="310"/>
      <c r="K168" s="47" t="s">
        <v>382</v>
      </c>
      <c r="L168" s="77" t="s">
        <v>538</v>
      </c>
      <c r="N168" s="81">
        <f>O168-5</f>
        <v>40</v>
      </c>
      <c r="O168" s="81">
        <f>$F$163-2</f>
        <v>45</v>
      </c>
      <c r="P168" s="129">
        <f>N168/$F$163</f>
        <v>0.85106382978723405</v>
      </c>
      <c r="Q168" s="129">
        <f>N168/O168</f>
        <v>0.88888888888888884</v>
      </c>
      <c r="R168" s="127">
        <f>2*(P168*Q168)/(P168+Q168)</f>
        <v>0.86956521739130443</v>
      </c>
      <c r="T168" s="81">
        <f>U168-3</f>
        <v>7</v>
      </c>
      <c r="U168" s="81">
        <f>$G$163-3</f>
        <v>10</v>
      </c>
      <c r="V168" s="129">
        <f>T168/$G$163</f>
        <v>0.53846153846153844</v>
      </c>
      <c r="W168" s="129">
        <f>T168/U168</f>
        <v>0.7</v>
      </c>
      <c r="X168" s="127">
        <f>2*(V168*W168)/(V168+W168)</f>
        <v>0.60869565217391297</v>
      </c>
      <c r="Z168" s="81">
        <f>AA168-2</f>
        <v>43</v>
      </c>
      <c r="AA168" s="81">
        <f>$I$163-1</f>
        <v>45</v>
      </c>
      <c r="AB168" s="129">
        <f>Z168/$I$163</f>
        <v>0.93478260869565222</v>
      </c>
      <c r="AC168" s="129">
        <f>Z168/AA168</f>
        <v>0.9555555555555556</v>
      </c>
      <c r="AD168" s="127">
        <f>2*(AB168*AC168)/(AB168+AC168)</f>
        <v>0.94505494505494503</v>
      </c>
      <c r="AF168" s="81">
        <v>3</v>
      </c>
      <c r="AG168" s="81">
        <v>3</v>
      </c>
      <c r="AH168" s="127">
        <f>AF168/$H$163</f>
        <v>0.13043478260869565</v>
      </c>
      <c r="AI168" s="127">
        <f>AF168/AG168</f>
        <v>1</v>
      </c>
      <c r="AV168" s="101">
        <f>($F$163-M168)/$F$163</f>
        <v>1</v>
      </c>
      <c r="AX168" s="101">
        <f>($G$163-AM168)/$G$163</f>
        <v>1</v>
      </c>
      <c r="AY168" s="101" t="e">
        <f>AQ168/AP168</f>
        <v>#DIV/0!</v>
      </c>
      <c r="AZ168" s="101" t="e">
        <f>AS168/AR168</f>
        <v>#DIV/0!</v>
      </c>
      <c r="BA168" s="85" t="e">
        <f>(AV168+AX168+AY168+AZ168)/4</f>
        <v>#DIV/0!</v>
      </c>
      <c r="BB168" s="13">
        <f>AO168/$H$163</f>
        <v>0</v>
      </c>
      <c r="BC168" s="118" t="e">
        <f>AU168/AO168</f>
        <v>#DIV/0!</v>
      </c>
      <c r="BD168" s="13" t="e">
        <f>AN168/AO168</f>
        <v>#DIV/0!</v>
      </c>
      <c r="BE168" s="13">
        <f>AS168/$H$163</f>
        <v>0</v>
      </c>
      <c r="BF168" s="13">
        <f>AQ168/$H$163</f>
        <v>0</v>
      </c>
      <c r="BP168" t="str">
        <f t="shared" si="23"/>
        <v>1-4 &amp;  &amp; 0.851063829787234 &amp; 0.888888888888889 &amp; 0.869565217391304 &amp; 0.538461538461538 &amp; 0.7 &amp; 0.608695652173913 &amp; 0.934782608695652 &amp; 0.955555555555556 &amp; 0.945054945054945 &amp; 3 &amp; 3 &amp; 0.130434782608696 &amp; 1 \\ \hline</v>
      </c>
    </row>
    <row r="169" spans="1:68">
      <c r="P169" s="129"/>
      <c r="Q169" s="129"/>
      <c r="R169" s="127"/>
      <c r="V169" s="129"/>
      <c r="W169" s="129"/>
      <c r="X169" s="127"/>
      <c r="AB169" s="129"/>
      <c r="AC169" s="129"/>
      <c r="AD169" s="127"/>
      <c r="AH169" s="127"/>
      <c r="AI169" s="131"/>
    </row>
    <row r="170" spans="1:68" s="75" customFormat="1">
      <c r="A170" s="75" t="s">
        <v>336</v>
      </c>
      <c r="B170" s="94">
        <v>45179</v>
      </c>
      <c r="C170" s="93" t="s">
        <v>163</v>
      </c>
      <c r="D170" s="78">
        <f>VLOOKUP($C$170,Overview!$Q$2:$AS$64,23,FALSE)</f>
        <v>1.3319028194330147</v>
      </c>
      <c r="E170" s="78" t="str">
        <f>VLOOKUP($C$170,Overview!$Q$2:$AS$64,24,FALSE)</f>
        <v>medium</v>
      </c>
      <c r="F170" s="75">
        <f>VLOOKUP(C170,Overview!$Q$2:$AS$64,13,FALSE)</f>
        <v>55</v>
      </c>
      <c r="G170" s="75">
        <f>VLOOKUP(C170,Overview!$Q$2:$AS$64,16,FALSE)</f>
        <v>10</v>
      </c>
      <c r="H170" s="75">
        <f>VLOOKUP(C170,Overview!$Q$2:$AS$64,18,FALSE)</f>
        <v>30</v>
      </c>
      <c r="I170" s="75">
        <f>VLOOKUP($C$170,Overview!$Q$2:$AS$64,19,FALSE)</f>
        <v>55</v>
      </c>
      <c r="K170" s="96"/>
      <c r="M170" s="115"/>
      <c r="N170" s="97"/>
      <c r="O170" s="97"/>
      <c r="P170" s="130"/>
      <c r="Q170" s="130"/>
      <c r="R170" s="128"/>
      <c r="S170" s="115"/>
      <c r="T170" s="97"/>
      <c r="U170" s="97"/>
      <c r="V170" s="130"/>
      <c r="W170" s="130"/>
      <c r="X170" s="128"/>
      <c r="Y170" s="115"/>
      <c r="Z170" s="97"/>
      <c r="AA170" s="97"/>
      <c r="AB170" s="130"/>
      <c r="AC170" s="130"/>
      <c r="AD170" s="128"/>
      <c r="AE170" s="115"/>
      <c r="AF170" s="97"/>
      <c r="AG170" s="97"/>
      <c r="AH170" s="128"/>
      <c r="AI170" s="132"/>
      <c r="AJ170" s="97"/>
      <c r="AK170" s="115"/>
      <c r="AL170" s="122"/>
      <c r="AM170" s="101"/>
      <c r="AP170" s="101"/>
      <c r="AQ170" s="101"/>
      <c r="AU170" s="119"/>
      <c r="AV170" s="101"/>
      <c r="AW170" s="101"/>
      <c r="AX170" s="101"/>
      <c r="AY170" s="101"/>
      <c r="AZ170" s="101"/>
      <c r="BA170" s="83"/>
      <c r="BC170" s="101"/>
      <c r="BP170"/>
    </row>
    <row r="171" spans="1:68" ht="16">
      <c r="A171" t="s">
        <v>305</v>
      </c>
      <c r="C171" s="310"/>
      <c r="K171" s="47" t="s">
        <v>378</v>
      </c>
      <c r="L171" s="77" t="s">
        <v>540</v>
      </c>
      <c r="N171" s="81">
        <f>O171-4</f>
        <v>30</v>
      </c>
      <c r="O171" s="81">
        <f>$F$170-21</f>
        <v>34</v>
      </c>
      <c r="P171" s="129">
        <f>N171/$F$170</f>
        <v>0.54545454545454541</v>
      </c>
      <c r="Q171" s="129">
        <f>N171/O171</f>
        <v>0.88235294117647056</v>
      </c>
      <c r="R171" s="127">
        <f>2*(P171*Q171)/(P171+Q171)</f>
        <v>0.6741573033707865</v>
      </c>
      <c r="T171" s="81">
        <f>U171-1</f>
        <v>6</v>
      </c>
      <c r="U171" s="81">
        <f>$G$170-3</f>
        <v>7</v>
      </c>
      <c r="V171" s="129">
        <f>T171/$G$170</f>
        <v>0.6</v>
      </c>
      <c r="W171" s="129">
        <f>T171/U171</f>
        <v>0.8571428571428571</v>
      </c>
      <c r="X171" s="127">
        <f>2*(V171*W171)/(V171+W171)</f>
        <v>0.70588235294117641</v>
      </c>
      <c r="Z171" s="81">
        <f>AA171-4</f>
        <v>30</v>
      </c>
      <c r="AA171" s="81">
        <f>$I$170-21</f>
        <v>34</v>
      </c>
      <c r="AB171" s="129">
        <f>Z171/$I$170</f>
        <v>0.54545454545454541</v>
      </c>
      <c r="AC171" s="129">
        <f>Z171/AA171</f>
        <v>0.88235294117647056</v>
      </c>
      <c r="AD171" s="127">
        <f>2*(AB171*AC171)/(AB171+AC171)</f>
        <v>0.6741573033707865</v>
      </c>
      <c r="AF171" s="81">
        <v>0</v>
      </c>
      <c r="AG171" s="81">
        <v>0</v>
      </c>
      <c r="AH171" s="127">
        <f>AF171/$H$170</f>
        <v>0</v>
      </c>
      <c r="AI171" s="127">
        <v>0</v>
      </c>
      <c r="AV171" s="101">
        <f>($F$170-M171)/$F$170</f>
        <v>1</v>
      </c>
      <c r="AX171" s="101">
        <f>($G$170-AM171)/$G$170</f>
        <v>1</v>
      </c>
      <c r="AY171" s="101" t="e">
        <f>AQ171/AP171</f>
        <v>#DIV/0!</v>
      </c>
      <c r="AZ171" s="101" t="e">
        <f>AS171/AR171</f>
        <v>#DIV/0!</v>
      </c>
      <c r="BA171" s="85" t="e">
        <f>(AV171+AX171+AY171+AZ171)/4</f>
        <v>#DIV/0!</v>
      </c>
      <c r="BB171" s="13">
        <f>AO171/$H$170</f>
        <v>0</v>
      </c>
      <c r="BC171" s="118" t="e">
        <f>AU171/AO171</f>
        <v>#DIV/0!</v>
      </c>
      <c r="BD171" s="13" t="e">
        <f>AN171/AO171</f>
        <v>#DIV/0!</v>
      </c>
      <c r="BE171" s="13">
        <f>AS171/$H$170</f>
        <v>0</v>
      </c>
      <c r="BF171" s="13">
        <f>AQ171/$H$170</f>
        <v>0</v>
      </c>
      <c r="BP171" t="str">
        <f>_xlfn.CONCAT($C$170," &amp; ",C171," &amp; ",P171," &amp; ",Q171," &amp; ",R171," &amp; ",V171," &amp; ",W171," &amp; ",X171," &amp; ",AB171," &amp; ",AC171," &amp; ",AD171," &amp; ",AF171," &amp; ",AG171," &amp; ",AH171," &amp; ",AI171, " \\ \hline")</f>
        <v>9-1 &amp;  &amp; 0.545454545454545 &amp; 0.882352941176471 &amp; 0.674157303370786 &amp; 0.6 &amp; 0.857142857142857 &amp; 0.705882352941176 &amp; 0.545454545454545 &amp; 0.882352941176471 &amp; 0.674157303370786 &amp; 0 &amp; 0 &amp; 0 &amp; 0 \\ \hline</v>
      </c>
    </row>
    <row r="172" spans="1:68" ht="16">
      <c r="A172" t="s">
        <v>306</v>
      </c>
      <c r="C172" s="310"/>
      <c r="K172" s="47" t="s">
        <v>379</v>
      </c>
      <c r="L172" s="77" t="s">
        <v>541</v>
      </c>
      <c r="N172" s="81">
        <f>O172-1</f>
        <v>38</v>
      </c>
      <c r="O172" s="81">
        <f>$F$170-16</f>
        <v>39</v>
      </c>
      <c r="P172" s="129">
        <f>N172/$F$170</f>
        <v>0.69090909090909092</v>
      </c>
      <c r="Q172" s="129">
        <f>N172/O172</f>
        <v>0.97435897435897434</v>
      </c>
      <c r="R172" s="127">
        <f>2*(P172*Q172)/(P172+Q172)</f>
        <v>0.80851063829787229</v>
      </c>
      <c r="T172" s="81">
        <f>U172-0</f>
        <v>8</v>
      </c>
      <c r="U172" s="81">
        <f>$G$170-2</f>
        <v>8</v>
      </c>
      <c r="V172" s="129">
        <f>T172/$G$170</f>
        <v>0.8</v>
      </c>
      <c r="W172" s="129">
        <f>T172/U172</f>
        <v>1</v>
      </c>
      <c r="X172" s="127">
        <f>2*(V172*W172)/(V172+W172)</f>
        <v>0.88888888888888895</v>
      </c>
      <c r="Z172" s="81">
        <f>AA172</f>
        <v>40</v>
      </c>
      <c r="AA172" s="81">
        <f>$I$170-15</f>
        <v>40</v>
      </c>
      <c r="AB172" s="129">
        <f>Z172/$I$170</f>
        <v>0.72727272727272729</v>
      </c>
      <c r="AC172" s="129">
        <f>Z172/AA172</f>
        <v>1</v>
      </c>
      <c r="AD172" s="127">
        <f>2*(AB172*AC172)/(AB172+AC172)</f>
        <v>0.8421052631578948</v>
      </c>
      <c r="AF172" s="81">
        <v>0</v>
      </c>
      <c r="AG172" s="81">
        <v>0</v>
      </c>
      <c r="AH172" s="127">
        <f>AF172/$H$170</f>
        <v>0</v>
      </c>
      <c r="AI172" s="127">
        <v>0</v>
      </c>
      <c r="AV172" s="101">
        <f>($F$170-M172)/$F$170</f>
        <v>1</v>
      </c>
      <c r="AX172" s="101">
        <f>($G$170-AM172)/$G$170</f>
        <v>1</v>
      </c>
      <c r="AY172" s="101" t="e">
        <f>AQ172/AP172</f>
        <v>#DIV/0!</v>
      </c>
      <c r="AZ172" s="101" t="e">
        <f>AS172/AR172</f>
        <v>#DIV/0!</v>
      </c>
      <c r="BA172" s="85" t="e">
        <f>(AV172+AX172+AY172+AZ172)/4</f>
        <v>#DIV/0!</v>
      </c>
      <c r="BB172" s="13">
        <f>AO172/$H$170</f>
        <v>0</v>
      </c>
      <c r="BC172" s="118" t="e">
        <f>AU172/AO172</f>
        <v>#DIV/0!</v>
      </c>
      <c r="BD172" s="13" t="e">
        <f>AN172/AO172</f>
        <v>#DIV/0!</v>
      </c>
      <c r="BE172" s="13">
        <f>AS172/$H$170</f>
        <v>0</v>
      </c>
      <c r="BF172" s="13">
        <f>AQ172/$H$170</f>
        <v>0</v>
      </c>
      <c r="BP172" t="str">
        <f t="shared" ref="BP172:BP175" si="24">_xlfn.CONCAT($C$170," &amp; ",C172," &amp; ",P172," &amp; ",Q172," &amp; ",R172," &amp; ",V172," &amp; ",W172," &amp; ",X172," &amp; ",AB172," &amp; ",AC172," &amp; ",AD172," &amp; ",AF172," &amp; ",AG172," &amp; ",AH172," &amp; ",AI172, " \\ \hline")</f>
        <v>9-1 &amp;  &amp; 0.690909090909091 &amp; 0.974358974358974 &amp; 0.808510638297872 &amp; 0.8 &amp; 1 &amp; 0.888888888888889 &amp; 0.727272727272727 &amp; 1 &amp; 0.842105263157895 &amp; 0 &amp; 0 &amp; 0 &amp; 0 \\ \hline</v>
      </c>
    </row>
    <row r="173" spans="1:68" ht="16">
      <c r="A173" t="s">
        <v>307</v>
      </c>
      <c r="C173" s="310"/>
      <c r="K173" s="47" t="s">
        <v>380</v>
      </c>
      <c r="L173" s="77" t="s">
        <v>542</v>
      </c>
      <c r="N173" s="81">
        <f>O173-4</f>
        <v>33</v>
      </c>
      <c r="O173" s="81">
        <f>$F$170-18</f>
        <v>37</v>
      </c>
      <c r="P173" s="129">
        <f>N173/$F$170</f>
        <v>0.6</v>
      </c>
      <c r="Q173" s="129">
        <f>N173/O173</f>
        <v>0.89189189189189189</v>
      </c>
      <c r="R173" s="127">
        <f>2*(P173*Q173)/(P173+Q173)</f>
        <v>0.71739130434782616</v>
      </c>
      <c r="T173" s="81">
        <f>U173-2</f>
        <v>7</v>
      </c>
      <c r="U173" s="81">
        <f>$G$170-1</f>
        <v>9</v>
      </c>
      <c r="V173" s="129">
        <f>T173/$G$170</f>
        <v>0.7</v>
      </c>
      <c r="W173" s="129">
        <f>T173/U173</f>
        <v>0.77777777777777779</v>
      </c>
      <c r="X173" s="127">
        <f>2*(V173*W173)/(V173+W173)</f>
        <v>0.73684210526315774</v>
      </c>
      <c r="Z173" s="81">
        <f>AA173-8</f>
        <v>29</v>
      </c>
      <c r="AA173" s="81">
        <f>$I$170-18</f>
        <v>37</v>
      </c>
      <c r="AB173" s="129">
        <f>Z173/$I$170</f>
        <v>0.52727272727272723</v>
      </c>
      <c r="AC173" s="129">
        <f>Z173/AA173</f>
        <v>0.78378378378378377</v>
      </c>
      <c r="AD173" s="127">
        <f>2*(AB173*AC173)/(AB173+AC173)</f>
        <v>0.63043478260869557</v>
      </c>
      <c r="AF173" s="81">
        <v>0</v>
      </c>
      <c r="AG173" s="81">
        <v>0</v>
      </c>
      <c r="AH173" s="127">
        <f>AF173/$H$170</f>
        <v>0</v>
      </c>
      <c r="AI173" s="127">
        <v>0</v>
      </c>
      <c r="AV173" s="101">
        <f>($F$170-M173)/$F$170</f>
        <v>1</v>
      </c>
      <c r="AX173" s="101">
        <f>($G$170-AM173)/$G$170</f>
        <v>1</v>
      </c>
      <c r="AY173" s="101" t="e">
        <f>AQ173/AP173</f>
        <v>#DIV/0!</v>
      </c>
      <c r="AZ173" s="101" t="e">
        <f>AS173/AR173</f>
        <v>#DIV/0!</v>
      </c>
      <c r="BA173" s="85" t="e">
        <f>(AV173+AX173+AY173+AZ173)/4</f>
        <v>#DIV/0!</v>
      </c>
      <c r="BB173" s="13">
        <f>AO173/$H$170</f>
        <v>0</v>
      </c>
      <c r="BC173" s="118" t="e">
        <f>AU173/AO173</f>
        <v>#DIV/0!</v>
      </c>
      <c r="BD173" s="13" t="e">
        <f>AN173/AO173</f>
        <v>#DIV/0!</v>
      </c>
      <c r="BE173" s="13">
        <f>AS173/$H$170</f>
        <v>0</v>
      </c>
      <c r="BF173" s="13">
        <f>AQ173/$H$170</f>
        <v>0</v>
      </c>
      <c r="BP173" t="str">
        <f t="shared" si="24"/>
        <v>9-1 &amp;  &amp; 0.6 &amp; 0.891891891891892 &amp; 0.717391304347826 &amp; 0.7 &amp; 0.777777777777778 &amp; 0.736842105263158 &amp; 0.527272727272727 &amp; 0.783783783783784 &amp; 0.630434782608696 &amp; 0 &amp; 0 &amp; 0 &amp; 0 \\ \hline</v>
      </c>
    </row>
    <row r="174" spans="1:68" ht="16">
      <c r="A174" t="s">
        <v>308</v>
      </c>
      <c r="C174" s="310"/>
      <c r="K174" s="47" t="s">
        <v>381</v>
      </c>
      <c r="L174" s="77" t="s">
        <v>543</v>
      </c>
      <c r="N174" s="81">
        <f>O174-5</f>
        <v>48</v>
      </c>
      <c r="O174" s="81">
        <f>$F$170-2</f>
        <v>53</v>
      </c>
      <c r="P174" s="129">
        <f>N174/$F$170</f>
        <v>0.87272727272727268</v>
      </c>
      <c r="Q174" s="129">
        <f>N174/O174</f>
        <v>0.90566037735849059</v>
      </c>
      <c r="R174" s="127">
        <f>2*(P174*Q174)/(P174+Q174)</f>
        <v>0.88888888888888884</v>
      </c>
      <c r="T174" s="81">
        <f>U174-3</f>
        <v>5</v>
      </c>
      <c r="U174" s="81">
        <f>$G$170-2</f>
        <v>8</v>
      </c>
      <c r="V174" s="129">
        <f>T174/$G$170</f>
        <v>0.5</v>
      </c>
      <c r="W174" s="129">
        <f>T174/U174</f>
        <v>0.625</v>
      </c>
      <c r="X174" s="127">
        <f>2*(V174*W174)/(V174+W174)</f>
        <v>0.55555555555555558</v>
      </c>
      <c r="Z174" s="81">
        <f>AA174-5</f>
        <v>48</v>
      </c>
      <c r="AA174" s="81">
        <f>$I$170-2</f>
        <v>53</v>
      </c>
      <c r="AB174" s="129">
        <f>Z174/$I$170</f>
        <v>0.87272727272727268</v>
      </c>
      <c r="AC174" s="129">
        <f>Z174/AA174</f>
        <v>0.90566037735849059</v>
      </c>
      <c r="AD174" s="127">
        <f>2*(AB174*AC174)/(AB174+AC174)</f>
        <v>0.88888888888888884</v>
      </c>
      <c r="AF174" s="81">
        <v>0</v>
      </c>
      <c r="AG174" s="81">
        <v>0</v>
      </c>
      <c r="AH174" s="127">
        <f>AF174/$H$170</f>
        <v>0</v>
      </c>
      <c r="AI174" s="127">
        <v>0</v>
      </c>
      <c r="AV174" s="101">
        <f>($F$170-M174)/$F$170</f>
        <v>1</v>
      </c>
      <c r="AX174" s="101">
        <f>($G$170-AM174)/$G$170</f>
        <v>1</v>
      </c>
      <c r="AY174" s="101" t="e">
        <f>AQ174/AP174</f>
        <v>#DIV/0!</v>
      </c>
      <c r="AZ174" s="101" t="e">
        <f>AS174/AR174</f>
        <v>#DIV/0!</v>
      </c>
      <c r="BA174" s="85" t="e">
        <f>(AV174+AX174+AY174+AZ174)/4</f>
        <v>#DIV/0!</v>
      </c>
      <c r="BB174" s="13">
        <f>AO174/$H$170</f>
        <v>0</v>
      </c>
      <c r="BC174" s="118" t="e">
        <f>AU174/AO174</f>
        <v>#DIV/0!</v>
      </c>
      <c r="BD174" s="13" t="e">
        <f>AN174/AO174</f>
        <v>#DIV/0!</v>
      </c>
      <c r="BE174" s="13">
        <f>AS174/$H$170</f>
        <v>0</v>
      </c>
      <c r="BF174" s="13">
        <f>AQ174/$H$170</f>
        <v>0</v>
      </c>
      <c r="BP174" t="str">
        <f t="shared" si="24"/>
        <v>9-1 &amp;  &amp; 0.872727272727273 &amp; 0.905660377358491 &amp; 0.888888888888889 &amp; 0.5 &amp; 0.625 &amp; 0.555555555555556 &amp; 0.872727272727273 &amp; 0.905660377358491 &amp; 0.888888888888889 &amp; 0 &amp; 0 &amp; 0 &amp; 0 \\ \hline</v>
      </c>
    </row>
    <row r="175" spans="1:68" ht="16">
      <c r="A175" t="s">
        <v>309</v>
      </c>
      <c r="C175" s="310"/>
      <c r="K175" s="47" t="s">
        <v>382</v>
      </c>
      <c r="L175" s="77" t="s">
        <v>544</v>
      </c>
      <c r="N175" s="81">
        <f>O175-4</f>
        <v>47</v>
      </c>
      <c r="O175" s="81">
        <f>$F$170-4</f>
        <v>51</v>
      </c>
      <c r="P175" s="129">
        <f>N175/$F$170</f>
        <v>0.8545454545454545</v>
      </c>
      <c r="Q175" s="129">
        <f>N175/O175</f>
        <v>0.92156862745098034</v>
      </c>
      <c r="R175" s="127">
        <f>2*(P175*Q175)/(P175+Q175)</f>
        <v>0.8867924528301887</v>
      </c>
      <c r="T175" s="81">
        <f>U175-2</f>
        <v>6</v>
      </c>
      <c r="U175" s="81">
        <f>$G$170-2</f>
        <v>8</v>
      </c>
      <c r="V175" s="129">
        <f>T175/$G$170</f>
        <v>0.6</v>
      </c>
      <c r="W175" s="129">
        <f>T175/U175</f>
        <v>0.75</v>
      </c>
      <c r="X175" s="127">
        <f>2*(V175*W175)/(V175+W175)</f>
        <v>0.66666666666666652</v>
      </c>
      <c r="Z175" s="81">
        <f>AA175-9</f>
        <v>42</v>
      </c>
      <c r="AA175" s="81">
        <f>$I$170-4</f>
        <v>51</v>
      </c>
      <c r="AB175" s="129">
        <f>Z175/$I$170</f>
        <v>0.76363636363636367</v>
      </c>
      <c r="AC175" s="129">
        <f>Z175/AA175</f>
        <v>0.82352941176470584</v>
      </c>
      <c r="AD175" s="127">
        <f>2*(AB175*AC175)/(AB175+AC175)</f>
        <v>0.79245283018867929</v>
      </c>
      <c r="AF175" s="81">
        <v>1</v>
      </c>
      <c r="AG175" s="81">
        <v>1</v>
      </c>
      <c r="AH175" s="127">
        <f>AF175/$H$170</f>
        <v>3.3333333333333333E-2</v>
      </c>
      <c r="AI175" s="127">
        <f>AF175/AG175</f>
        <v>1</v>
      </c>
      <c r="AV175" s="101">
        <f>($F$170-M175)/$F$170</f>
        <v>1</v>
      </c>
      <c r="AX175" s="101">
        <f>($G$170-AM175)/$G$170</f>
        <v>1</v>
      </c>
      <c r="AY175" s="101" t="e">
        <f>AQ175/AP175</f>
        <v>#DIV/0!</v>
      </c>
      <c r="AZ175" s="101" t="e">
        <f>AS175/AR175</f>
        <v>#DIV/0!</v>
      </c>
      <c r="BA175" s="85" t="e">
        <f>(AV175+AX175+AY175+AZ175)/4</f>
        <v>#DIV/0!</v>
      </c>
      <c r="BB175" s="13">
        <f>AO175/$H$170</f>
        <v>0</v>
      </c>
      <c r="BC175" s="118" t="e">
        <f>AU175/AO175</f>
        <v>#DIV/0!</v>
      </c>
      <c r="BD175" s="13" t="e">
        <f>AN175/AO175</f>
        <v>#DIV/0!</v>
      </c>
      <c r="BE175" s="13">
        <f>AS175/$H$170</f>
        <v>0</v>
      </c>
      <c r="BF175" s="13">
        <f>AQ175/$H$170</f>
        <v>0</v>
      </c>
      <c r="BP175" t="str">
        <f t="shared" si="24"/>
        <v>9-1 &amp;  &amp; 0.854545454545454 &amp; 0.92156862745098 &amp; 0.886792452830189 &amp; 0.6 &amp; 0.75 &amp; 0.666666666666667 &amp; 0.763636363636364 &amp; 0.823529411764706 &amp; 0.792452830188679 &amp; 1 &amp; 1 &amp; 0.0333333333333333 &amp; 1 \\ \hline</v>
      </c>
    </row>
    <row r="176" spans="1:68">
      <c r="P176" s="129"/>
      <c r="Q176" s="129"/>
      <c r="R176" s="127"/>
      <c r="V176" s="129"/>
      <c r="W176" s="129"/>
      <c r="X176" s="127"/>
      <c r="AB176" s="129"/>
      <c r="AC176" s="129"/>
      <c r="AD176" s="127"/>
      <c r="AH176" s="127"/>
      <c r="AI176" s="131"/>
    </row>
    <row r="177" spans="1:68" s="75" customFormat="1">
      <c r="A177" s="75" t="s">
        <v>337</v>
      </c>
      <c r="B177" s="94">
        <v>45179</v>
      </c>
      <c r="C177" s="93" t="s">
        <v>138</v>
      </c>
      <c r="D177" s="78">
        <f>VLOOKUP($C$177,Overview!$Q$2:$AS$64,23,FALSE)</f>
        <v>1.762299953678875</v>
      </c>
      <c r="E177" s="78" t="str">
        <f>VLOOKUP($C$177,Overview!$Q$2:$AS$64,24,FALSE)</f>
        <v>medium</v>
      </c>
      <c r="F177" s="75">
        <f>VLOOKUP(C177,Overview!$Q$2:$AS$64,13,FALSE)</f>
        <v>57</v>
      </c>
      <c r="G177" s="75">
        <f>VLOOKUP(C177,Overview!$Q$2:$AS$64,16,FALSE)</f>
        <v>10</v>
      </c>
      <c r="H177" s="75">
        <f>VLOOKUP(C177,Overview!$Q$2:$AS$64,18,FALSE)</f>
        <v>23</v>
      </c>
      <c r="I177" s="75">
        <f>VLOOKUP($C$177,Overview!$Q$2:$AS$64,19,FALSE)</f>
        <v>52</v>
      </c>
      <c r="K177" s="96"/>
      <c r="M177" s="115"/>
      <c r="N177" s="97"/>
      <c r="O177" s="97"/>
      <c r="P177" s="130"/>
      <c r="Q177" s="130"/>
      <c r="R177" s="128"/>
      <c r="S177" s="115"/>
      <c r="T177" s="97"/>
      <c r="U177" s="97"/>
      <c r="V177" s="130"/>
      <c r="W177" s="130"/>
      <c r="X177" s="128"/>
      <c r="Y177" s="115"/>
      <c r="Z177" s="97"/>
      <c r="AA177" s="97"/>
      <c r="AB177" s="130"/>
      <c r="AC177" s="130"/>
      <c r="AD177" s="128"/>
      <c r="AE177" s="115"/>
      <c r="AF177" s="97"/>
      <c r="AG177" s="97"/>
      <c r="AH177" s="128"/>
      <c r="AI177" s="132"/>
      <c r="AJ177" s="97"/>
      <c r="AK177" s="115"/>
      <c r="AL177" s="122"/>
      <c r="AM177" s="101"/>
      <c r="AP177" s="101"/>
      <c r="AQ177" s="101"/>
      <c r="AU177" s="119"/>
      <c r="AV177" s="101"/>
      <c r="AW177" s="101"/>
      <c r="AX177" s="101"/>
      <c r="AY177" s="101"/>
      <c r="AZ177" s="101"/>
      <c r="BA177" s="83"/>
      <c r="BC177" s="101"/>
      <c r="BP177"/>
    </row>
    <row r="178" spans="1:68" ht="16">
      <c r="A178" t="s">
        <v>305</v>
      </c>
      <c r="C178" s="310"/>
      <c r="K178" s="47" t="s">
        <v>378</v>
      </c>
      <c r="L178" s="77" t="s">
        <v>545</v>
      </c>
      <c r="N178" s="81">
        <f>O178-5</f>
        <v>38</v>
      </c>
      <c r="O178" s="81">
        <f>$F$177-14</f>
        <v>43</v>
      </c>
      <c r="P178" s="129">
        <f>N178/$F$177</f>
        <v>0.66666666666666663</v>
      </c>
      <c r="Q178" s="129">
        <f>N178/O178</f>
        <v>0.88372093023255816</v>
      </c>
      <c r="R178" s="127">
        <f>2*(P178*Q178)/(P178+Q178)</f>
        <v>0.7599999999999999</v>
      </c>
      <c r="T178" s="81">
        <f>U178-4</f>
        <v>4</v>
      </c>
      <c r="U178" s="81">
        <f>$G$177-2</f>
        <v>8</v>
      </c>
      <c r="V178" s="129">
        <f>T178/$G$177</f>
        <v>0.4</v>
      </c>
      <c r="W178" s="129">
        <f>T178/U178</f>
        <v>0.5</v>
      </c>
      <c r="X178" s="127">
        <f>2*(V178*W178)/(V178+W178)</f>
        <v>0.44444444444444448</v>
      </c>
      <c r="Z178" s="81">
        <f>AA178-12</f>
        <v>28</v>
      </c>
      <c r="AA178" s="81">
        <f>$I$177-12</f>
        <v>40</v>
      </c>
      <c r="AB178" s="129">
        <f>Z178/$I$177</f>
        <v>0.53846153846153844</v>
      </c>
      <c r="AC178" s="129">
        <f>Z178/AA178</f>
        <v>0.7</v>
      </c>
      <c r="AD178" s="127">
        <f>2*(AB178*AC178)/(AB178+AC178)</f>
        <v>0.60869565217391297</v>
      </c>
      <c r="AF178" s="81">
        <v>0</v>
      </c>
      <c r="AG178" s="81">
        <v>0</v>
      </c>
      <c r="AH178" s="127">
        <f>AF178/$H$177</f>
        <v>0</v>
      </c>
      <c r="AI178" s="127">
        <v>0</v>
      </c>
      <c r="AV178" s="101">
        <f>($F$177-M178)/$F$177</f>
        <v>1</v>
      </c>
      <c r="AX178" s="101">
        <f>($G$177-AM178)/$G$177</f>
        <v>1</v>
      </c>
      <c r="AY178" s="101" t="e">
        <f>AQ178/AP178</f>
        <v>#DIV/0!</v>
      </c>
      <c r="AZ178" s="101" t="e">
        <f>AS178/AR178</f>
        <v>#DIV/0!</v>
      </c>
      <c r="BA178" s="85" t="e">
        <f>(AV178+AX178+AY178+AZ178)/4</f>
        <v>#DIV/0!</v>
      </c>
      <c r="BB178" s="13">
        <f>AO178/$H$177</f>
        <v>0</v>
      </c>
      <c r="BC178" s="118" t="e">
        <f>AU178/AO178</f>
        <v>#DIV/0!</v>
      </c>
      <c r="BD178" s="13" t="e">
        <f>AN178/AO178</f>
        <v>#DIV/0!</v>
      </c>
      <c r="BE178" s="13">
        <f>AS178/$H$177</f>
        <v>0</v>
      </c>
      <c r="BF178" s="13">
        <f>AQ178/$H$177</f>
        <v>0</v>
      </c>
      <c r="BP178" t="str">
        <f>_xlfn.CONCAT($C$177," &amp; ",C178," &amp; ",P178," &amp; ",Q178," &amp; ",R178," &amp; ",V178," &amp; ",W178," &amp; ",X178," &amp; ",AB178," &amp; ",AC178," &amp; ",AD178," &amp; ",AF178," &amp; ",AG178," &amp; ",AH178," &amp; ",AI178, " \\ \hline")</f>
        <v>1-3 &amp;  &amp; 0.666666666666667 &amp; 0.883720930232558 &amp; 0.76 &amp; 0.4 &amp; 0.5 &amp; 0.444444444444444 &amp; 0.538461538461538 &amp; 0.7 &amp; 0.608695652173913 &amp; 0 &amp; 0 &amp; 0 &amp; 0 \\ \hline</v>
      </c>
    </row>
    <row r="179" spans="1:68" ht="16">
      <c r="A179" t="s">
        <v>306</v>
      </c>
      <c r="C179" s="310"/>
      <c r="K179" s="47" t="s">
        <v>379</v>
      </c>
      <c r="L179" s="77" t="s">
        <v>546</v>
      </c>
      <c r="N179" s="81">
        <f>O179-2</f>
        <v>42</v>
      </c>
      <c r="O179" s="81">
        <f>$F$177-13</f>
        <v>44</v>
      </c>
      <c r="P179" s="129">
        <f>N179/$F$177</f>
        <v>0.73684210526315785</v>
      </c>
      <c r="Q179" s="129">
        <f>N179/O179</f>
        <v>0.95454545454545459</v>
      </c>
      <c r="R179" s="127">
        <f>2*(P179*Q179)/(P179+Q179)</f>
        <v>0.83168316831683164</v>
      </c>
      <c r="T179" s="81">
        <f>U179-4</f>
        <v>4</v>
      </c>
      <c r="U179" s="81">
        <f>$G$177-2</f>
        <v>8</v>
      </c>
      <c r="V179" s="129">
        <f>T179/$G$177</f>
        <v>0.4</v>
      </c>
      <c r="W179" s="129">
        <f>T179/U179</f>
        <v>0.5</v>
      </c>
      <c r="X179" s="127">
        <f>2*(V179*W179)/(V179+W179)</f>
        <v>0.44444444444444448</v>
      </c>
      <c r="Z179" s="81">
        <f>AA179-12</f>
        <v>28</v>
      </c>
      <c r="AA179" s="81">
        <f>$I$177-12</f>
        <v>40</v>
      </c>
      <c r="AB179" s="129">
        <f>Z179/$I$177</f>
        <v>0.53846153846153844</v>
      </c>
      <c r="AC179" s="129">
        <f>Z179/AA179</f>
        <v>0.7</v>
      </c>
      <c r="AD179" s="127">
        <f>2*(AB179*AC179)/(AB179+AC179)</f>
        <v>0.60869565217391297</v>
      </c>
      <c r="AF179" s="81">
        <v>0</v>
      </c>
      <c r="AG179" s="81">
        <v>0</v>
      </c>
      <c r="AH179" s="127">
        <f>AF179/$H$177</f>
        <v>0</v>
      </c>
      <c r="AI179" s="127">
        <v>0</v>
      </c>
      <c r="AV179" s="101">
        <f>($F$177-M179)/$F$177</f>
        <v>1</v>
      </c>
      <c r="AX179" s="101">
        <f>($G$177-AM179)/$G$177</f>
        <v>1</v>
      </c>
      <c r="AY179" s="101" t="e">
        <f>AQ179/AP179</f>
        <v>#DIV/0!</v>
      </c>
      <c r="AZ179" s="101" t="e">
        <f>AS179/AR179</f>
        <v>#DIV/0!</v>
      </c>
      <c r="BA179" s="85" t="e">
        <f>(AV179+AX179+AY179+AZ179)/4</f>
        <v>#DIV/0!</v>
      </c>
      <c r="BB179" s="13">
        <f>AO179/$H$177</f>
        <v>0</v>
      </c>
      <c r="BC179" s="118" t="e">
        <f>AU179/AO179</f>
        <v>#DIV/0!</v>
      </c>
      <c r="BD179" s="13" t="e">
        <f>AN179/AO179</f>
        <v>#DIV/0!</v>
      </c>
      <c r="BE179" s="13">
        <f>AS179/$H$177</f>
        <v>0</v>
      </c>
      <c r="BF179" s="13">
        <f>AQ179/$H$177</f>
        <v>0</v>
      </c>
      <c r="BP179" t="str">
        <f t="shared" ref="BP179:BP182" si="25">_xlfn.CONCAT($C$177," &amp; ",C179," &amp; ",P179," &amp; ",Q179," &amp; ",R179," &amp; ",V179," &amp; ",W179," &amp; ",X179," &amp; ",AB179," &amp; ",AC179," &amp; ",AD179," &amp; ",AF179," &amp; ",AG179," &amp; ",AH179," &amp; ",AI179, " \\ \hline")</f>
        <v>1-3 &amp;  &amp; 0.736842105263158 &amp; 0.954545454545455 &amp; 0.831683168316832 &amp; 0.4 &amp; 0.5 &amp; 0.444444444444444 &amp; 0.538461538461538 &amp; 0.7 &amp; 0.608695652173913 &amp; 0 &amp; 0 &amp; 0 &amp; 0 \\ \hline</v>
      </c>
    </row>
    <row r="180" spans="1:68" ht="16">
      <c r="A180" t="s">
        <v>307</v>
      </c>
      <c r="C180" s="310"/>
      <c r="K180" s="47" t="s">
        <v>380</v>
      </c>
      <c r="L180" s="77" t="s">
        <v>547</v>
      </c>
      <c r="N180" s="81">
        <f>O180-5</f>
        <v>39</v>
      </c>
      <c r="O180" s="81">
        <f>$F$177-13</f>
        <v>44</v>
      </c>
      <c r="P180" s="129">
        <f>N180/$F$177</f>
        <v>0.68421052631578949</v>
      </c>
      <c r="Q180" s="129">
        <f>N180/O180</f>
        <v>0.88636363636363635</v>
      </c>
      <c r="R180" s="127">
        <f>2*(P180*Q180)/(P180+Q180)</f>
        <v>0.7722772277227723</v>
      </c>
      <c r="T180" s="81">
        <f>U180-4</f>
        <v>5</v>
      </c>
      <c r="U180" s="81">
        <f>$G$177-1</f>
        <v>9</v>
      </c>
      <c r="V180" s="129">
        <f>T180/$G$177</f>
        <v>0.5</v>
      </c>
      <c r="W180" s="129">
        <f>T180/U180</f>
        <v>0.55555555555555558</v>
      </c>
      <c r="X180" s="127">
        <f>2*(V180*W180)/(V180+W180)</f>
        <v>0.52631578947368418</v>
      </c>
      <c r="Z180" s="81">
        <f>AA180-5</f>
        <v>35</v>
      </c>
      <c r="AA180" s="81">
        <f>$I$177-12</f>
        <v>40</v>
      </c>
      <c r="AB180" s="129">
        <f>Z180/$I$177</f>
        <v>0.67307692307692313</v>
      </c>
      <c r="AC180" s="129">
        <f>Z180/AA180</f>
        <v>0.875</v>
      </c>
      <c r="AD180" s="127">
        <f>2*(AB180*AC180)/(AB180+AC180)</f>
        <v>0.76086956521739135</v>
      </c>
      <c r="AF180" s="81">
        <v>0</v>
      </c>
      <c r="AG180" s="81">
        <v>0</v>
      </c>
      <c r="AH180" s="127">
        <f>AF180/$H$177</f>
        <v>0</v>
      </c>
      <c r="AI180" s="127">
        <v>0</v>
      </c>
      <c r="AV180" s="101">
        <f>($F$177-M180)/$F$177</f>
        <v>1</v>
      </c>
      <c r="AX180" s="101">
        <f>($G$177-AM180)/$G$177</f>
        <v>1</v>
      </c>
      <c r="AY180" s="101" t="e">
        <f>AQ180/AP180</f>
        <v>#DIV/0!</v>
      </c>
      <c r="AZ180" s="101" t="e">
        <f>AS180/AR180</f>
        <v>#DIV/0!</v>
      </c>
      <c r="BA180" s="85" t="e">
        <f>(AV180+AX180+AY180+AZ180)/4</f>
        <v>#DIV/0!</v>
      </c>
      <c r="BB180" s="13">
        <f>AO180/$H$177</f>
        <v>0</v>
      </c>
      <c r="BC180" s="118" t="e">
        <f>AU180/AO180</f>
        <v>#DIV/0!</v>
      </c>
      <c r="BD180" s="13" t="e">
        <f>AN180/AO180</f>
        <v>#DIV/0!</v>
      </c>
      <c r="BE180" s="13">
        <f>AS180/$H$177</f>
        <v>0</v>
      </c>
      <c r="BF180" s="13">
        <f>AQ180/$H$177</f>
        <v>0</v>
      </c>
      <c r="BP180" t="str">
        <f t="shared" si="25"/>
        <v>1-3 &amp;  &amp; 0.684210526315789 &amp; 0.886363636363636 &amp; 0.772277227722772 &amp; 0.5 &amp; 0.555555555555556 &amp; 0.526315789473684 &amp; 0.673076923076923 &amp; 0.875 &amp; 0.760869565217391 &amp; 0 &amp; 0 &amp; 0 &amp; 0 \\ \hline</v>
      </c>
    </row>
    <row r="181" spans="1:68" ht="16">
      <c r="A181" t="s">
        <v>308</v>
      </c>
      <c r="C181" s="310"/>
      <c r="K181" s="47" t="s">
        <v>381</v>
      </c>
      <c r="L181" s="77" t="s">
        <v>548</v>
      </c>
      <c r="N181" s="81">
        <f>O181-5</f>
        <v>41</v>
      </c>
      <c r="O181" s="81">
        <f>$F$177-11</f>
        <v>46</v>
      </c>
      <c r="P181" s="129">
        <f>N181/$F$177</f>
        <v>0.7192982456140351</v>
      </c>
      <c r="Q181" s="129">
        <f>N181/O181</f>
        <v>0.89130434782608692</v>
      </c>
      <c r="R181" s="127">
        <f>2*(P181*Q181)/(P181+Q181)</f>
        <v>0.79611650485436891</v>
      </c>
      <c r="T181" s="81">
        <f>U181-5</f>
        <v>5</v>
      </c>
      <c r="U181" s="81">
        <f>$G$177-0</f>
        <v>10</v>
      </c>
      <c r="V181" s="129">
        <f>T181/$G$177</f>
        <v>0.5</v>
      </c>
      <c r="W181" s="129">
        <f>T181/U181</f>
        <v>0.5</v>
      </c>
      <c r="X181" s="127">
        <f>2*(V181*W181)/(V181+W181)</f>
        <v>0.5</v>
      </c>
      <c r="Z181" s="81">
        <f>AA181-5</f>
        <v>36</v>
      </c>
      <c r="AA181" s="81">
        <f>$I$177-11</f>
        <v>41</v>
      </c>
      <c r="AB181" s="129">
        <f>Z181/$I$177</f>
        <v>0.69230769230769229</v>
      </c>
      <c r="AC181" s="129">
        <f>Z181/AA181</f>
        <v>0.87804878048780488</v>
      </c>
      <c r="AD181" s="127">
        <f>2*(AB181*AC181)/(AB181+AC181)</f>
        <v>0.77419354838709664</v>
      </c>
      <c r="AF181" s="81">
        <v>0</v>
      </c>
      <c r="AG181" s="81">
        <v>0</v>
      </c>
      <c r="AH181" s="127">
        <f>AF181/$H$177</f>
        <v>0</v>
      </c>
      <c r="AI181" s="127">
        <v>0</v>
      </c>
      <c r="AV181" s="101">
        <f>($F$177-M181)/$F$177</f>
        <v>1</v>
      </c>
      <c r="AX181" s="101">
        <f>($G$177-AM181)/$G$177</f>
        <v>1</v>
      </c>
      <c r="AY181" s="101" t="e">
        <f>AQ181/AP181</f>
        <v>#DIV/0!</v>
      </c>
      <c r="AZ181" s="101" t="e">
        <f>AS181/AR181</f>
        <v>#DIV/0!</v>
      </c>
      <c r="BA181" s="85" t="e">
        <f>(AV181+AX181+AY181+AZ181)/4</f>
        <v>#DIV/0!</v>
      </c>
      <c r="BB181" s="13">
        <f>AO181/$H$177</f>
        <v>0</v>
      </c>
      <c r="BC181" s="118" t="e">
        <f>AU181/AO181</f>
        <v>#DIV/0!</v>
      </c>
      <c r="BD181" s="13" t="e">
        <f>AN181/AO181</f>
        <v>#DIV/0!</v>
      </c>
      <c r="BE181" s="13">
        <f>AS181/$H$177</f>
        <v>0</v>
      </c>
      <c r="BF181" s="13">
        <f>AQ181/$H$177</f>
        <v>0</v>
      </c>
      <c r="BP181" t="str">
        <f t="shared" si="25"/>
        <v>1-3 &amp;  &amp; 0.719298245614035 &amp; 0.891304347826087 &amp; 0.796116504854369 &amp; 0.5 &amp; 0.5 &amp; 0.5 &amp; 0.692307692307692 &amp; 0.878048780487805 &amp; 0.774193548387097 &amp; 0 &amp; 0 &amp; 0 &amp; 0 \\ \hline</v>
      </c>
    </row>
    <row r="182" spans="1:68" ht="16">
      <c r="A182" t="s">
        <v>309</v>
      </c>
      <c r="C182" s="310"/>
      <c r="K182" s="47" t="s">
        <v>382</v>
      </c>
      <c r="L182" s="77" t="s">
        <v>549</v>
      </c>
      <c r="N182" s="81">
        <f>O182-2</f>
        <v>46</v>
      </c>
      <c r="O182" s="81">
        <f>$F$177-9</f>
        <v>48</v>
      </c>
      <c r="P182" s="129">
        <f>N182/$F$177</f>
        <v>0.80701754385964908</v>
      </c>
      <c r="Q182" s="129">
        <f>N182/O182</f>
        <v>0.95833333333333337</v>
      </c>
      <c r="R182" s="127">
        <f>2*(P182*Q182)/(P182+Q182)</f>
        <v>0.87619047619047619</v>
      </c>
      <c r="T182" s="81">
        <f>U182-1</f>
        <v>8</v>
      </c>
      <c r="U182" s="81">
        <f>$G$177-1</f>
        <v>9</v>
      </c>
      <c r="V182" s="129">
        <f>T182/$G$177</f>
        <v>0.8</v>
      </c>
      <c r="W182" s="129">
        <f>T182/U182</f>
        <v>0.88888888888888884</v>
      </c>
      <c r="X182" s="127">
        <f>2*(V182*W182)/(V182+W182)</f>
        <v>0.8421052631578948</v>
      </c>
      <c r="Z182" s="81">
        <f>AA182-6</f>
        <v>38</v>
      </c>
      <c r="AA182" s="81">
        <f>$I$177-8</f>
        <v>44</v>
      </c>
      <c r="AB182" s="129">
        <f>Z182/$I$177</f>
        <v>0.73076923076923073</v>
      </c>
      <c r="AC182" s="129">
        <f>Z182/AA182</f>
        <v>0.86363636363636365</v>
      </c>
      <c r="AD182" s="127">
        <f>2*(AB182*AC182)/(AB182+AC182)</f>
        <v>0.79166666666666663</v>
      </c>
      <c r="AF182" s="81">
        <v>0</v>
      </c>
      <c r="AG182" s="81">
        <v>0</v>
      </c>
      <c r="AH182" s="127">
        <f>AF182/$H$177</f>
        <v>0</v>
      </c>
      <c r="AI182" s="127">
        <v>0</v>
      </c>
      <c r="AV182" s="101">
        <f>($F$177-M182)/$F$177</f>
        <v>1</v>
      </c>
      <c r="AX182" s="101">
        <f>($G$177-AM182)/$G$177</f>
        <v>1</v>
      </c>
      <c r="AY182" s="101" t="e">
        <f>AQ182/AP182</f>
        <v>#DIV/0!</v>
      </c>
      <c r="AZ182" s="101" t="e">
        <f>AS182/AR182</f>
        <v>#DIV/0!</v>
      </c>
      <c r="BA182" s="85" t="e">
        <f>(AV182+AX182+AY182+AZ182)/4</f>
        <v>#DIV/0!</v>
      </c>
      <c r="BB182" s="13">
        <f>AO182/$H$177</f>
        <v>0</v>
      </c>
      <c r="BC182" s="118" t="e">
        <f>AU182/AO182</f>
        <v>#DIV/0!</v>
      </c>
      <c r="BD182" s="13" t="e">
        <f>AN182/AO182</f>
        <v>#DIV/0!</v>
      </c>
      <c r="BE182" s="13">
        <f>AS182/$H$177</f>
        <v>0</v>
      </c>
      <c r="BF182" s="13">
        <f>AQ182/$H$177</f>
        <v>0</v>
      </c>
      <c r="BP182" t="str">
        <f t="shared" si="25"/>
        <v>1-3 &amp;  &amp; 0.807017543859649 &amp; 0.958333333333333 &amp; 0.876190476190476 &amp; 0.8 &amp; 0.888888888888889 &amp; 0.842105263157895 &amp; 0.730769230769231 &amp; 0.863636363636364 &amp; 0.791666666666667 &amp; 0 &amp; 0 &amp; 0 &amp; 0 \\ \hline</v>
      </c>
    </row>
    <row r="183" spans="1:68">
      <c r="P183" s="129"/>
      <c r="Q183" s="129"/>
      <c r="R183" s="127"/>
      <c r="V183" s="129"/>
      <c r="W183" s="129"/>
      <c r="X183" s="127"/>
      <c r="AB183" s="129"/>
      <c r="AC183" s="129"/>
      <c r="AD183" s="127"/>
      <c r="AH183" s="127"/>
      <c r="AI183" s="131"/>
    </row>
    <row r="184" spans="1:68" s="75" customFormat="1">
      <c r="A184" s="75" t="s">
        <v>338</v>
      </c>
      <c r="B184" s="94">
        <v>45179</v>
      </c>
      <c r="C184" s="93" t="s">
        <v>171</v>
      </c>
      <c r="D184" s="78">
        <f>VLOOKUP($C$184,Overview!$Q$2:$AS$64,23,FALSE)</f>
        <v>1.790108913645059</v>
      </c>
      <c r="E184" s="78" t="str">
        <f>VLOOKUP($C$184,Overview!$Q$2:$AS$64,24,FALSE)</f>
        <v>medium</v>
      </c>
      <c r="F184" s="75">
        <f>VLOOKUP(C184,Overview!$Q$2:$AS$64,13,FALSE)</f>
        <v>64</v>
      </c>
      <c r="G184" s="75">
        <f>VLOOKUP(C184,Overview!$Q$2:$AS$64,16,FALSE)</f>
        <v>12</v>
      </c>
      <c r="H184" s="75">
        <f>VLOOKUP(C184,Overview!$Q$2:$AS$64,18,FALSE)</f>
        <v>27</v>
      </c>
      <c r="I184" s="75">
        <f>VLOOKUP($C$184,Overview!$Q$2:$AS$64,19,FALSE)</f>
        <v>60</v>
      </c>
      <c r="K184" s="96"/>
      <c r="M184" s="115"/>
      <c r="N184" s="97"/>
      <c r="O184" s="97"/>
      <c r="P184" s="130"/>
      <c r="Q184" s="130"/>
      <c r="R184" s="128"/>
      <c r="S184" s="115"/>
      <c r="T184" s="97"/>
      <c r="U184" s="97"/>
      <c r="V184" s="130"/>
      <c r="W184" s="130"/>
      <c r="X184" s="128"/>
      <c r="Y184" s="115"/>
      <c r="Z184" s="97"/>
      <c r="AA184" s="97"/>
      <c r="AB184" s="130"/>
      <c r="AC184" s="130"/>
      <c r="AD184" s="128"/>
      <c r="AE184" s="115"/>
      <c r="AF184" s="97"/>
      <c r="AG184" s="97"/>
      <c r="AH184" s="128"/>
      <c r="AI184" s="132"/>
      <c r="AJ184" s="97"/>
      <c r="AK184" s="115"/>
      <c r="AL184" s="122"/>
      <c r="AM184" s="101"/>
      <c r="AP184" s="101"/>
      <c r="AQ184" s="101"/>
      <c r="AU184" s="119"/>
      <c r="AV184" s="101"/>
      <c r="AW184" s="101"/>
      <c r="AX184" s="101"/>
      <c r="AY184" s="101"/>
      <c r="AZ184" s="101"/>
      <c r="BA184" s="83"/>
      <c r="BC184" s="101"/>
      <c r="BP184"/>
    </row>
    <row r="185" spans="1:68" ht="16">
      <c r="A185" t="s">
        <v>305</v>
      </c>
      <c r="C185" s="310"/>
      <c r="K185" s="47" t="s">
        <v>378</v>
      </c>
      <c r="L185" s="77" t="s">
        <v>550</v>
      </c>
      <c r="N185" s="81">
        <f>O185-6</f>
        <v>29</v>
      </c>
      <c r="O185" s="81">
        <f>$F$184-29</f>
        <v>35</v>
      </c>
      <c r="P185" s="129">
        <f>N185/$F$184</f>
        <v>0.453125</v>
      </c>
      <c r="Q185" s="129">
        <f>N185/O185</f>
        <v>0.82857142857142863</v>
      </c>
      <c r="R185" s="127">
        <f>2*(P185*Q185)/(P185+Q185)</f>
        <v>0.58585858585858575</v>
      </c>
      <c r="T185" s="81">
        <f>U185-2</f>
        <v>5</v>
      </c>
      <c r="U185" s="81">
        <f>$G$184-5</f>
        <v>7</v>
      </c>
      <c r="V185" s="129">
        <f>T185/$G$184</f>
        <v>0.41666666666666669</v>
      </c>
      <c r="W185" s="129">
        <f>T185/U185</f>
        <v>0.7142857142857143</v>
      </c>
      <c r="X185" s="127">
        <f>2*(V185*W185)/(V185+W185)</f>
        <v>0.52631578947368418</v>
      </c>
      <c r="Z185" s="81">
        <f>AA185-14</f>
        <v>17</v>
      </c>
      <c r="AA185" s="81">
        <f>$I$184-29</f>
        <v>31</v>
      </c>
      <c r="AB185" s="129">
        <f>Z185/$I$184</f>
        <v>0.28333333333333333</v>
      </c>
      <c r="AC185" s="129">
        <f>Z185/AA185</f>
        <v>0.54838709677419351</v>
      </c>
      <c r="AD185" s="127">
        <f>2*(AB185*AC185)/(AB185+AC185)</f>
        <v>0.37362637362637363</v>
      </c>
      <c r="AF185" s="81">
        <v>1</v>
      </c>
      <c r="AG185" s="81">
        <v>1</v>
      </c>
      <c r="AH185" s="127">
        <f>AF185/$H$184</f>
        <v>3.7037037037037035E-2</v>
      </c>
      <c r="AI185" s="127">
        <f>AF185/AG185</f>
        <v>1</v>
      </c>
      <c r="AV185" s="101">
        <f>($F$184-M185)/$F$184</f>
        <v>1</v>
      </c>
      <c r="AX185" s="101">
        <f>($G$184-AM185)/$G$184</f>
        <v>1</v>
      </c>
      <c r="AY185" s="101" t="e">
        <f>AQ185/AP185</f>
        <v>#DIV/0!</v>
      </c>
      <c r="AZ185" s="101" t="e">
        <f>AS185/AR185</f>
        <v>#DIV/0!</v>
      </c>
      <c r="BA185" s="85" t="e">
        <f>(AV185+AX185+AY185+AZ185)/4</f>
        <v>#DIV/0!</v>
      </c>
      <c r="BB185" s="13">
        <f>AO185/$H$184</f>
        <v>0</v>
      </c>
      <c r="BC185" s="118" t="e">
        <f>AU185/AO185</f>
        <v>#DIV/0!</v>
      </c>
      <c r="BD185" s="13" t="e">
        <f>AN185/AO185</f>
        <v>#DIV/0!</v>
      </c>
      <c r="BE185" s="13">
        <f>AS185/$H$184</f>
        <v>0</v>
      </c>
      <c r="BF185" s="13">
        <f>AQ185/$H$184</f>
        <v>0</v>
      </c>
      <c r="BP185" t="str">
        <f>_xlfn.CONCAT($C$184," &amp; ",C185," &amp; ",P185," &amp; ",Q185," &amp; ",R185," &amp; ",V185," &amp; ",W185," &amp; ",X185," &amp; ",AB185," &amp; ",AC185," &amp; ",AD185," &amp; ",AF185," &amp; ",AG185," &amp; ",AH185," &amp; ",AI185, " \\ \hline")</f>
        <v>10-3 &amp;  &amp; 0.453125 &amp; 0.828571428571429 &amp; 0.585858585858586 &amp; 0.416666666666667 &amp; 0.714285714285714 &amp; 0.526315789473684 &amp; 0.283333333333333 &amp; 0.548387096774194 &amp; 0.373626373626374 &amp; 1 &amp; 1 &amp; 0.037037037037037 &amp; 1 \\ \hline</v>
      </c>
    </row>
    <row r="186" spans="1:68" ht="16">
      <c r="A186" t="s">
        <v>306</v>
      </c>
      <c r="C186" s="310"/>
      <c r="K186" s="47" t="s">
        <v>379</v>
      </c>
      <c r="L186" s="77" t="s">
        <v>551</v>
      </c>
      <c r="N186" s="81">
        <f>O186-5</f>
        <v>30</v>
      </c>
      <c r="O186" s="81">
        <f>$F$184-29</f>
        <v>35</v>
      </c>
      <c r="P186" s="129">
        <f>N186/$F$184</f>
        <v>0.46875</v>
      </c>
      <c r="Q186" s="129">
        <f>N186/O186</f>
        <v>0.8571428571428571</v>
      </c>
      <c r="R186" s="127">
        <f>2*(P186*Q186)/(P186+Q186)</f>
        <v>0.60606060606060597</v>
      </c>
      <c r="T186" s="81">
        <f>U186-2</f>
        <v>5</v>
      </c>
      <c r="U186" s="81">
        <f>$G$184-5</f>
        <v>7</v>
      </c>
      <c r="V186" s="129">
        <f>T186/$G$184</f>
        <v>0.41666666666666669</v>
      </c>
      <c r="W186" s="129">
        <f>T186/U186</f>
        <v>0.7142857142857143</v>
      </c>
      <c r="X186" s="127">
        <f>2*(V186*W186)/(V186+W186)</f>
        <v>0.52631578947368418</v>
      </c>
      <c r="Z186" s="81">
        <f>AA186-14</f>
        <v>17</v>
      </c>
      <c r="AA186" s="81">
        <f>$I$184-29</f>
        <v>31</v>
      </c>
      <c r="AB186" s="129">
        <f>Z186/$I$184</f>
        <v>0.28333333333333333</v>
      </c>
      <c r="AC186" s="129">
        <f>Z186/AA186</f>
        <v>0.54838709677419351</v>
      </c>
      <c r="AD186" s="127">
        <f>2*(AB186*AC186)/(AB186+AC186)</f>
        <v>0.37362637362637363</v>
      </c>
      <c r="AF186" s="81">
        <v>1</v>
      </c>
      <c r="AG186" s="81">
        <v>1</v>
      </c>
      <c r="AH186" s="127">
        <f>AF186/$H$184</f>
        <v>3.7037037037037035E-2</v>
      </c>
      <c r="AI186" s="127">
        <f>AF186/AG186</f>
        <v>1</v>
      </c>
      <c r="AV186" s="101">
        <f>($F$184-M186)/$F$184</f>
        <v>1</v>
      </c>
      <c r="AX186" s="101">
        <f>($G$184-AM186)/$G$184</f>
        <v>1</v>
      </c>
      <c r="AY186" s="101" t="e">
        <f>AQ186/AP186</f>
        <v>#DIV/0!</v>
      </c>
      <c r="AZ186" s="101" t="e">
        <f>AS186/AR186</f>
        <v>#DIV/0!</v>
      </c>
      <c r="BA186" s="85" t="e">
        <f>(AV186+AX186+AY186+AZ186)/4</f>
        <v>#DIV/0!</v>
      </c>
      <c r="BB186" s="13">
        <f>AO186/$H$184</f>
        <v>0</v>
      </c>
      <c r="BC186" s="118" t="e">
        <f>AU186/AO186</f>
        <v>#DIV/0!</v>
      </c>
      <c r="BD186" s="13" t="e">
        <f>AN186/AO186</f>
        <v>#DIV/0!</v>
      </c>
      <c r="BE186" s="13">
        <f>AS186/$H$184</f>
        <v>0</v>
      </c>
      <c r="BF186" s="13">
        <f>AQ186/$H$184</f>
        <v>0</v>
      </c>
      <c r="BP186" t="str">
        <f t="shared" ref="BP186:BP189" si="26">_xlfn.CONCAT($C$184," &amp; ",C186," &amp; ",P186," &amp; ",Q186," &amp; ",R186," &amp; ",V186," &amp; ",W186," &amp; ",X186," &amp; ",AB186," &amp; ",AC186," &amp; ",AD186," &amp; ",AF186," &amp; ",AG186," &amp; ",AH186," &amp; ",AI186, " \\ \hline")</f>
        <v>10-3 &amp;  &amp; 0.46875 &amp; 0.857142857142857 &amp; 0.606060606060606 &amp; 0.416666666666667 &amp; 0.714285714285714 &amp; 0.526315789473684 &amp; 0.283333333333333 &amp; 0.548387096774194 &amp; 0.373626373626374 &amp; 1 &amp; 1 &amp; 0.037037037037037 &amp; 1 \\ \hline</v>
      </c>
    </row>
    <row r="187" spans="1:68" ht="16">
      <c r="A187" t="s">
        <v>307</v>
      </c>
      <c r="C187" s="310"/>
      <c r="K187" s="47" t="s">
        <v>380</v>
      </c>
      <c r="L187" s="77" t="s">
        <v>551</v>
      </c>
      <c r="N187" s="81">
        <f>O187-8</f>
        <v>29</v>
      </c>
      <c r="O187" s="81">
        <f>$F$184-27</f>
        <v>37</v>
      </c>
      <c r="P187" s="129">
        <f>N187/$F$184</f>
        <v>0.453125</v>
      </c>
      <c r="Q187" s="129">
        <f>N187/O187</f>
        <v>0.78378378378378377</v>
      </c>
      <c r="R187" s="127">
        <f>2*(P187*Q187)/(P187+Q187)</f>
        <v>0.57425742574257421</v>
      </c>
      <c r="T187" s="81">
        <f>U187-3</f>
        <v>5</v>
      </c>
      <c r="U187" s="81">
        <f>$G$184-4</f>
        <v>8</v>
      </c>
      <c r="V187" s="129">
        <f>T187/$G$184</f>
        <v>0.41666666666666669</v>
      </c>
      <c r="W187" s="129">
        <f>T187/U187</f>
        <v>0.625</v>
      </c>
      <c r="X187" s="127">
        <f>2*(V187*W187)/(V187+W187)</f>
        <v>0.5</v>
      </c>
      <c r="Z187" s="81">
        <f>AA187-12</f>
        <v>21</v>
      </c>
      <c r="AA187" s="81">
        <f>$I$184-27</f>
        <v>33</v>
      </c>
      <c r="AB187" s="129">
        <f>Z187/$I$184</f>
        <v>0.35</v>
      </c>
      <c r="AC187" s="129">
        <f>Z187/AA187</f>
        <v>0.63636363636363635</v>
      </c>
      <c r="AD187" s="127">
        <f>2*(AB187*AC187)/(AB187+AC187)</f>
        <v>0.45161290322580644</v>
      </c>
      <c r="AF187" s="81">
        <v>1</v>
      </c>
      <c r="AG187" s="81">
        <v>1</v>
      </c>
      <c r="AH187" s="127">
        <f>AF187/$H$184</f>
        <v>3.7037037037037035E-2</v>
      </c>
      <c r="AI187" s="127">
        <f>AF187/AG187</f>
        <v>1</v>
      </c>
      <c r="AV187" s="101">
        <f>($F$184-M187)/$F$184</f>
        <v>1</v>
      </c>
      <c r="AX187" s="101">
        <f>($G$184-AM187)/$G$184</f>
        <v>1</v>
      </c>
      <c r="AY187" s="101" t="e">
        <f>AQ187/AP187</f>
        <v>#DIV/0!</v>
      </c>
      <c r="AZ187" s="101" t="e">
        <f>AS187/AR187</f>
        <v>#DIV/0!</v>
      </c>
      <c r="BA187" s="85" t="e">
        <f>(AV187+AX187+AY187+AZ187)/4</f>
        <v>#DIV/0!</v>
      </c>
      <c r="BB187" s="13">
        <f>AO187/$H$184</f>
        <v>0</v>
      </c>
      <c r="BC187" s="118" t="e">
        <f>AU187/AO187</f>
        <v>#DIV/0!</v>
      </c>
      <c r="BD187" s="13" t="e">
        <f>AN187/AO187</f>
        <v>#DIV/0!</v>
      </c>
      <c r="BE187" s="13">
        <f>AS187/$H$184</f>
        <v>0</v>
      </c>
      <c r="BF187" s="13">
        <f>AQ187/$H$184</f>
        <v>0</v>
      </c>
      <c r="BP187" t="str">
        <f t="shared" si="26"/>
        <v>10-3 &amp;  &amp; 0.453125 &amp; 0.783783783783784 &amp; 0.574257425742574 &amp; 0.416666666666667 &amp; 0.625 &amp; 0.5 &amp; 0.35 &amp; 0.636363636363636 &amp; 0.451612903225806 &amp; 1 &amp; 1 &amp; 0.037037037037037 &amp; 1 \\ \hline</v>
      </c>
    </row>
    <row r="188" spans="1:68" ht="16">
      <c r="A188" t="s">
        <v>308</v>
      </c>
      <c r="C188" s="310"/>
      <c r="K188" s="47" t="s">
        <v>381</v>
      </c>
      <c r="L188" s="77" t="s">
        <v>552</v>
      </c>
      <c r="N188" s="81">
        <f>O188-9</f>
        <v>28</v>
      </c>
      <c r="O188" s="81">
        <f>$F$184-27</f>
        <v>37</v>
      </c>
      <c r="P188" s="129">
        <f>N188/$F$184</f>
        <v>0.4375</v>
      </c>
      <c r="Q188" s="129">
        <f>N188/O188</f>
        <v>0.7567567567567568</v>
      </c>
      <c r="R188" s="127">
        <f>2*(P188*Q188)/(P188+Q188)</f>
        <v>0.55445544554455439</v>
      </c>
      <c r="T188" s="81">
        <f>U188-4</f>
        <v>4</v>
      </c>
      <c r="U188" s="81">
        <f>$G$184-4</f>
        <v>8</v>
      </c>
      <c r="V188" s="129">
        <f>T188/$G$184</f>
        <v>0.33333333333333331</v>
      </c>
      <c r="W188" s="129">
        <f>T188/U188</f>
        <v>0.5</v>
      </c>
      <c r="X188" s="127">
        <f>2*(V188*W188)/(V188+W188)</f>
        <v>0.4</v>
      </c>
      <c r="Z188" s="81">
        <f>AA188-13</f>
        <v>20</v>
      </c>
      <c r="AA188" s="81">
        <f>$I$184-27</f>
        <v>33</v>
      </c>
      <c r="AB188" s="129">
        <f>Z188/$I$184</f>
        <v>0.33333333333333331</v>
      </c>
      <c r="AC188" s="129">
        <f>Z188/AA188</f>
        <v>0.60606060606060608</v>
      </c>
      <c r="AD188" s="127">
        <f>2*(AB188*AC188)/(AB188+AC188)</f>
        <v>0.43010752688172038</v>
      </c>
      <c r="AF188" s="81">
        <v>1</v>
      </c>
      <c r="AG188" s="81">
        <v>1</v>
      </c>
      <c r="AH188" s="127">
        <f>AF188/$H$184</f>
        <v>3.7037037037037035E-2</v>
      </c>
      <c r="AI188" s="127">
        <f>AF188/AG188</f>
        <v>1</v>
      </c>
      <c r="AV188" s="101">
        <f>($F$184-M188)/$F$184</f>
        <v>1</v>
      </c>
      <c r="AX188" s="101">
        <f>($G$184-AM188)/$G$184</f>
        <v>1</v>
      </c>
      <c r="AY188" s="101" t="e">
        <f>AQ188/AP188</f>
        <v>#DIV/0!</v>
      </c>
      <c r="AZ188" s="101" t="e">
        <f>AS188/AR188</f>
        <v>#DIV/0!</v>
      </c>
      <c r="BA188" s="85" t="e">
        <f>(AV188+AX188+AY188+AZ188)/4</f>
        <v>#DIV/0!</v>
      </c>
      <c r="BB188" s="13">
        <f>AO188/$H$184</f>
        <v>0</v>
      </c>
      <c r="BC188" s="118" t="e">
        <f>AU188/AO188</f>
        <v>#DIV/0!</v>
      </c>
      <c r="BD188" s="13" t="e">
        <f>AN188/AO188</f>
        <v>#DIV/0!</v>
      </c>
      <c r="BE188" s="13">
        <f>AS188/$H$184</f>
        <v>0</v>
      </c>
      <c r="BF188" s="13">
        <f>AQ188/$H$184</f>
        <v>0</v>
      </c>
      <c r="BP188" t="str">
        <f t="shared" si="26"/>
        <v>10-3 &amp;  &amp; 0.4375 &amp; 0.756756756756757 &amp; 0.554455445544554 &amp; 0.333333333333333 &amp; 0.5 &amp; 0.4 &amp; 0.333333333333333 &amp; 0.606060606060606 &amp; 0.43010752688172 &amp; 1 &amp; 1 &amp; 0.037037037037037 &amp; 1 \\ \hline</v>
      </c>
    </row>
    <row r="189" spans="1:68" ht="16">
      <c r="A189" t="s">
        <v>309</v>
      </c>
      <c r="C189" s="310"/>
      <c r="K189" s="47" t="s">
        <v>382</v>
      </c>
      <c r="L189" s="77" t="s">
        <v>553</v>
      </c>
      <c r="N189" s="81">
        <f>O189-8</f>
        <v>29</v>
      </c>
      <c r="O189" s="81">
        <f>$F$184-27</f>
        <v>37</v>
      </c>
      <c r="P189" s="129">
        <f>N189/$F$184</f>
        <v>0.453125</v>
      </c>
      <c r="Q189" s="129">
        <f>N189/O189</f>
        <v>0.78378378378378377</v>
      </c>
      <c r="R189" s="127">
        <f>2*(P189*Q189)/(P189+Q189)</f>
        <v>0.57425742574257421</v>
      </c>
      <c r="T189" s="81">
        <f>U189-3</f>
        <v>4</v>
      </c>
      <c r="U189" s="81">
        <f>$G$184-5</f>
        <v>7</v>
      </c>
      <c r="V189" s="129">
        <f>T189/$G$184</f>
        <v>0.33333333333333331</v>
      </c>
      <c r="W189" s="129">
        <f>T189/U189</f>
        <v>0.5714285714285714</v>
      </c>
      <c r="X189" s="127">
        <f>2*(V189*W189)/(V189+W189)</f>
        <v>0.4210526315789474</v>
      </c>
      <c r="Z189" s="81">
        <f>AA189-17</f>
        <v>16</v>
      </c>
      <c r="AA189" s="81">
        <f>$I$184-27</f>
        <v>33</v>
      </c>
      <c r="AB189" s="129">
        <f>Z189/$I$184</f>
        <v>0.26666666666666666</v>
      </c>
      <c r="AC189" s="129">
        <f>Z189/AA189</f>
        <v>0.48484848484848486</v>
      </c>
      <c r="AD189" s="127">
        <f>2*(AB189*AC189)/(AB189+AC189)</f>
        <v>0.34408602150537637</v>
      </c>
      <c r="AF189" s="81">
        <v>1</v>
      </c>
      <c r="AG189" s="81">
        <v>1</v>
      </c>
      <c r="AH189" s="127">
        <f>AF189/$H$184</f>
        <v>3.7037037037037035E-2</v>
      </c>
      <c r="AI189" s="127">
        <f>AF189/AG189</f>
        <v>1</v>
      </c>
      <c r="AV189" s="101">
        <f>($F$184-M189)/$F$184</f>
        <v>1</v>
      </c>
      <c r="AX189" s="101">
        <f>($G$184-AM189)/$G$184</f>
        <v>1</v>
      </c>
      <c r="AY189" s="101" t="e">
        <f>AQ189/AP189</f>
        <v>#DIV/0!</v>
      </c>
      <c r="AZ189" s="101" t="e">
        <f>AS189/AR189</f>
        <v>#DIV/0!</v>
      </c>
      <c r="BA189" s="85" t="e">
        <f>(AV189+AX189+AY189+AZ189)/4</f>
        <v>#DIV/0!</v>
      </c>
      <c r="BB189" s="13">
        <f>AO189/$H$184</f>
        <v>0</v>
      </c>
      <c r="BC189" s="118" t="e">
        <f>AU189/AO189</f>
        <v>#DIV/0!</v>
      </c>
      <c r="BD189" s="13" t="e">
        <f>AN189/AO189</f>
        <v>#DIV/0!</v>
      </c>
      <c r="BE189" s="13">
        <f>AS189/$H$184</f>
        <v>0</v>
      </c>
      <c r="BF189" s="13">
        <f>AQ189/$H$184</f>
        <v>0</v>
      </c>
      <c r="BP189" t="str">
        <f t="shared" si="26"/>
        <v>10-3 &amp;  &amp; 0.453125 &amp; 0.783783783783784 &amp; 0.574257425742574 &amp; 0.333333333333333 &amp; 0.571428571428571 &amp; 0.421052631578947 &amp; 0.266666666666667 &amp; 0.484848484848485 &amp; 0.344086021505376 &amp; 1 &amp; 1 &amp; 0.037037037037037 &amp; 1 \\ \hline</v>
      </c>
    </row>
    <row r="190" spans="1:68">
      <c r="C190" s="98"/>
      <c r="P190" s="129"/>
      <c r="Q190" s="129"/>
      <c r="R190" s="127"/>
      <c r="V190" s="129"/>
      <c r="W190" s="129"/>
      <c r="X190" s="127"/>
      <c r="AB190" s="129"/>
      <c r="AC190" s="129"/>
      <c r="AD190" s="127"/>
      <c r="AH190" s="127"/>
      <c r="AI190" s="131"/>
    </row>
    <row r="191" spans="1:68" s="75" customFormat="1">
      <c r="A191" s="75" t="s">
        <v>340</v>
      </c>
      <c r="B191" s="94">
        <v>45179</v>
      </c>
      <c r="C191" s="93" t="s">
        <v>158</v>
      </c>
      <c r="D191" s="78">
        <f>VLOOKUP($C$191,Overview!$Q$2:$AS$64,23,FALSE)</f>
        <v>2.4606876442304331</v>
      </c>
      <c r="E191" s="78" t="str">
        <f>VLOOKUP($C$191,Overview!$Q$2:$AS$64,24,FALSE)</f>
        <v>high</v>
      </c>
      <c r="F191" s="75">
        <f>VLOOKUP(C191,Overview!$Q$2:$AS$64,13,FALSE)</f>
        <v>67</v>
      </c>
      <c r="G191" s="75">
        <f>VLOOKUP(C191,Overview!$Q$2:$AS$64,16,FALSE)</f>
        <v>15</v>
      </c>
      <c r="H191" s="75">
        <f>VLOOKUP(C191,Overview!$Q$2:$AS$64,18,FALSE)</f>
        <v>30</v>
      </c>
      <c r="I191" s="75">
        <f>VLOOKUP($C$191,Overview!$Q$2:$AS$64,19,FALSE)</f>
        <v>61</v>
      </c>
      <c r="K191" s="96"/>
      <c r="M191" s="115"/>
      <c r="N191" s="97"/>
      <c r="O191" s="97"/>
      <c r="P191" s="130"/>
      <c r="Q191" s="130"/>
      <c r="R191" s="128"/>
      <c r="S191" s="115"/>
      <c r="T191" s="97"/>
      <c r="U191" s="97"/>
      <c r="V191" s="130"/>
      <c r="W191" s="130"/>
      <c r="X191" s="128"/>
      <c r="Y191" s="115"/>
      <c r="Z191" s="97"/>
      <c r="AA191" s="97"/>
      <c r="AB191" s="130"/>
      <c r="AC191" s="130"/>
      <c r="AD191" s="128"/>
      <c r="AE191" s="115"/>
      <c r="AF191" s="97"/>
      <c r="AG191" s="97"/>
      <c r="AH191" s="128"/>
      <c r="AI191" s="132"/>
      <c r="AJ191" s="97"/>
      <c r="AK191" s="115"/>
      <c r="AL191" s="122"/>
      <c r="AM191" s="101"/>
      <c r="AP191" s="101"/>
      <c r="AQ191" s="101"/>
      <c r="AU191" s="119"/>
      <c r="AV191" s="101"/>
      <c r="AW191" s="101"/>
      <c r="AX191" s="101"/>
      <c r="AY191" s="101"/>
      <c r="AZ191" s="101"/>
      <c r="BA191" s="83"/>
      <c r="BC191" s="101"/>
      <c r="BP191"/>
    </row>
    <row r="192" spans="1:68" ht="16">
      <c r="A192" t="s">
        <v>305</v>
      </c>
      <c r="C192" s="310"/>
      <c r="K192" s="47" t="s">
        <v>378</v>
      </c>
      <c r="L192" s="77" t="s">
        <v>559</v>
      </c>
      <c r="N192" s="81">
        <f>O192-18</f>
        <v>31</v>
      </c>
      <c r="O192" s="81">
        <f>F191-18</f>
        <v>49</v>
      </c>
      <c r="P192" s="129">
        <f>N192/$F$191</f>
        <v>0.46268656716417911</v>
      </c>
      <c r="Q192" s="129">
        <f>N192/O192</f>
        <v>0.63265306122448983</v>
      </c>
      <c r="R192" s="127">
        <f>2*(P192*Q192)/(P192+Q192)</f>
        <v>0.53448275862068972</v>
      </c>
      <c r="T192" s="81">
        <f>U192-3</f>
        <v>3</v>
      </c>
      <c r="U192" s="81">
        <f>G191-9</f>
        <v>6</v>
      </c>
      <c r="V192" s="129">
        <f>T192/$G$191</f>
        <v>0.2</v>
      </c>
      <c r="W192" s="129">
        <f>T192/U192</f>
        <v>0.5</v>
      </c>
      <c r="X192" s="127">
        <f>2*(V192*W192)/(V192+W192)</f>
        <v>0.28571428571428575</v>
      </c>
      <c r="Z192" s="81">
        <f>AA192-14</f>
        <v>29</v>
      </c>
      <c r="AA192" s="81">
        <f>I191-18</f>
        <v>43</v>
      </c>
      <c r="AB192" s="129">
        <f>Z192/$I$191</f>
        <v>0.47540983606557374</v>
      </c>
      <c r="AC192" s="129">
        <f>Z192/AA192</f>
        <v>0.67441860465116277</v>
      </c>
      <c r="AD192" s="127">
        <f>2*(AB192*AC192)/(AB192+AC192)</f>
        <v>0.55769230769230771</v>
      </c>
      <c r="AF192" s="81">
        <v>0</v>
      </c>
      <c r="AG192" s="81">
        <v>0</v>
      </c>
      <c r="AH192" s="127">
        <f>AF192/$H$191</f>
        <v>0</v>
      </c>
      <c r="AI192" s="127">
        <v>0</v>
      </c>
      <c r="AV192" s="101">
        <f>($F$191-M192)/$F$191</f>
        <v>1</v>
      </c>
      <c r="AX192" s="101">
        <f>($G$191-AM192)/$G$191</f>
        <v>1</v>
      </c>
      <c r="AY192" s="101" t="e">
        <f>AQ192/AP192</f>
        <v>#DIV/0!</v>
      </c>
      <c r="AZ192" s="101" t="e">
        <f>AS192/AR192</f>
        <v>#DIV/0!</v>
      </c>
      <c r="BA192" s="85" t="e">
        <f>(AV192+AX192+AY192+AZ192)/4</f>
        <v>#DIV/0!</v>
      </c>
      <c r="BB192" s="13">
        <f>AO192/$H$191</f>
        <v>0</v>
      </c>
      <c r="BC192" s="118" t="e">
        <f>AU192/AO192</f>
        <v>#DIV/0!</v>
      </c>
      <c r="BD192" s="13" t="e">
        <f>AN192/AO192</f>
        <v>#DIV/0!</v>
      </c>
      <c r="BE192" s="13">
        <f>AS192/$H$191</f>
        <v>0</v>
      </c>
      <c r="BF192" s="13">
        <f>AQ192/$H$191</f>
        <v>0</v>
      </c>
      <c r="BP192" t="str">
        <f>_xlfn.CONCAT($C$191," &amp; ",C192," &amp; ",P192," &amp; ",Q192," &amp; ",R192," &amp; ",V192," &amp; ",W192," &amp; ",X192," &amp; ",AB192," &amp; ",AC192," &amp; ",AD192," &amp; ",AF192," &amp; ",AG192," &amp; ",AH192," &amp; ",AI192, " \\ \hline")</f>
        <v>6-4 &amp;  &amp; 0.462686567164179 &amp; 0.63265306122449 &amp; 0.53448275862069 &amp; 0.2 &amp; 0.5 &amp; 0.285714285714286 &amp; 0.475409836065574 &amp; 0.674418604651163 &amp; 0.557692307692308 &amp; 0 &amp; 0 &amp; 0 &amp; 0 \\ \hline</v>
      </c>
    </row>
    <row r="193" spans="1:68" ht="16">
      <c r="A193" t="s">
        <v>306</v>
      </c>
      <c r="C193" s="310"/>
      <c r="K193" s="47" t="s">
        <v>379</v>
      </c>
      <c r="L193" s="77" t="s">
        <v>560</v>
      </c>
      <c r="N193" s="81">
        <f>O193-18</f>
        <v>32</v>
      </c>
      <c r="O193" s="81">
        <f>F191-17</f>
        <v>50</v>
      </c>
      <c r="P193" s="129">
        <f>N193/$F$191</f>
        <v>0.47761194029850745</v>
      </c>
      <c r="Q193" s="129">
        <f>N193/O193</f>
        <v>0.64</v>
      </c>
      <c r="R193" s="127">
        <f>2*(P193*Q193)/(P193+Q193)</f>
        <v>0.54700854700854706</v>
      </c>
      <c r="T193" s="81">
        <f>U193-3</f>
        <v>3</v>
      </c>
      <c r="U193" s="81">
        <f>G191-9</f>
        <v>6</v>
      </c>
      <c r="V193" s="129">
        <f>T193/$G$191</f>
        <v>0.2</v>
      </c>
      <c r="W193" s="129">
        <f>T193/U193</f>
        <v>0.5</v>
      </c>
      <c r="X193" s="127">
        <f>2*(V193*W193)/(V193+W193)</f>
        <v>0.28571428571428575</v>
      </c>
      <c r="Z193" s="81">
        <f>AA193-14</f>
        <v>31</v>
      </c>
      <c r="AA193" s="81">
        <f>I191-16</f>
        <v>45</v>
      </c>
      <c r="AB193" s="129">
        <f>Z193/$I$191</f>
        <v>0.50819672131147542</v>
      </c>
      <c r="AC193" s="129">
        <f>Z193/AA193</f>
        <v>0.68888888888888888</v>
      </c>
      <c r="AD193" s="127">
        <f>2*(AB193*AC193)/(AB193+AC193)</f>
        <v>0.58490566037735847</v>
      </c>
      <c r="AF193" s="81">
        <v>1</v>
      </c>
      <c r="AG193" s="81">
        <v>1</v>
      </c>
      <c r="AH193" s="127">
        <f>AF193/$H$191</f>
        <v>3.3333333333333333E-2</v>
      </c>
      <c r="AI193" s="127">
        <f>AF193/AG193</f>
        <v>1</v>
      </c>
      <c r="AV193" s="101">
        <f>($F$191-M193)/$F$191</f>
        <v>1</v>
      </c>
      <c r="AX193" s="101">
        <f>($G$191-AM193)/$G$191</f>
        <v>1</v>
      </c>
      <c r="AY193" s="101" t="e">
        <f>AQ193/AP193</f>
        <v>#DIV/0!</v>
      </c>
      <c r="AZ193" s="101" t="e">
        <f>AS193/AR193</f>
        <v>#DIV/0!</v>
      </c>
      <c r="BA193" s="85" t="e">
        <f>(AV193+AX193+AY193+AZ193)/4</f>
        <v>#DIV/0!</v>
      </c>
      <c r="BB193" s="13">
        <f>AO193/$H$191</f>
        <v>0</v>
      </c>
      <c r="BC193" s="118" t="e">
        <f>AU193/AO193</f>
        <v>#DIV/0!</v>
      </c>
      <c r="BD193" s="13" t="e">
        <f>AN193/AO193</f>
        <v>#DIV/0!</v>
      </c>
      <c r="BE193" s="13">
        <f>AS193/$H$191</f>
        <v>0</v>
      </c>
      <c r="BF193" s="13">
        <f>AQ193/$H$191</f>
        <v>0</v>
      </c>
      <c r="BP193" t="str">
        <f t="shared" ref="BP193:BP196" si="27">_xlfn.CONCAT($C$191," &amp; ",C193," &amp; ",P193," &amp; ",Q193," &amp; ",R193," &amp; ",V193," &amp; ",W193," &amp; ",X193," &amp; ",AB193," &amp; ",AC193," &amp; ",AD193," &amp; ",AF193," &amp; ",AG193," &amp; ",AH193," &amp; ",AI193, " \\ \hline")</f>
        <v>6-4 &amp;  &amp; 0.477611940298507 &amp; 0.64 &amp; 0.547008547008547 &amp; 0.2 &amp; 0.5 &amp; 0.285714285714286 &amp; 0.508196721311475 &amp; 0.688888888888889 &amp; 0.584905660377358 &amp; 1 &amp; 1 &amp; 0.0333333333333333 &amp; 1 \\ \hline</v>
      </c>
    </row>
    <row r="194" spans="1:68" ht="16">
      <c r="A194" t="s">
        <v>307</v>
      </c>
      <c r="C194" s="310"/>
      <c r="K194" s="47" t="s">
        <v>380</v>
      </c>
      <c r="L194" s="77" t="s">
        <v>561</v>
      </c>
      <c r="N194" s="81">
        <f>O194-13</f>
        <v>37</v>
      </c>
      <c r="O194" s="81">
        <f>F191-17</f>
        <v>50</v>
      </c>
      <c r="P194" s="129">
        <f>N194/$F$191</f>
        <v>0.55223880597014929</v>
      </c>
      <c r="Q194" s="129">
        <f>N194/O194</f>
        <v>0.74</v>
      </c>
      <c r="R194" s="127">
        <f>2*(P194*Q194)/(P194+Q194)</f>
        <v>0.63247863247863245</v>
      </c>
      <c r="T194" s="81">
        <f>U194-2</f>
        <v>8</v>
      </c>
      <c r="U194" s="81">
        <f>G191-5</f>
        <v>10</v>
      </c>
      <c r="V194" s="129">
        <f>T194/$G$191</f>
        <v>0.53333333333333333</v>
      </c>
      <c r="W194" s="129">
        <f>T194/U194</f>
        <v>0.8</v>
      </c>
      <c r="X194" s="127">
        <f>2*(V194*W194)/(V194+W194)</f>
        <v>0.64</v>
      </c>
      <c r="Z194" s="81">
        <f>AA194-15</f>
        <v>30</v>
      </c>
      <c r="AA194" s="81">
        <f>I191-16</f>
        <v>45</v>
      </c>
      <c r="AB194" s="129">
        <f>Z194/$I$191</f>
        <v>0.49180327868852458</v>
      </c>
      <c r="AC194" s="129">
        <f>Z194/AA194</f>
        <v>0.66666666666666663</v>
      </c>
      <c r="AD194" s="127">
        <f>2*(AB194*AC194)/(AB194+AC194)</f>
        <v>0.56603773584905659</v>
      </c>
      <c r="AF194" s="81">
        <v>0</v>
      </c>
      <c r="AG194" s="81">
        <v>0</v>
      </c>
      <c r="AH194" s="127">
        <f>AF194/$H$191</f>
        <v>0</v>
      </c>
      <c r="AI194" s="127">
        <v>0</v>
      </c>
      <c r="AV194" s="101">
        <f>($F$191-M194)/$F$191</f>
        <v>1</v>
      </c>
      <c r="AX194" s="101">
        <f>($G$191-AM194)/$G$191</f>
        <v>1</v>
      </c>
      <c r="AY194" s="101" t="e">
        <f>AQ194/AP194</f>
        <v>#DIV/0!</v>
      </c>
      <c r="AZ194" s="101" t="e">
        <f>AS194/AR194</f>
        <v>#DIV/0!</v>
      </c>
      <c r="BA194" s="85" t="e">
        <f>(AV194+AX194+AY194+AZ194)/4</f>
        <v>#DIV/0!</v>
      </c>
      <c r="BB194" s="13">
        <f>AO194/$H$191</f>
        <v>0</v>
      </c>
      <c r="BC194" s="118" t="e">
        <f>AU194/AO194</f>
        <v>#DIV/0!</v>
      </c>
      <c r="BD194" s="13" t="e">
        <f>AN194/AO194</f>
        <v>#DIV/0!</v>
      </c>
      <c r="BE194" s="13">
        <f>AS194/$H$191</f>
        <v>0</v>
      </c>
      <c r="BF194" s="13">
        <f>AQ194/$H$191</f>
        <v>0</v>
      </c>
      <c r="BP194" t="str">
        <f t="shared" si="27"/>
        <v>6-4 &amp;  &amp; 0.552238805970149 &amp; 0.74 &amp; 0.632478632478632 &amp; 0.533333333333333 &amp; 0.8 &amp; 0.64 &amp; 0.491803278688525 &amp; 0.666666666666667 &amp; 0.566037735849057 &amp; 0 &amp; 0 &amp; 0 &amp; 0 \\ \hline</v>
      </c>
    </row>
    <row r="195" spans="1:68" ht="16">
      <c r="A195" t="s">
        <v>308</v>
      </c>
      <c r="C195" s="310"/>
      <c r="K195" s="47" t="s">
        <v>381</v>
      </c>
      <c r="L195" s="77" t="s">
        <v>562</v>
      </c>
      <c r="N195" s="81">
        <f>O195-13</f>
        <v>40</v>
      </c>
      <c r="O195" s="81">
        <f>F191-14</f>
        <v>53</v>
      </c>
      <c r="P195" s="129">
        <f>N195/$F$191</f>
        <v>0.59701492537313428</v>
      </c>
      <c r="Q195" s="129">
        <f>N195/O195</f>
        <v>0.75471698113207553</v>
      </c>
      <c r="R195" s="127">
        <f>2*(P195*Q195)/(P195+Q195)</f>
        <v>0.66666666666666663</v>
      </c>
      <c r="T195" s="81">
        <v>8</v>
      </c>
      <c r="U195" s="81">
        <f>G191-7</f>
        <v>8</v>
      </c>
      <c r="V195" s="129">
        <f>T195/$G$191</f>
        <v>0.53333333333333333</v>
      </c>
      <c r="W195" s="129">
        <f>T195/U195</f>
        <v>1</v>
      </c>
      <c r="X195" s="127">
        <f>2*(V195*W195)/(V195+W195)</f>
        <v>0.69565217391304357</v>
      </c>
      <c r="Z195" s="81">
        <f>AA195-18</f>
        <v>30</v>
      </c>
      <c r="AA195" s="81">
        <f>I191-13</f>
        <v>48</v>
      </c>
      <c r="AB195" s="129">
        <f>Z195/$I$191</f>
        <v>0.49180327868852458</v>
      </c>
      <c r="AC195" s="129">
        <f>Z195/AA195</f>
        <v>0.625</v>
      </c>
      <c r="AD195" s="127">
        <f>2*(AB195*AC195)/(AB195+AC195)</f>
        <v>0.55045871559633019</v>
      </c>
      <c r="AF195" s="81">
        <v>0</v>
      </c>
      <c r="AG195" s="81">
        <v>0</v>
      </c>
      <c r="AH195" s="127">
        <f>AF195/$H$191</f>
        <v>0</v>
      </c>
      <c r="AI195" s="127">
        <v>0</v>
      </c>
      <c r="AV195" s="101">
        <f>($F$191-M195)/$F$191</f>
        <v>1</v>
      </c>
      <c r="AX195" s="101">
        <f>($G$191-AM195)/$G$191</f>
        <v>1</v>
      </c>
      <c r="AY195" s="101" t="e">
        <f>AQ195/AP195</f>
        <v>#DIV/0!</v>
      </c>
      <c r="AZ195" s="101" t="e">
        <f>AS195/AR195</f>
        <v>#DIV/0!</v>
      </c>
      <c r="BA195" s="85" t="e">
        <f>(AV195+AX195+AY195+AZ195)/4</f>
        <v>#DIV/0!</v>
      </c>
      <c r="BB195" s="13">
        <f>AO195/$H$191</f>
        <v>0</v>
      </c>
      <c r="BC195" s="118" t="e">
        <f>AU195/AO195</f>
        <v>#DIV/0!</v>
      </c>
      <c r="BD195" s="13" t="e">
        <f>AN195/AO195</f>
        <v>#DIV/0!</v>
      </c>
      <c r="BE195" s="13">
        <f>AS195/$H$191</f>
        <v>0</v>
      </c>
      <c r="BF195" s="13">
        <f>AQ195/$H$191</f>
        <v>0</v>
      </c>
      <c r="BP195" t="str">
        <f t="shared" si="27"/>
        <v>6-4 &amp;  &amp; 0.597014925373134 &amp; 0.754716981132076 &amp; 0.666666666666667 &amp; 0.533333333333333 &amp; 1 &amp; 0.695652173913044 &amp; 0.491803278688525 &amp; 0.625 &amp; 0.55045871559633 &amp; 0 &amp; 0 &amp; 0 &amp; 0 \\ \hline</v>
      </c>
    </row>
    <row r="196" spans="1:68" ht="16">
      <c r="A196" t="s">
        <v>309</v>
      </c>
      <c r="C196" s="310"/>
      <c r="K196" s="47" t="s">
        <v>382</v>
      </c>
      <c r="L196" s="77" t="s">
        <v>563</v>
      </c>
      <c r="N196" s="81">
        <f>O196-17</f>
        <v>36</v>
      </c>
      <c r="O196" s="81">
        <f>F191-14</f>
        <v>53</v>
      </c>
      <c r="P196" s="129">
        <f>N196/$F$191</f>
        <v>0.53731343283582089</v>
      </c>
      <c r="Q196" s="129">
        <f>N196/O196</f>
        <v>0.67924528301886788</v>
      </c>
      <c r="R196" s="127">
        <f>2*(P196*Q196)/(P196+Q196)</f>
        <v>0.59999999999999987</v>
      </c>
      <c r="T196" s="81">
        <f>U196-2</f>
        <v>6</v>
      </c>
      <c r="U196" s="81">
        <f>G191-7</f>
        <v>8</v>
      </c>
      <c r="V196" s="129">
        <f>T196/$G$191</f>
        <v>0.4</v>
      </c>
      <c r="W196" s="129">
        <f>T196/U196</f>
        <v>0.75</v>
      </c>
      <c r="X196" s="127">
        <f>2*(V196*W196)/(V196+W196)</f>
        <v>0.52173913043478271</v>
      </c>
      <c r="Z196" s="81">
        <f>AA196-16</f>
        <v>32</v>
      </c>
      <c r="AA196" s="81">
        <f>I191-13</f>
        <v>48</v>
      </c>
      <c r="AB196" s="129">
        <f>Z196/$I$191</f>
        <v>0.52459016393442626</v>
      </c>
      <c r="AC196" s="129">
        <f>Z196/AA196</f>
        <v>0.66666666666666663</v>
      </c>
      <c r="AD196" s="127">
        <f>2*(AB196*AC196)/(AB196+AC196)</f>
        <v>0.58715596330275233</v>
      </c>
      <c r="AF196" s="81">
        <v>0</v>
      </c>
      <c r="AG196" s="81">
        <v>0</v>
      </c>
      <c r="AH196" s="127">
        <f>AF196/$H$191</f>
        <v>0</v>
      </c>
      <c r="AI196" s="127">
        <v>0</v>
      </c>
      <c r="AV196" s="101">
        <f>($F$191-M196)/$F$191</f>
        <v>1</v>
      </c>
      <c r="AX196" s="101">
        <f>($G$191-AM196)/$G$191</f>
        <v>1</v>
      </c>
      <c r="AY196" s="101" t="e">
        <f>AQ196/AP196</f>
        <v>#DIV/0!</v>
      </c>
      <c r="AZ196" s="101" t="e">
        <f>AS196/AR196</f>
        <v>#DIV/0!</v>
      </c>
      <c r="BA196" s="85" t="e">
        <f>(AV196+AX196+AY196+AZ196)/4</f>
        <v>#DIV/0!</v>
      </c>
      <c r="BB196" s="13">
        <f>AO196/$H$191</f>
        <v>0</v>
      </c>
      <c r="BC196" s="118" t="e">
        <f>AU196/AO196</f>
        <v>#DIV/0!</v>
      </c>
      <c r="BD196" s="13" t="e">
        <f>AN196/AO196</f>
        <v>#DIV/0!</v>
      </c>
      <c r="BE196" s="13">
        <f>AS196/$H$191</f>
        <v>0</v>
      </c>
      <c r="BF196" s="13">
        <f>AQ196/$H$191</f>
        <v>0</v>
      </c>
      <c r="BP196" t="str">
        <f t="shared" si="27"/>
        <v>6-4 &amp;  &amp; 0.537313432835821 &amp; 0.679245283018868 &amp; 0.6 &amp; 0.4 &amp; 0.75 &amp; 0.521739130434783 &amp; 0.524590163934426 &amp; 0.666666666666667 &amp; 0.587155963302752 &amp; 0 &amp; 0 &amp; 0 &amp; 0 \\ \hline</v>
      </c>
    </row>
    <row r="197" spans="1:68">
      <c r="C197" s="98"/>
      <c r="K197" s="48"/>
      <c r="L197" s="77"/>
      <c r="P197" s="129"/>
      <c r="Q197" s="129"/>
      <c r="R197" s="127"/>
      <c r="V197" s="129"/>
      <c r="W197" s="129"/>
      <c r="X197" s="127"/>
      <c r="AB197" s="129"/>
      <c r="AC197" s="129"/>
      <c r="AD197" s="127"/>
      <c r="AH197" s="127"/>
      <c r="AI197" s="127"/>
      <c r="BB197" s="13"/>
      <c r="BC197" s="118"/>
      <c r="BD197" s="13"/>
      <c r="BE197" s="13"/>
      <c r="BF197" s="13"/>
    </row>
    <row r="198" spans="1:68" s="75" customFormat="1">
      <c r="A198" s="73" t="s">
        <v>339</v>
      </c>
      <c r="B198" s="94">
        <v>45178</v>
      </c>
      <c r="C198" s="93" t="s">
        <v>155</v>
      </c>
      <c r="D198" s="78">
        <f>VLOOKUP($C$198,Overview!$Q$2:$AS$64,23,FALSE)</f>
        <v>2.4974613347120318</v>
      </c>
      <c r="E198" s="78" t="str">
        <f>VLOOKUP($C$198,Overview!$Q$2:$AS$64,24,FALSE)</f>
        <v>high</v>
      </c>
      <c r="F198" s="75">
        <f>VLOOKUP(C198,Overview!$Q$2:$AS$64,13,FALSE)</f>
        <v>72</v>
      </c>
      <c r="G198" s="75">
        <f>VLOOKUP(C198,Overview!$Q$2:$AS$64,16,FALSE)</f>
        <v>11</v>
      </c>
      <c r="H198" s="75">
        <f>VLOOKUP(C198,Overview!$Q$2:$AS$64,18,FALSE)</f>
        <v>25</v>
      </c>
      <c r="I198" s="75">
        <f>VLOOKUP($C$198,Overview!$Q$2:$AS$64,19,FALSE)</f>
        <v>63</v>
      </c>
      <c r="K198" s="96"/>
      <c r="M198" s="115"/>
      <c r="N198" s="97"/>
      <c r="O198" s="97"/>
      <c r="P198" s="130"/>
      <c r="Q198" s="130"/>
      <c r="R198" s="128"/>
      <c r="S198" s="115"/>
      <c r="T198" s="97"/>
      <c r="U198" s="97"/>
      <c r="V198" s="130"/>
      <c r="W198" s="130"/>
      <c r="X198" s="128"/>
      <c r="Y198" s="115"/>
      <c r="Z198" s="97"/>
      <c r="AA198" s="97"/>
      <c r="AB198" s="130"/>
      <c r="AC198" s="130"/>
      <c r="AD198" s="128"/>
      <c r="AE198" s="115"/>
      <c r="AF198" s="97"/>
      <c r="AG198" s="97"/>
      <c r="AH198" s="128"/>
      <c r="AI198" s="132"/>
      <c r="AJ198" s="97"/>
      <c r="AK198" s="115"/>
      <c r="AL198" s="122"/>
      <c r="AM198" s="101"/>
      <c r="AP198" s="101"/>
      <c r="AQ198" s="101"/>
      <c r="AU198" s="119"/>
      <c r="AV198" s="101"/>
      <c r="AW198" s="101"/>
      <c r="AX198" s="101"/>
      <c r="AY198" s="101"/>
      <c r="AZ198" s="101"/>
      <c r="BA198" s="83"/>
      <c r="BC198" s="101"/>
      <c r="BP198"/>
    </row>
    <row r="199" spans="1:68" ht="16">
      <c r="A199" t="s">
        <v>305</v>
      </c>
      <c r="C199" s="310"/>
      <c r="K199" s="47" t="s">
        <v>378</v>
      </c>
      <c r="L199" s="77" t="s">
        <v>554</v>
      </c>
      <c r="N199" s="81">
        <f>O199-5</f>
        <v>42</v>
      </c>
      <c r="O199" s="81">
        <f>F198-25</f>
        <v>47</v>
      </c>
      <c r="P199" s="129">
        <f>N199/$F$198</f>
        <v>0.58333333333333337</v>
      </c>
      <c r="Q199" s="129">
        <f>N199/O199</f>
        <v>0.8936170212765957</v>
      </c>
      <c r="R199" s="127">
        <f>2*(P199*Q199)/(P199+Q199)</f>
        <v>0.70588235294117652</v>
      </c>
      <c r="T199" s="81">
        <f>U199-1</f>
        <v>4</v>
      </c>
      <c r="U199" s="81">
        <f>G198-6</f>
        <v>5</v>
      </c>
      <c r="V199" s="129">
        <f>T199/$G$198</f>
        <v>0.36363636363636365</v>
      </c>
      <c r="W199" s="129">
        <f>T199/U199</f>
        <v>0.8</v>
      </c>
      <c r="X199" s="127">
        <f>2*(V199*W199)/(V199+W199)</f>
        <v>0.50000000000000011</v>
      </c>
      <c r="Z199" s="81">
        <f>AA199-22</f>
        <v>25</v>
      </c>
      <c r="AA199" s="81">
        <f>I198-16</f>
        <v>47</v>
      </c>
      <c r="AB199" s="129">
        <f>Z199/$I$198</f>
        <v>0.3968253968253968</v>
      </c>
      <c r="AC199" s="129">
        <f>Z199/AA199</f>
        <v>0.53191489361702127</v>
      </c>
      <c r="AD199" s="127">
        <f>2*(AB199*AC199)/(AB199+AC199)</f>
        <v>0.45454545454545459</v>
      </c>
      <c r="AF199" s="81">
        <v>0</v>
      </c>
      <c r="AG199" s="81">
        <v>0</v>
      </c>
      <c r="AH199" s="127">
        <f>AF199/$H$198</f>
        <v>0</v>
      </c>
      <c r="AI199" s="127">
        <v>0</v>
      </c>
      <c r="AV199" s="101">
        <f>($F$198-M199)/$F$198</f>
        <v>1</v>
      </c>
      <c r="AX199" s="101">
        <f>($G$198-AM199)/$G$198</f>
        <v>1</v>
      </c>
      <c r="AY199" s="101" t="e">
        <f>AQ199/AP199</f>
        <v>#DIV/0!</v>
      </c>
      <c r="AZ199" s="101" t="e">
        <f>AS199/AR199</f>
        <v>#DIV/0!</v>
      </c>
      <c r="BA199" s="85" t="e">
        <f>(AV199+AX199+AY199+AZ199)/4</f>
        <v>#DIV/0!</v>
      </c>
      <c r="BB199" s="13">
        <f>AO199/$H$198</f>
        <v>0</v>
      </c>
      <c r="BC199" s="118" t="e">
        <f>AU199/AO199</f>
        <v>#DIV/0!</v>
      </c>
      <c r="BD199" s="13" t="e">
        <f>AN199/AO199</f>
        <v>#DIV/0!</v>
      </c>
      <c r="BE199" s="13">
        <f>AS199/$H$198</f>
        <v>0</v>
      </c>
      <c r="BF199" s="13">
        <f>AQ199/$H$198</f>
        <v>0</v>
      </c>
      <c r="BP199" t="str">
        <f>_xlfn.CONCAT($C$198," &amp; ",C199," &amp; ",P199," &amp; ",Q199," &amp; ",R199," &amp; ",V199," &amp; ",W199," &amp; ",X199," &amp; ",AB199," &amp; ",AC199," &amp; ",AD199," &amp; ",AF199," &amp; ",AG199," &amp; ",AH199," &amp; ",AI199, " \\ \hline")</f>
        <v>6-1 &amp;  &amp; 0.583333333333333 &amp; 0.893617021276596 &amp; 0.705882352941177 &amp; 0.363636363636364 &amp; 0.8 &amp; 0.5 &amp; 0.396825396825397 &amp; 0.531914893617021 &amp; 0.454545454545455 &amp; 0 &amp; 0 &amp; 0 &amp; 0 \\ \hline</v>
      </c>
    </row>
    <row r="200" spans="1:68" ht="16">
      <c r="A200" t="s">
        <v>306</v>
      </c>
      <c r="C200" s="310"/>
      <c r="K200" s="47" t="s">
        <v>379</v>
      </c>
      <c r="L200" s="77" t="s">
        <v>555</v>
      </c>
      <c r="N200" s="81">
        <f>O200-7</f>
        <v>38</v>
      </c>
      <c r="O200" s="81">
        <f>F198-27</f>
        <v>45</v>
      </c>
      <c r="P200" s="129">
        <f>N200/$F$198</f>
        <v>0.52777777777777779</v>
      </c>
      <c r="Q200" s="129">
        <f>N200/O200</f>
        <v>0.84444444444444444</v>
      </c>
      <c r="R200" s="127">
        <f>2*(P200*Q200)/(P200+Q200)</f>
        <v>0.6495726495726496</v>
      </c>
      <c r="T200" s="81">
        <f>U200-2</f>
        <v>5</v>
      </c>
      <c r="U200" s="81">
        <f>G198-4</f>
        <v>7</v>
      </c>
      <c r="V200" s="129">
        <f>T200/$G$198</f>
        <v>0.45454545454545453</v>
      </c>
      <c r="W200" s="129">
        <f>T200/U200</f>
        <v>0.7142857142857143</v>
      </c>
      <c r="X200" s="127">
        <f>2*(V200*W200)/(V200+W200)</f>
        <v>0.55555555555555558</v>
      </c>
      <c r="Z200" s="81">
        <f>AA200-18</f>
        <v>19</v>
      </c>
      <c r="AA200" s="81">
        <f>I198-26</f>
        <v>37</v>
      </c>
      <c r="AB200" s="129">
        <f>Z200/$I$198</f>
        <v>0.30158730158730157</v>
      </c>
      <c r="AC200" s="129">
        <f>Z200/AA200</f>
        <v>0.51351351351351349</v>
      </c>
      <c r="AD200" s="127">
        <f>2*(AB200*AC200)/(AB200+AC200)</f>
        <v>0.37999999999999995</v>
      </c>
      <c r="AF200" s="81">
        <v>2</v>
      </c>
      <c r="AG200" s="81">
        <v>2</v>
      </c>
      <c r="AH200" s="127">
        <f>AF200/$H$198</f>
        <v>0.08</v>
      </c>
      <c r="AI200" s="127">
        <f>AF200/AG200</f>
        <v>1</v>
      </c>
      <c r="AV200" s="101">
        <f>($F$198-M200)/$F$198</f>
        <v>1</v>
      </c>
      <c r="AX200" s="101">
        <f>($G$198-AM200)/$G$198</f>
        <v>1</v>
      </c>
      <c r="AY200" s="101" t="e">
        <f>AQ200/AP200</f>
        <v>#DIV/0!</v>
      </c>
      <c r="AZ200" s="101" t="e">
        <f>AS200/AR200</f>
        <v>#DIV/0!</v>
      </c>
      <c r="BA200" s="85" t="e">
        <f>(AV200+AX200+AY200+AZ200)/4</f>
        <v>#DIV/0!</v>
      </c>
      <c r="BB200" s="13">
        <f>AO200/$H$198</f>
        <v>0</v>
      </c>
      <c r="BC200" s="118" t="e">
        <f>AU200/AO200</f>
        <v>#DIV/0!</v>
      </c>
      <c r="BD200" s="13" t="e">
        <f>AN200/AO200</f>
        <v>#DIV/0!</v>
      </c>
      <c r="BE200" s="13">
        <f>AS200/$H$198</f>
        <v>0</v>
      </c>
      <c r="BF200" s="13">
        <f>AQ200/$H$198</f>
        <v>0</v>
      </c>
      <c r="BP200" t="str">
        <f t="shared" ref="BP200:BP203" si="28">_xlfn.CONCAT($C$198," &amp; ",C200," &amp; ",P200," &amp; ",Q200," &amp; ",R200," &amp; ",V200," &amp; ",W200," &amp; ",X200," &amp; ",AB200," &amp; ",AC200," &amp; ",AD200," &amp; ",AF200," &amp; ",AG200," &amp; ",AH200," &amp; ",AI200, " \\ \hline")</f>
        <v>6-1 &amp;  &amp; 0.527777777777778 &amp; 0.844444444444444 &amp; 0.64957264957265 &amp; 0.454545454545455 &amp; 0.714285714285714 &amp; 0.555555555555556 &amp; 0.301587301587302 &amp; 0.513513513513513 &amp; 0.38 &amp; 2 &amp; 2 &amp; 0.08 &amp; 1 \\ \hline</v>
      </c>
    </row>
    <row r="201" spans="1:68" ht="16">
      <c r="A201" t="s">
        <v>307</v>
      </c>
      <c r="C201" s="310"/>
      <c r="K201" s="47" t="s">
        <v>380</v>
      </c>
      <c r="L201" s="77" t="s">
        <v>556</v>
      </c>
      <c r="N201" s="81">
        <f>O201-4</f>
        <v>45</v>
      </c>
      <c r="O201" s="81">
        <f>F198-23</f>
        <v>49</v>
      </c>
      <c r="P201" s="129">
        <f>N201/$F$198</f>
        <v>0.625</v>
      </c>
      <c r="Q201" s="129">
        <f>N201/O201</f>
        <v>0.91836734693877553</v>
      </c>
      <c r="R201" s="127">
        <f>2*(P201*Q201)/(P201+Q201)</f>
        <v>0.74380165289256206</v>
      </c>
      <c r="T201" s="81">
        <f>U201-2</f>
        <v>6</v>
      </c>
      <c r="U201" s="81">
        <f>G198-3</f>
        <v>8</v>
      </c>
      <c r="V201" s="129">
        <f>T201/$G$198</f>
        <v>0.54545454545454541</v>
      </c>
      <c r="W201" s="129">
        <f>T201/U201</f>
        <v>0.75</v>
      </c>
      <c r="X201" s="127">
        <f>2*(V201*W201)/(V201+W201)</f>
        <v>0.63157894736842102</v>
      </c>
      <c r="Z201" s="81">
        <f>AA201-19</f>
        <v>22</v>
      </c>
      <c r="AA201" s="81">
        <f>I198-22</f>
        <v>41</v>
      </c>
      <c r="AB201" s="129">
        <f>Z201/$I$198</f>
        <v>0.34920634920634919</v>
      </c>
      <c r="AC201" s="129">
        <f>Z201/AA201</f>
        <v>0.53658536585365857</v>
      </c>
      <c r="AD201" s="127">
        <f>2*(AB201*AC201)/(AB201+AC201)</f>
        <v>0.42307692307692307</v>
      </c>
      <c r="AF201" s="81">
        <v>2</v>
      </c>
      <c r="AG201" s="81">
        <v>2</v>
      </c>
      <c r="AH201" s="127">
        <f>AF201/$H$198</f>
        <v>0.08</v>
      </c>
      <c r="AI201" s="127">
        <f>AF201/AG201</f>
        <v>1</v>
      </c>
      <c r="AV201" s="101">
        <f>($F$198-M201)/$F$198</f>
        <v>1</v>
      </c>
      <c r="AX201" s="101">
        <f>($G$198-AM201)/$G$198</f>
        <v>1</v>
      </c>
      <c r="AY201" s="101" t="e">
        <f>AQ201/AP201</f>
        <v>#DIV/0!</v>
      </c>
      <c r="AZ201" s="101" t="e">
        <f>AS201/AR201</f>
        <v>#DIV/0!</v>
      </c>
      <c r="BA201" s="85" t="e">
        <f>(AV201+AX201+AY201+AZ201)/4</f>
        <v>#DIV/0!</v>
      </c>
      <c r="BB201" s="13">
        <f>AO201/$H$198</f>
        <v>0</v>
      </c>
      <c r="BC201" s="118" t="e">
        <f>AU201/AO201</f>
        <v>#DIV/0!</v>
      </c>
      <c r="BD201" s="13" t="e">
        <f>AN201/AO201</f>
        <v>#DIV/0!</v>
      </c>
      <c r="BE201" s="13">
        <f>AS201/$H$198</f>
        <v>0</v>
      </c>
      <c r="BF201" s="13">
        <f>AQ201/$H$198</f>
        <v>0</v>
      </c>
      <c r="BP201" t="str">
        <f t="shared" si="28"/>
        <v>6-1 &amp;  &amp; 0.625 &amp; 0.918367346938776 &amp; 0.743801652892562 &amp; 0.545454545454545 &amp; 0.75 &amp; 0.631578947368421 &amp; 0.349206349206349 &amp; 0.536585365853659 &amp; 0.423076923076923 &amp; 2 &amp; 2 &amp; 0.08 &amp; 1 \\ \hline</v>
      </c>
    </row>
    <row r="202" spans="1:68" ht="16">
      <c r="A202" t="s">
        <v>308</v>
      </c>
      <c r="C202" s="310"/>
      <c r="K202" s="47" t="s">
        <v>381</v>
      </c>
      <c r="L202" s="77" t="s">
        <v>557</v>
      </c>
      <c r="N202" s="81">
        <f>O202-5</f>
        <v>41</v>
      </c>
      <c r="O202" s="81">
        <f>F198-26</f>
        <v>46</v>
      </c>
      <c r="P202" s="129">
        <f>N202/$F$198</f>
        <v>0.56944444444444442</v>
      </c>
      <c r="Q202" s="129">
        <f>N202/O202</f>
        <v>0.89130434782608692</v>
      </c>
      <c r="R202" s="127">
        <f>2*(P202*Q202)/(P202+Q202)</f>
        <v>0.69491525423728817</v>
      </c>
      <c r="T202" s="81">
        <f>U202-3</f>
        <v>6</v>
      </c>
      <c r="U202" s="81">
        <f>G198-2</f>
        <v>9</v>
      </c>
      <c r="V202" s="129">
        <f>T202/$G$198</f>
        <v>0.54545454545454541</v>
      </c>
      <c r="W202" s="129">
        <f>T202/U202</f>
        <v>0.66666666666666663</v>
      </c>
      <c r="X202" s="127">
        <f>2*(V202*W202)/(V202+W202)</f>
        <v>0.6</v>
      </c>
      <c r="Z202" s="81">
        <f>AA202-14</f>
        <v>23</v>
      </c>
      <c r="AA202" s="81">
        <f>I198-26</f>
        <v>37</v>
      </c>
      <c r="AB202" s="129">
        <f>Z202/$I$198</f>
        <v>0.36507936507936506</v>
      </c>
      <c r="AC202" s="129">
        <f>Z202/AA202</f>
        <v>0.6216216216216216</v>
      </c>
      <c r="AD202" s="127">
        <f>2*(AB202*AC202)/(AB202+AC202)</f>
        <v>0.46</v>
      </c>
      <c r="AF202" s="81">
        <v>2</v>
      </c>
      <c r="AG202" s="81">
        <v>2</v>
      </c>
      <c r="AH202" s="127">
        <f>AF202/$H$198</f>
        <v>0.08</v>
      </c>
      <c r="AI202" s="127">
        <f>AF202/AG202</f>
        <v>1</v>
      </c>
      <c r="AV202" s="101">
        <f>($F$198-M202)/$F$198</f>
        <v>1</v>
      </c>
      <c r="AX202" s="101">
        <f>($G$198-AM202)/$G$198</f>
        <v>1</v>
      </c>
      <c r="AY202" s="101" t="e">
        <f>AQ202/AP202</f>
        <v>#DIV/0!</v>
      </c>
      <c r="AZ202" s="101" t="e">
        <f>AS202/AR202</f>
        <v>#DIV/0!</v>
      </c>
      <c r="BA202" s="85" t="e">
        <f>(AV202+AX202+AY202+AZ202)/4</f>
        <v>#DIV/0!</v>
      </c>
      <c r="BB202" s="13">
        <f>AO202/$H$198</f>
        <v>0</v>
      </c>
      <c r="BC202" s="118" t="e">
        <f>AU202/AO202</f>
        <v>#DIV/0!</v>
      </c>
      <c r="BD202" s="13" t="e">
        <f>AN202/AO202</f>
        <v>#DIV/0!</v>
      </c>
      <c r="BE202" s="13">
        <f>AS202/$H$198</f>
        <v>0</v>
      </c>
      <c r="BF202" s="13">
        <f>AQ202/$H$198</f>
        <v>0</v>
      </c>
      <c r="BP202" t="str">
        <f t="shared" si="28"/>
        <v>6-1 &amp;  &amp; 0.569444444444444 &amp; 0.891304347826087 &amp; 0.694915254237288 &amp; 0.545454545454545 &amp; 0.666666666666667 &amp; 0.6 &amp; 0.365079365079365 &amp; 0.621621621621622 &amp; 0.46 &amp; 2 &amp; 2 &amp; 0.08 &amp; 1 \\ \hline</v>
      </c>
    </row>
    <row r="203" spans="1:68" ht="16">
      <c r="A203" t="s">
        <v>309</v>
      </c>
      <c r="C203" s="310"/>
      <c r="K203" s="47" t="s">
        <v>382</v>
      </c>
      <c r="L203" s="77" t="s">
        <v>558</v>
      </c>
      <c r="N203" s="81">
        <f>O203-5</f>
        <v>43</v>
      </c>
      <c r="O203" s="81">
        <f>F198-24</f>
        <v>48</v>
      </c>
      <c r="P203" s="129">
        <f>N203/$F$198</f>
        <v>0.59722222222222221</v>
      </c>
      <c r="Q203" s="129">
        <f>N203/O203</f>
        <v>0.89583333333333337</v>
      </c>
      <c r="R203" s="127">
        <f>2*(P203*Q203)/(P203+Q203)</f>
        <v>0.71666666666666667</v>
      </c>
      <c r="T203" s="81">
        <f>U203-3</f>
        <v>5</v>
      </c>
      <c r="U203" s="81">
        <f>G198-3</f>
        <v>8</v>
      </c>
      <c r="V203" s="129">
        <f>T203/$G$198</f>
        <v>0.45454545454545453</v>
      </c>
      <c r="W203" s="129">
        <f>T203/U203</f>
        <v>0.625</v>
      </c>
      <c r="X203" s="127">
        <f>2*(V203*W203)/(V203+W203)</f>
        <v>0.52631578947368418</v>
      </c>
      <c r="Z203" s="81">
        <f>AA203-12</f>
        <v>27</v>
      </c>
      <c r="AA203" s="81">
        <f>I198-24</f>
        <v>39</v>
      </c>
      <c r="AB203" s="129">
        <f>Z203/$I$198</f>
        <v>0.42857142857142855</v>
      </c>
      <c r="AC203" s="129">
        <f>Z203/AA203</f>
        <v>0.69230769230769229</v>
      </c>
      <c r="AD203" s="127">
        <f>2*(AB203*AC203)/(AB203+AC203)</f>
        <v>0.52941176470588236</v>
      </c>
      <c r="AF203" s="81">
        <v>3</v>
      </c>
      <c r="AG203" s="81">
        <v>3</v>
      </c>
      <c r="AH203" s="127">
        <f>AF203/$H$198</f>
        <v>0.12</v>
      </c>
      <c r="AI203" s="127">
        <f>AF203/AG203</f>
        <v>1</v>
      </c>
      <c r="AV203" s="101">
        <f>($F$198-M203)/$F$198</f>
        <v>1</v>
      </c>
      <c r="AX203" s="101">
        <f>($G$198-AM203)/$G$198</f>
        <v>1</v>
      </c>
      <c r="AY203" s="101" t="e">
        <f>AQ203/AP203</f>
        <v>#DIV/0!</v>
      </c>
      <c r="AZ203" s="101" t="e">
        <f>AS203/AR203</f>
        <v>#DIV/0!</v>
      </c>
      <c r="BA203" s="85" t="e">
        <f>(AV203+AX203+AY203+AZ203)/4</f>
        <v>#DIV/0!</v>
      </c>
      <c r="BB203" s="13">
        <f>AO203/$H$198</f>
        <v>0</v>
      </c>
      <c r="BC203" s="118" t="e">
        <f>AU203/AO203</f>
        <v>#DIV/0!</v>
      </c>
      <c r="BD203" s="13" t="e">
        <f>AN203/AO203</f>
        <v>#DIV/0!</v>
      </c>
      <c r="BE203" s="13">
        <f>AS203/$H$198</f>
        <v>0</v>
      </c>
      <c r="BF203" s="13">
        <f>AQ203/$H$198</f>
        <v>0</v>
      </c>
      <c r="BP203" t="str">
        <f t="shared" si="28"/>
        <v>6-1 &amp;  &amp; 0.597222222222222 &amp; 0.895833333333333 &amp; 0.716666666666667 &amp; 0.454545454545455 &amp; 0.625 &amp; 0.526315789473684 &amp; 0.428571428571429 &amp; 0.692307692307692 &amp; 0.529411764705882 &amp; 3 &amp; 3 &amp; 0.12 &amp; 1 \\ \hline</v>
      </c>
    </row>
    <row r="205" spans="1:68" s="75" customFormat="1">
      <c r="A205" s="75" t="s">
        <v>341</v>
      </c>
      <c r="B205" s="94">
        <v>45178</v>
      </c>
      <c r="C205" s="93" t="s">
        <v>150</v>
      </c>
      <c r="D205" s="78">
        <f>VLOOKUP($C$205,Overview!$Q$2:$AS$64,23,FALSE)</f>
        <v>2.794074291209645</v>
      </c>
      <c r="E205" s="78" t="str">
        <f>VLOOKUP($C$205,Overview!$Q$2:$AS$64,24,FALSE)</f>
        <v>high</v>
      </c>
      <c r="F205" s="75">
        <f>VLOOKUP(C205,Overview!$Q$2:$AS$64,13,FALSE)</f>
        <v>75</v>
      </c>
      <c r="G205" s="75">
        <f>VLOOKUP(C205,Overview!$Q$2:$AS$64,16,FALSE)</f>
        <v>12</v>
      </c>
      <c r="H205" s="75">
        <f>VLOOKUP(C205,Overview!$Q$2:$AS$64,18,FALSE)</f>
        <v>31</v>
      </c>
      <c r="I205" s="75">
        <f>VLOOKUP($C$205,Overview!$Q$2:$AS$64,19,FALSE)</f>
        <v>68</v>
      </c>
      <c r="K205" s="96"/>
      <c r="M205" s="115"/>
      <c r="N205" s="97"/>
      <c r="O205" s="97"/>
      <c r="P205" s="130"/>
      <c r="Q205" s="130"/>
      <c r="R205" s="128"/>
      <c r="S205" s="115"/>
      <c r="T205" s="97"/>
      <c r="U205" s="97"/>
      <c r="V205" s="130"/>
      <c r="W205" s="130"/>
      <c r="X205" s="128"/>
      <c r="Y205" s="115"/>
      <c r="Z205" s="97"/>
      <c r="AA205" s="97"/>
      <c r="AB205" s="130"/>
      <c r="AC205" s="130"/>
      <c r="AD205" s="128"/>
      <c r="AE205" s="115"/>
      <c r="AF205" s="97"/>
      <c r="AG205" s="97"/>
      <c r="AH205" s="128"/>
      <c r="AI205" s="132"/>
      <c r="AJ205" s="97"/>
      <c r="AK205" s="115"/>
      <c r="AL205" s="122"/>
      <c r="AM205" s="101"/>
      <c r="AP205" s="101"/>
      <c r="AQ205" s="101"/>
      <c r="AU205" s="119"/>
      <c r="AV205" s="101"/>
      <c r="AW205" s="101"/>
      <c r="AX205" s="101"/>
      <c r="AY205" s="101"/>
      <c r="AZ205" s="101"/>
      <c r="BA205" s="83"/>
      <c r="BC205" s="101"/>
      <c r="BP205"/>
    </row>
    <row r="206" spans="1:68" ht="16">
      <c r="A206" t="s">
        <v>305</v>
      </c>
      <c r="C206" s="310"/>
      <c r="K206" s="47" t="s">
        <v>378</v>
      </c>
      <c r="L206" s="77" t="s">
        <v>564</v>
      </c>
      <c r="N206" s="81">
        <f>O206-7</f>
        <v>40</v>
      </c>
      <c r="O206" s="81">
        <f>F205-28</f>
        <v>47</v>
      </c>
      <c r="P206" s="129">
        <f>N206/$F$205</f>
        <v>0.53333333333333333</v>
      </c>
      <c r="Q206" s="129">
        <f>N206/O206</f>
        <v>0.85106382978723405</v>
      </c>
      <c r="R206" s="127">
        <f>2*(P206*Q206)/(P206+Q206)</f>
        <v>0.65573770491803274</v>
      </c>
      <c r="T206" s="81">
        <f>U206-4</f>
        <v>3</v>
      </c>
      <c r="U206" s="81">
        <f>G205-5</f>
        <v>7</v>
      </c>
      <c r="V206" s="129">
        <f>T206/$G$205</f>
        <v>0.25</v>
      </c>
      <c r="W206" s="129">
        <f>T206/U206</f>
        <v>0.42857142857142855</v>
      </c>
      <c r="X206" s="127">
        <f>2*(V206*W206)/(V206+W206)</f>
        <v>0.31578947368421051</v>
      </c>
      <c r="Z206" s="81">
        <f>AA206-22</f>
        <v>24</v>
      </c>
      <c r="AA206" s="81">
        <f>I205-22</f>
        <v>46</v>
      </c>
      <c r="AB206" s="129">
        <f>Z206/$I$205</f>
        <v>0.35294117647058826</v>
      </c>
      <c r="AC206" s="129">
        <f>Z206/AA206</f>
        <v>0.52173913043478259</v>
      </c>
      <c r="AD206" s="127">
        <f>2*(AB206*AC206)/(AB206+AC206)</f>
        <v>0.4210526315789474</v>
      </c>
      <c r="AF206" s="81">
        <v>0</v>
      </c>
      <c r="AG206" s="81">
        <v>0</v>
      </c>
      <c r="AH206" s="127">
        <f>AF206/$H$205</f>
        <v>0</v>
      </c>
      <c r="AI206" s="127">
        <v>0</v>
      </c>
      <c r="AV206" s="101">
        <f>($F$205-M206)/$F$205</f>
        <v>1</v>
      </c>
      <c r="AX206" s="101">
        <f>($G$205-AM206)/$G$205</f>
        <v>1</v>
      </c>
      <c r="AY206" s="101" t="e">
        <f>AQ206/AP206</f>
        <v>#DIV/0!</v>
      </c>
      <c r="AZ206" s="101" t="e">
        <f>AS206/AR206</f>
        <v>#DIV/0!</v>
      </c>
      <c r="BA206" s="85" t="e">
        <f>(AV206+AX206+AY206+AZ206)/4</f>
        <v>#DIV/0!</v>
      </c>
      <c r="BB206" s="13">
        <f>AO206/$H$205</f>
        <v>0</v>
      </c>
      <c r="BC206" s="118" t="e">
        <f>AU206/AO206</f>
        <v>#DIV/0!</v>
      </c>
      <c r="BD206" s="13" t="e">
        <f>AN206/AO206</f>
        <v>#DIV/0!</v>
      </c>
      <c r="BE206" s="13">
        <f>AS206/$H$205</f>
        <v>0</v>
      </c>
      <c r="BF206" s="13">
        <f>AQ206/$H$205</f>
        <v>0</v>
      </c>
      <c r="BP206" t="str">
        <f>_xlfn.CONCAT($C$205," &amp; ",C206," &amp; ",P206," &amp; ",Q206," &amp; ",R206," &amp; ",V206," &amp; ",W206," &amp; ",X206," &amp; ",AB206," &amp; ",AC206," &amp; ",AD206," &amp; ",AF206," &amp; ",AG206," &amp; ",AH206," &amp; ",AI206, " \\ \hline")</f>
        <v>4-1 &amp;  &amp; 0.533333333333333 &amp; 0.851063829787234 &amp; 0.655737704918033 &amp; 0.25 &amp; 0.428571428571429 &amp; 0.315789473684211 &amp; 0.352941176470588 &amp; 0.521739130434783 &amp; 0.421052631578947 &amp; 0 &amp; 0 &amp; 0 &amp; 0 \\ \hline</v>
      </c>
    </row>
    <row r="207" spans="1:68" ht="16">
      <c r="A207" t="s">
        <v>306</v>
      </c>
      <c r="C207" s="310"/>
      <c r="K207" s="47" t="s">
        <v>379</v>
      </c>
      <c r="L207" s="77" t="s">
        <v>565</v>
      </c>
      <c r="N207" s="81">
        <f>O207-10</f>
        <v>51</v>
      </c>
      <c r="O207" s="81">
        <f>F205-14</f>
        <v>61</v>
      </c>
      <c r="P207" s="129">
        <f>N207/$F$205</f>
        <v>0.68</v>
      </c>
      <c r="Q207" s="129">
        <f>N207/O207</f>
        <v>0.83606557377049184</v>
      </c>
      <c r="R207" s="127">
        <f>2*(P207*Q207)/(P207+Q207)</f>
        <v>0.75000000000000011</v>
      </c>
      <c r="T207" s="81">
        <f>U207-4</f>
        <v>5</v>
      </c>
      <c r="U207" s="81">
        <f>G205-3</f>
        <v>9</v>
      </c>
      <c r="V207" s="129">
        <f>T207/$G$205</f>
        <v>0.41666666666666669</v>
      </c>
      <c r="W207" s="129">
        <f>T207/U207</f>
        <v>0.55555555555555558</v>
      </c>
      <c r="X207" s="127">
        <f>2*(V207*W207)/(V207+W207)</f>
        <v>0.47619047619047622</v>
      </c>
      <c r="Z207" s="81">
        <f>AA207-18</f>
        <v>38</v>
      </c>
      <c r="AA207" s="81">
        <f>I205-12</f>
        <v>56</v>
      </c>
      <c r="AB207" s="129">
        <f>Z207/$I$205</f>
        <v>0.55882352941176472</v>
      </c>
      <c r="AC207" s="129">
        <f>Z207/AA207</f>
        <v>0.6785714285714286</v>
      </c>
      <c r="AD207" s="127">
        <f>2*(AB207*AC207)/(AB207+AC207)</f>
        <v>0.61290322580645162</v>
      </c>
      <c r="AF207" s="81">
        <v>0</v>
      </c>
      <c r="AG207" s="81">
        <v>0</v>
      </c>
      <c r="AH207" s="127">
        <f>AF207/$H$205</f>
        <v>0</v>
      </c>
      <c r="AI207" s="127">
        <v>0</v>
      </c>
      <c r="AV207" s="101">
        <f>($F$205-M207)/$F$205</f>
        <v>1</v>
      </c>
      <c r="AX207" s="101">
        <f>($G$205-AM207)/$G$205</f>
        <v>1</v>
      </c>
      <c r="AY207" s="101" t="e">
        <f>AQ207/AP207</f>
        <v>#DIV/0!</v>
      </c>
      <c r="AZ207" s="101" t="e">
        <f>AS207/AR207</f>
        <v>#DIV/0!</v>
      </c>
      <c r="BA207" s="85" t="e">
        <f>(AV207+AX207+AY207+AZ207)/4</f>
        <v>#DIV/0!</v>
      </c>
      <c r="BB207" s="13">
        <f>AO207/$H$205</f>
        <v>0</v>
      </c>
      <c r="BC207" s="118" t="e">
        <f>AU207/AO207</f>
        <v>#DIV/0!</v>
      </c>
      <c r="BD207" s="13" t="e">
        <f>AN207/AO207</f>
        <v>#DIV/0!</v>
      </c>
      <c r="BE207" s="13">
        <f>AS207/$H$205</f>
        <v>0</v>
      </c>
      <c r="BF207" s="13">
        <f>AQ207/$H$205</f>
        <v>0</v>
      </c>
      <c r="BP207" t="str">
        <f t="shared" ref="BP207:BP210" si="29">_xlfn.CONCAT($C$205," &amp; ",C207," &amp; ",P207," &amp; ",Q207," &amp; ",R207," &amp; ",V207," &amp; ",W207," &amp; ",X207," &amp; ",AB207," &amp; ",AC207," &amp; ",AD207," &amp; ",AF207," &amp; ",AG207," &amp; ",AH207," &amp; ",AI207, " \\ \hline")</f>
        <v>4-1 &amp;  &amp; 0.68 &amp; 0.836065573770492 &amp; 0.75 &amp; 0.416666666666667 &amp; 0.555555555555556 &amp; 0.476190476190476 &amp; 0.558823529411765 &amp; 0.678571428571429 &amp; 0.612903225806452 &amp; 0 &amp; 0 &amp; 0 &amp; 0 \\ \hline</v>
      </c>
    </row>
    <row r="208" spans="1:68" ht="16">
      <c r="A208" t="s">
        <v>307</v>
      </c>
      <c r="C208" s="310"/>
      <c r="K208" s="47" t="s">
        <v>380</v>
      </c>
      <c r="L208" s="77" t="s">
        <v>566</v>
      </c>
      <c r="N208" s="81">
        <f>O208-6</f>
        <v>49</v>
      </c>
      <c r="O208" s="81">
        <f>$F$205-20</f>
        <v>55</v>
      </c>
      <c r="P208" s="129">
        <f>N208/$F$205</f>
        <v>0.65333333333333332</v>
      </c>
      <c r="Q208" s="129">
        <f>N208/O208</f>
        <v>0.89090909090909087</v>
      </c>
      <c r="R208" s="127">
        <f>2*(P208*Q208)/(P208+Q208)</f>
        <v>0.75384615384615383</v>
      </c>
      <c r="T208" s="81">
        <f>U208-2</f>
        <v>7</v>
      </c>
      <c r="U208" s="81">
        <f>$G$205-3</f>
        <v>9</v>
      </c>
      <c r="V208" s="129">
        <f>T208/$G$205</f>
        <v>0.58333333333333337</v>
      </c>
      <c r="W208" s="129">
        <f>T208/U208</f>
        <v>0.77777777777777779</v>
      </c>
      <c r="X208" s="127">
        <f>2*(V208*W208)/(V208+W208)</f>
        <v>0.66666666666666663</v>
      </c>
      <c r="Z208" s="81">
        <f>AA208-18</f>
        <v>30</v>
      </c>
      <c r="AA208" s="81">
        <f>$I$205-20</f>
        <v>48</v>
      </c>
      <c r="AB208" s="129">
        <f>Z208/$I$205</f>
        <v>0.44117647058823528</v>
      </c>
      <c r="AC208" s="129">
        <f>Z208/AA208</f>
        <v>0.625</v>
      </c>
      <c r="AD208" s="127">
        <f>2*(AB208*AC208)/(AB208+AC208)</f>
        <v>0.51724137931034486</v>
      </c>
      <c r="AF208" s="81">
        <v>0</v>
      </c>
      <c r="AG208" s="81">
        <v>0</v>
      </c>
      <c r="AH208" s="127">
        <f>AF208/$H$205</f>
        <v>0</v>
      </c>
      <c r="AI208" s="127">
        <v>0</v>
      </c>
      <c r="AV208" s="101">
        <f>($F$205-M208)/$F$205</f>
        <v>1</v>
      </c>
      <c r="AX208" s="101">
        <f>($G$205-AM208)/$G$205</f>
        <v>1</v>
      </c>
      <c r="AY208" s="101" t="e">
        <f>AQ208/AP208</f>
        <v>#DIV/0!</v>
      </c>
      <c r="AZ208" s="101" t="e">
        <f>AS208/AR208</f>
        <v>#DIV/0!</v>
      </c>
      <c r="BA208" s="85" t="e">
        <f>(AV208+AX208+AY208+AZ208)/4</f>
        <v>#DIV/0!</v>
      </c>
      <c r="BB208" s="13">
        <f>AO208/$H$205</f>
        <v>0</v>
      </c>
      <c r="BC208" s="118" t="e">
        <f>AU208/AO208</f>
        <v>#DIV/0!</v>
      </c>
      <c r="BD208" s="13" t="e">
        <f>AN208/AO208</f>
        <v>#DIV/0!</v>
      </c>
      <c r="BE208" s="13">
        <f>AS208/$H$205</f>
        <v>0</v>
      </c>
      <c r="BF208" s="13">
        <f>AQ208/$H$205</f>
        <v>0</v>
      </c>
      <c r="BP208" t="str">
        <f t="shared" si="29"/>
        <v>4-1 &amp;  &amp; 0.653333333333333 &amp; 0.890909090909091 &amp; 0.753846153846154 &amp; 0.583333333333333 &amp; 0.777777777777778 &amp; 0.666666666666667 &amp; 0.441176470588235 &amp; 0.625 &amp; 0.517241379310345 &amp; 0 &amp; 0 &amp; 0 &amp; 0 \\ \hline</v>
      </c>
    </row>
    <row r="209" spans="1:68" ht="16">
      <c r="A209" t="s">
        <v>308</v>
      </c>
      <c r="C209" s="310"/>
      <c r="K209" s="47" t="s">
        <v>381</v>
      </c>
      <c r="L209" s="77" t="s">
        <v>567</v>
      </c>
      <c r="N209" s="81">
        <f>O209-10</f>
        <v>51</v>
      </c>
      <c r="O209" s="81">
        <f>$F$205-14</f>
        <v>61</v>
      </c>
      <c r="P209" s="129">
        <f>N209/$F$205</f>
        <v>0.68</v>
      </c>
      <c r="Q209" s="129">
        <f>N209/O209</f>
        <v>0.83606557377049184</v>
      </c>
      <c r="R209" s="127">
        <f>2*(P209*Q209)/(P209+Q209)</f>
        <v>0.75000000000000011</v>
      </c>
      <c r="T209" s="81">
        <f>U209-5</f>
        <v>5</v>
      </c>
      <c r="U209" s="81">
        <f>$G$205-2</f>
        <v>10</v>
      </c>
      <c r="V209" s="129">
        <f>T209/$G$205</f>
        <v>0.41666666666666669</v>
      </c>
      <c r="W209" s="129">
        <f>T209/U209</f>
        <v>0.5</v>
      </c>
      <c r="X209" s="127">
        <f>2*(V209*W209)/(V209+W209)</f>
        <v>0.45454545454545453</v>
      </c>
      <c r="Z209" s="81">
        <f>AA209-14</f>
        <v>40</v>
      </c>
      <c r="AA209" s="81">
        <f>$I$205-14</f>
        <v>54</v>
      </c>
      <c r="AB209" s="129">
        <f>Z209/$I$205</f>
        <v>0.58823529411764708</v>
      </c>
      <c r="AC209" s="129">
        <f>Z209/AA209</f>
        <v>0.7407407407407407</v>
      </c>
      <c r="AD209" s="127">
        <f>2*(AB209*AC209)/(AB209+AC209)</f>
        <v>0.65573770491803285</v>
      </c>
      <c r="AF209" s="81">
        <v>3</v>
      </c>
      <c r="AG209" s="81">
        <v>3</v>
      </c>
      <c r="AH209" s="127">
        <f>AF209/$H$205</f>
        <v>9.6774193548387094E-2</v>
      </c>
      <c r="AI209" s="127">
        <v>0</v>
      </c>
      <c r="AV209" s="101">
        <f>($F$205-M209)/$F$205</f>
        <v>1</v>
      </c>
      <c r="AX209" s="101">
        <f>($G$205-AM209)/$G$205</f>
        <v>1</v>
      </c>
      <c r="AY209" s="101" t="e">
        <f>AQ209/AP209</f>
        <v>#DIV/0!</v>
      </c>
      <c r="AZ209" s="101" t="e">
        <f>AS209/AR209</f>
        <v>#DIV/0!</v>
      </c>
      <c r="BA209" s="85" t="e">
        <f>(AV209+AX209+AY209+AZ209)/4</f>
        <v>#DIV/0!</v>
      </c>
      <c r="BB209" s="13">
        <f>AO209/$H$205</f>
        <v>0</v>
      </c>
      <c r="BC209" s="118" t="e">
        <f>AU209/AO209</f>
        <v>#DIV/0!</v>
      </c>
      <c r="BD209" s="13" t="e">
        <f>AN209/AO209</f>
        <v>#DIV/0!</v>
      </c>
      <c r="BE209" s="13">
        <f>AS209/$H$205</f>
        <v>0</v>
      </c>
      <c r="BF209" s="13">
        <f>AQ209/$H$205</f>
        <v>0</v>
      </c>
      <c r="BP209" t="str">
        <f t="shared" si="29"/>
        <v>4-1 &amp;  &amp; 0.68 &amp; 0.836065573770492 &amp; 0.75 &amp; 0.416666666666667 &amp; 0.5 &amp; 0.454545454545455 &amp; 0.588235294117647 &amp; 0.740740740740741 &amp; 0.655737704918033 &amp; 3 &amp; 3 &amp; 0.0967741935483871 &amp; 0 \\ \hline</v>
      </c>
    </row>
    <row r="210" spans="1:68" ht="16">
      <c r="A210" t="s">
        <v>309</v>
      </c>
      <c r="C210" s="310"/>
      <c r="K210" s="47" t="s">
        <v>382</v>
      </c>
      <c r="L210" s="77" t="s">
        <v>568</v>
      </c>
      <c r="N210" s="81">
        <f>O210-9</f>
        <v>45</v>
      </c>
      <c r="O210" s="81">
        <f>$F$205-21</f>
        <v>54</v>
      </c>
      <c r="P210" s="129">
        <f>N210/$F$205</f>
        <v>0.6</v>
      </c>
      <c r="Q210" s="129">
        <f>N210/O210</f>
        <v>0.83333333333333337</v>
      </c>
      <c r="R210" s="127">
        <f>2*(P210*Q210)/(P210+Q210)</f>
        <v>0.69767441860465118</v>
      </c>
      <c r="T210" s="81">
        <f>U210-4</f>
        <v>6</v>
      </c>
      <c r="U210" s="81">
        <f>$G$205-2</f>
        <v>10</v>
      </c>
      <c r="V210" s="129">
        <f>T210/$G$205</f>
        <v>0.5</v>
      </c>
      <c r="W210" s="129">
        <f>T210/U210</f>
        <v>0.6</v>
      </c>
      <c r="X210" s="127">
        <f>2*(V210*W210)/(V210+W210)</f>
        <v>0.54545454545454541</v>
      </c>
      <c r="Z210" s="81">
        <f>AA210-20</f>
        <v>31</v>
      </c>
      <c r="AA210" s="81">
        <f>$I$205-17</f>
        <v>51</v>
      </c>
      <c r="AB210" s="129">
        <f>Z210/$I$205</f>
        <v>0.45588235294117646</v>
      </c>
      <c r="AC210" s="129">
        <f>Z210/AA210</f>
        <v>0.60784313725490191</v>
      </c>
      <c r="AD210" s="127">
        <f>2*(AB210*AC210)/(AB210+AC210)</f>
        <v>0.52100840336134446</v>
      </c>
      <c r="AF210" s="81">
        <v>2</v>
      </c>
      <c r="AG210" s="81">
        <v>2</v>
      </c>
      <c r="AH210" s="127">
        <f>AF210/$H$205</f>
        <v>6.4516129032258063E-2</v>
      </c>
      <c r="AI210" s="127">
        <v>0</v>
      </c>
      <c r="AV210" s="101">
        <f>($F$205-M210)/$F$205</f>
        <v>1</v>
      </c>
      <c r="AX210" s="101">
        <f>($G$205-AM210)/$G$205</f>
        <v>1</v>
      </c>
      <c r="AY210" s="101" t="e">
        <f>AQ210/AP210</f>
        <v>#DIV/0!</v>
      </c>
      <c r="AZ210" s="101" t="e">
        <f>AS210/AR210</f>
        <v>#DIV/0!</v>
      </c>
      <c r="BA210" s="85" t="e">
        <f>(AV210+AX210+AY210+AZ210)/4</f>
        <v>#DIV/0!</v>
      </c>
      <c r="BB210" s="13">
        <f>AO210/$H$205</f>
        <v>0</v>
      </c>
      <c r="BC210" s="118" t="e">
        <f>AU210/AO210</f>
        <v>#DIV/0!</v>
      </c>
      <c r="BD210" s="13" t="e">
        <f>AN210/AO210</f>
        <v>#DIV/0!</v>
      </c>
      <c r="BE210" s="13">
        <f>AS210/$H$205</f>
        <v>0</v>
      </c>
      <c r="BF210" s="13">
        <f>AQ210/$H$205</f>
        <v>0</v>
      </c>
      <c r="BP210" t="str">
        <f t="shared" si="29"/>
        <v>4-1 &amp;  &amp; 0.6 &amp; 0.833333333333333 &amp; 0.697674418604651 &amp; 0.5 &amp; 0.6 &amp; 0.545454545454545 &amp; 0.455882352941176 &amp; 0.607843137254902 &amp; 0.521008403361344 &amp; 2 &amp; 2 &amp; 0.0645161290322581 &amp; 0 \\ \hline</v>
      </c>
    </row>
    <row r="211" spans="1:68">
      <c r="C211" s="98"/>
      <c r="P211" s="129"/>
      <c r="Q211" s="129"/>
      <c r="R211" s="127"/>
      <c r="V211" s="129"/>
      <c r="W211" s="129"/>
      <c r="X211" s="127"/>
      <c r="AB211" s="129"/>
      <c r="AC211" s="129"/>
      <c r="AD211" s="127"/>
      <c r="AH211" s="127"/>
      <c r="AI211" s="131"/>
    </row>
    <row r="212" spans="1:68" s="75" customFormat="1">
      <c r="A212" s="73" t="s">
        <v>342</v>
      </c>
      <c r="B212" s="75" t="s">
        <v>387</v>
      </c>
      <c r="C212" s="93" t="s">
        <v>398</v>
      </c>
      <c r="D212" s="78">
        <f>VLOOKUP($C$212,Overview!$Q$2:$AS$64,23,FALSE)</f>
        <v>3.2133281387646022</v>
      </c>
      <c r="E212" s="78" t="str">
        <f>VLOOKUP($C$212,Overview!$Q$2:$AS$64,24,FALSE)</f>
        <v>high</v>
      </c>
      <c r="F212" s="75">
        <f>VLOOKUP(C212,Overview!$Q$2:$AS$64,13,FALSE)</f>
        <v>77</v>
      </c>
      <c r="G212" s="75">
        <f>VLOOKUP(C212,Overview!$Q$2:$AS$64,16,FALSE)</f>
        <v>11</v>
      </c>
      <c r="H212" s="75">
        <f>VLOOKUP(C212,Overview!$Q$2:$AS$64,18,FALSE)</f>
        <v>33</v>
      </c>
      <c r="I212" s="75">
        <f>VLOOKUP($C$212,Overview!$Q$2:$AS$64,19,FALSE)</f>
        <v>72</v>
      </c>
      <c r="K212" s="96"/>
      <c r="M212" s="115"/>
      <c r="N212" s="97"/>
      <c r="O212" s="97"/>
      <c r="P212" s="130"/>
      <c r="Q212" s="130"/>
      <c r="R212" s="128"/>
      <c r="S212" s="115"/>
      <c r="T212" s="97"/>
      <c r="U212" s="97"/>
      <c r="V212" s="130"/>
      <c r="W212" s="130"/>
      <c r="X212" s="128"/>
      <c r="Y212" s="115"/>
      <c r="Z212" s="97"/>
      <c r="AA212" s="97"/>
      <c r="AB212" s="130"/>
      <c r="AC212" s="130"/>
      <c r="AD212" s="128"/>
      <c r="AE212" s="115"/>
      <c r="AF212" s="97"/>
      <c r="AG212" s="97"/>
      <c r="AH212" s="128"/>
      <c r="AI212" s="132"/>
      <c r="AJ212" s="97"/>
      <c r="AK212" s="115"/>
      <c r="AL212" s="122"/>
      <c r="AM212" s="101"/>
      <c r="AP212" s="101"/>
      <c r="AQ212" s="101"/>
      <c r="AU212" s="119"/>
      <c r="AV212" s="101"/>
      <c r="AW212" s="101"/>
      <c r="AX212" s="101"/>
      <c r="AY212" s="101"/>
      <c r="AZ212" s="101"/>
      <c r="BA212" s="83"/>
      <c r="BC212" s="101"/>
      <c r="BP212"/>
    </row>
    <row r="213" spans="1:68" ht="16">
      <c r="A213" t="s">
        <v>305</v>
      </c>
      <c r="C213" s="310"/>
      <c r="K213" s="47" t="s">
        <v>378</v>
      </c>
      <c r="L213" s="77" t="s">
        <v>569</v>
      </c>
      <c r="N213" s="81">
        <f>O213-14</f>
        <v>41</v>
      </c>
      <c r="O213" s="81">
        <f>$F$212-22</f>
        <v>55</v>
      </c>
      <c r="P213" s="129">
        <f>N213/$F$212</f>
        <v>0.53246753246753242</v>
      </c>
      <c r="Q213" s="129">
        <f>N213/O213</f>
        <v>0.74545454545454548</v>
      </c>
      <c r="R213" s="127">
        <f>2*(P213*Q213)/(P213+Q213)</f>
        <v>0.62121212121212122</v>
      </c>
      <c r="T213" s="81">
        <f>U213-2</f>
        <v>5</v>
      </c>
      <c r="U213" s="81">
        <f>$G$212-4</f>
        <v>7</v>
      </c>
      <c r="V213" s="129">
        <f>T213/$G$212</f>
        <v>0.45454545454545453</v>
      </c>
      <c r="W213" s="129">
        <f>T213/U213</f>
        <v>0.7142857142857143</v>
      </c>
      <c r="X213" s="127">
        <f>2*(V213*W213)/(V213+W213)</f>
        <v>0.55555555555555558</v>
      </c>
      <c r="Z213" s="81">
        <f>AA213-19</f>
        <v>32</v>
      </c>
      <c r="AA213" s="81">
        <f>$I$212-21</f>
        <v>51</v>
      </c>
      <c r="AB213" s="129">
        <f>Z213/$I$212</f>
        <v>0.44444444444444442</v>
      </c>
      <c r="AC213" s="129">
        <f>Z213/AA213</f>
        <v>0.62745098039215685</v>
      </c>
      <c r="AD213" s="127">
        <f>2*(AB213*AC213)/(AB213+AC213)</f>
        <v>0.52032520325203246</v>
      </c>
      <c r="AF213" s="81">
        <v>0</v>
      </c>
      <c r="AG213" s="81">
        <v>0</v>
      </c>
      <c r="AH213" s="127">
        <f>AF213/$H$212</f>
        <v>0</v>
      </c>
      <c r="AI213" s="127">
        <v>0</v>
      </c>
      <c r="AV213" s="101">
        <f>($F$212-M213)/$F$212</f>
        <v>1</v>
      </c>
      <c r="AX213" s="101">
        <f>($G$212-AM213)/$G$212</f>
        <v>1</v>
      </c>
      <c r="AY213" s="101" t="e">
        <f>AQ213/AP213</f>
        <v>#DIV/0!</v>
      </c>
      <c r="AZ213" s="101" t="e">
        <f>AS213/AR213</f>
        <v>#DIV/0!</v>
      </c>
      <c r="BA213" s="85" t="e">
        <f>(AV213+AX213+AY213+AZ213)/4</f>
        <v>#DIV/0!</v>
      </c>
      <c r="BB213" s="13">
        <f>AO213/$H$212</f>
        <v>0</v>
      </c>
      <c r="BC213" s="118" t="e">
        <f>AU213/AO213</f>
        <v>#DIV/0!</v>
      </c>
      <c r="BD213" s="13" t="e">
        <f>AN213/AO213</f>
        <v>#DIV/0!</v>
      </c>
      <c r="BE213" s="13">
        <f>AS213/$H$212</f>
        <v>0</v>
      </c>
      <c r="BF213" s="13">
        <f>AQ213/$H$212</f>
        <v>0</v>
      </c>
      <c r="BP213" t="str">
        <f>_xlfn.CONCAT($C$212," &amp; ",C213," &amp; ",P213," &amp; ",Q213," &amp; ",R213," &amp; ",V213," &amp; ",W213," &amp; ",X213," &amp; ",AB213," &amp; ",AC213," &amp; ",AD213," &amp; ",AF213," &amp; ",AG213," &amp; ",AH213," &amp; ",AI213, " \\ \hline")</f>
        <v>8-7 &amp;  &amp; 0.532467532467532 &amp; 0.745454545454545 &amp; 0.621212121212121 &amp; 0.454545454545455 &amp; 0.714285714285714 &amp; 0.555555555555556 &amp; 0.444444444444444 &amp; 0.627450980392157 &amp; 0.520325203252032 &amp; 0 &amp; 0 &amp; 0 &amp; 0 \\ \hline</v>
      </c>
    </row>
    <row r="214" spans="1:68" ht="16">
      <c r="A214" t="s">
        <v>306</v>
      </c>
      <c r="C214" s="310"/>
      <c r="J214" t="s">
        <v>401</v>
      </c>
      <c r="K214" s="47" t="s">
        <v>379</v>
      </c>
      <c r="L214" s="77" t="s">
        <v>570</v>
      </c>
      <c r="N214" s="81">
        <f>O214-10</f>
        <v>38</v>
      </c>
      <c r="O214" s="81">
        <f>$F$212-29</f>
        <v>48</v>
      </c>
      <c r="P214" s="129">
        <f>N214/$F$212</f>
        <v>0.4935064935064935</v>
      </c>
      <c r="Q214" s="129">
        <f>N214/O214</f>
        <v>0.79166666666666663</v>
      </c>
      <c r="R214" s="127">
        <f>2*(P214*Q214)/(P214+Q214)</f>
        <v>0.60799999999999987</v>
      </c>
      <c r="T214" s="81">
        <f>U214-2</f>
        <v>5</v>
      </c>
      <c r="U214" s="81">
        <f>$G$212-4</f>
        <v>7</v>
      </c>
      <c r="V214" s="129">
        <f>T214/$G$212</f>
        <v>0.45454545454545453</v>
      </c>
      <c r="W214" s="129">
        <f>T214/U214</f>
        <v>0.7142857142857143</v>
      </c>
      <c r="X214" s="127">
        <f>2*(V214*W214)/(V214+W214)</f>
        <v>0.55555555555555558</v>
      </c>
      <c r="Z214" s="81">
        <f>AA214-18</f>
        <v>26</v>
      </c>
      <c r="AA214" s="81">
        <f>$I$212-28</f>
        <v>44</v>
      </c>
      <c r="AB214" s="129">
        <f>Z214/$I$212</f>
        <v>0.3611111111111111</v>
      </c>
      <c r="AC214" s="129">
        <f>Z214/AA214</f>
        <v>0.59090909090909094</v>
      </c>
      <c r="AD214" s="127">
        <f>2*(AB214*AC214)/(AB214+AC214)</f>
        <v>0.44827586206896558</v>
      </c>
      <c r="AF214" s="81">
        <v>2</v>
      </c>
      <c r="AG214" s="81">
        <v>2</v>
      </c>
      <c r="AH214" s="127">
        <f>AF214/$H$212</f>
        <v>6.0606060606060608E-2</v>
      </c>
      <c r="AI214" s="127">
        <f>AF214/AG214</f>
        <v>1</v>
      </c>
      <c r="AV214" s="101">
        <f>($F$212-M214)/$F$212</f>
        <v>1</v>
      </c>
      <c r="AX214" s="101">
        <f>($G$212-AM214)/$G$212</f>
        <v>1</v>
      </c>
      <c r="AY214" s="101" t="e">
        <f>AQ214/AP214</f>
        <v>#DIV/0!</v>
      </c>
      <c r="AZ214" s="101" t="e">
        <f>AS214/AR214</f>
        <v>#DIV/0!</v>
      </c>
      <c r="BA214" s="85" t="e">
        <f>(AV214+AX214+AY214+AZ214)/4</f>
        <v>#DIV/0!</v>
      </c>
      <c r="BB214" s="13">
        <f>AO214/$H$212</f>
        <v>0</v>
      </c>
      <c r="BC214" s="118" t="e">
        <f>AU214/AO214</f>
        <v>#DIV/0!</v>
      </c>
      <c r="BD214" s="13" t="e">
        <f>AN214/AO214</f>
        <v>#DIV/0!</v>
      </c>
      <c r="BE214" s="13">
        <f>AS214/$H$212</f>
        <v>0</v>
      </c>
      <c r="BF214" s="13">
        <f>AQ214/$H$212</f>
        <v>0</v>
      </c>
      <c r="BP214" t="str">
        <f t="shared" ref="BP214:BP217" si="30">_xlfn.CONCAT($C$212," &amp; ",C214," &amp; ",P214," &amp; ",Q214," &amp; ",R214," &amp; ",V214," &amp; ",W214," &amp; ",X214," &amp; ",AB214," &amp; ",AC214," &amp; ",AD214," &amp; ",AF214," &amp; ",AG214," &amp; ",AH214," &amp; ",AI214, " \\ \hline")</f>
        <v>8-7 &amp;  &amp; 0.493506493506494 &amp; 0.791666666666667 &amp; 0.608 &amp; 0.454545454545455 &amp; 0.714285714285714 &amp; 0.555555555555556 &amp; 0.361111111111111 &amp; 0.590909090909091 &amp; 0.448275862068966 &amp; 2 &amp; 2 &amp; 0.0606060606060606 &amp; 1 \\ \hline</v>
      </c>
    </row>
    <row r="215" spans="1:68" ht="16">
      <c r="A215" t="s">
        <v>307</v>
      </c>
      <c r="C215" s="310"/>
      <c r="J215" t="s">
        <v>402</v>
      </c>
      <c r="K215" s="47" t="s">
        <v>380</v>
      </c>
      <c r="L215" s="77" t="s">
        <v>572</v>
      </c>
      <c r="N215" s="81">
        <f>O215-14</f>
        <v>40</v>
      </c>
      <c r="O215" s="81">
        <f>$F$212-23</f>
        <v>54</v>
      </c>
      <c r="P215" s="129">
        <f>N215/$F$212</f>
        <v>0.51948051948051943</v>
      </c>
      <c r="Q215" s="129">
        <f>N215/O215</f>
        <v>0.7407407407407407</v>
      </c>
      <c r="R215" s="127">
        <f>2*(P215*Q215)/(P215+Q215)</f>
        <v>0.61068702290076338</v>
      </c>
      <c r="T215" s="81">
        <f>U215-2</f>
        <v>5</v>
      </c>
      <c r="U215" s="81">
        <f>$G$212-4</f>
        <v>7</v>
      </c>
      <c r="V215" s="129">
        <f>T215/$G$212</f>
        <v>0.45454545454545453</v>
      </c>
      <c r="W215" s="129">
        <f>T215/U215</f>
        <v>0.7142857142857143</v>
      </c>
      <c r="X215" s="127">
        <f>2*(V215*W215)/(V215+W215)</f>
        <v>0.55555555555555558</v>
      </c>
      <c r="Z215" s="81">
        <f>AA215-19</f>
        <v>31</v>
      </c>
      <c r="AA215" s="81">
        <f>$I$212-22</f>
        <v>50</v>
      </c>
      <c r="AB215" s="129">
        <f>Z215/$I$212</f>
        <v>0.43055555555555558</v>
      </c>
      <c r="AC215" s="129">
        <f>Z215/AA215</f>
        <v>0.62</v>
      </c>
      <c r="AD215" s="127">
        <f>2*(AB215*AC215)/(AB215+AC215)</f>
        <v>0.50819672131147553</v>
      </c>
      <c r="AF215" s="81">
        <v>0</v>
      </c>
      <c r="AG215" s="81">
        <v>0</v>
      </c>
      <c r="AH215" s="127">
        <f>AF215/$H$212</f>
        <v>0</v>
      </c>
      <c r="AI215" s="127">
        <v>0</v>
      </c>
      <c r="AV215" s="101">
        <f>($F$212-M215)/$F$212</f>
        <v>1</v>
      </c>
      <c r="AX215" s="101">
        <f>($G$212-AM215)/$G$212</f>
        <v>1</v>
      </c>
      <c r="AY215" s="101" t="e">
        <f>AQ215/AP215</f>
        <v>#DIV/0!</v>
      </c>
      <c r="AZ215" s="101" t="e">
        <f>AS215/AR215</f>
        <v>#DIV/0!</v>
      </c>
      <c r="BA215" s="85" t="e">
        <f>(AV215+AX215+AY215+AZ215)/4</f>
        <v>#DIV/0!</v>
      </c>
      <c r="BB215" s="13">
        <f>AO215/$H$212</f>
        <v>0</v>
      </c>
      <c r="BC215" s="118" t="e">
        <f>AU215/AO215</f>
        <v>#DIV/0!</v>
      </c>
      <c r="BD215" s="13" t="e">
        <f>AN215/AO215</f>
        <v>#DIV/0!</v>
      </c>
      <c r="BE215" s="13">
        <f>AS215/$H$212</f>
        <v>0</v>
      </c>
      <c r="BF215" s="13">
        <f>AQ215/$H$212</f>
        <v>0</v>
      </c>
      <c r="BP215" t="str">
        <f t="shared" si="30"/>
        <v>8-7 &amp;  &amp; 0.519480519480519 &amp; 0.740740740740741 &amp; 0.610687022900763 &amp; 0.454545454545455 &amp; 0.714285714285714 &amp; 0.555555555555556 &amp; 0.430555555555556 &amp; 0.62 &amp; 0.508196721311476 &amp; 0 &amp; 0 &amp; 0 &amp; 0 \\ \hline</v>
      </c>
    </row>
    <row r="216" spans="1:68" ht="16">
      <c r="A216" t="s">
        <v>308</v>
      </c>
      <c r="C216" s="310"/>
      <c r="J216" t="s">
        <v>403</v>
      </c>
      <c r="K216" s="47" t="s">
        <v>381</v>
      </c>
      <c r="L216" s="77" t="s">
        <v>571</v>
      </c>
      <c r="N216" s="81">
        <f>O216-17</f>
        <v>46</v>
      </c>
      <c r="O216" s="81">
        <f>$F$212-14</f>
        <v>63</v>
      </c>
      <c r="P216" s="129">
        <f>N216/$F$212</f>
        <v>0.59740259740259738</v>
      </c>
      <c r="Q216" s="129">
        <f>N216/O216</f>
        <v>0.73015873015873012</v>
      </c>
      <c r="R216" s="127">
        <f>2*(P216*Q216)/(P216+Q216)</f>
        <v>0.65714285714285703</v>
      </c>
      <c r="T216" s="81">
        <f>U216-2</f>
        <v>5</v>
      </c>
      <c r="U216" s="81">
        <f>$G$212-4</f>
        <v>7</v>
      </c>
      <c r="V216" s="129">
        <f>T216/$G$212</f>
        <v>0.45454545454545453</v>
      </c>
      <c r="W216" s="129">
        <f>T216/U216</f>
        <v>0.7142857142857143</v>
      </c>
      <c r="X216" s="127">
        <f>2*(V216*W216)/(V216+W216)</f>
        <v>0.55555555555555558</v>
      </c>
      <c r="Z216" s="81">
        <f>AA216-22</f>
        <v>37</v>
      </c>
      <c r="AA216" s="81">
        <f>$I$212-13</f>
        <v>59</v>
      </c>
      <c r="AB216" s="129">
        <f>Z216/$I$212</f>
        <v>0.51388888888888884</v>
      </c>
      <c r="AC216" s="129">
        <f>Z216/AA216</f>
        <v>0.6271186440677966</v>
      </c>
      <c r="AD216" s="127">
        <f>2*(AB216*AC216)/(AB216+AC216)</f>
        <v>0.56488549618320594</v>
      </c>
      <c r="AF216" s="81">
        <v>0</v>
      </c>
      <c r="AG216" s="81">
        <v>0</v>
      </c>
      <c r="AH216" s="127">
        <f>AF216/$H$212</f>
        <v>0</v>
      </c>
      <c r="AI216" s="127">
        <v>0</v>
      </c>
      <c r="AV216" s="101">
        <f>($F$212-M216)/$F$212</f>
        <v>1</v>
      </c>
      <c r="AX216" s="101">
        <f>($G$212-AM216)/$G$212</f>
        <v>1</v>
      </c>
      <c r="AY216" s="101" t="e">
        <f>AQ216/AP216</f>
        <v>#DIV/0!</v>
      </c>
      <c r="AZ216" s="101" t="e">
        <f>AS216/AR216</f>
        <v>#DIV/0!</v>
      </c>
      <c r="BA216" s="85" t="e">
        <f>(AV216+AX216+AY216+AZ216)/4</f>
        <v>#DIV/0!</v>
      </c>
      <c r="BB216" s="13">
        <f>AO216/$H$212</f>
        <v>0</v>
      </c>
      <c r="BC216" s="118" t="e">
        <f>AU216/AO216</f>
        <v>#DIV/0!</v>
      </c>
      <c r="BD216" s="13" t="e">
        <f>AN216/AO216</f>
        <v>#DIV/0!</v>
      </c>
      <c r="BE216" s="13">
        <f>AS216/$H$212</f>
        <v>0</v>
      </c>
      <c r="BF216" s="13">
        <f>AQ216/$H$212</f>
        <v>0</v>
      </c>
      <c r="BP216" t="str">
        <f t="shared" si="30"/>
        <v>8-7 &amp;  &amp; 0.597402597402597 &amp; 0.73015873015873 &amp; 0.657142857142857 &amp; 0.454545454545455 &amp; 0.714285714285714 &amp; 0.555555555555556 &amp; 0.513888888888889 &amp; 0.627118644067797 &amp; 0.564885496183206 &amp; 0 &amp; 0 &amp; 0 &amp; 0 \\ \hline</v>
      </c>
    </row>
    <row r="217" spans="1:68" ht="16">
      <c r="A217" t="s">
        <v>309</v>
      </c>
      <c r="C217" s="310"/>
      <c r="J217" t="s">
        <v>404</v>
      </c>
      <c r="K217" s="47" t="s">
        <v>382</v>
      </c>
      <c r="L217" s="77" t="s">
        <v>573</v>
      </c>
      <c r="N217" s="81">
        <f>O217-13</f>
        <v>33</v>
      </c>
      <c r="O217" s="81">
        <f>$F$212-31</f>
        <v>46</v>
      </c>
      <c r="P217" s="129">
        <f>N217/$F$212</f>
        <v>0.42857142857142855</v>
      </c>
      <c r="Q217" s="129">
        <f>N217/O217</f>
        <v>0.71739130434782605</v>
      </c>
      <c r="R217" s="127">
        <f>2*(P217*Q217)/(P217+Q217)</f>
        <v>0.53658536585365857</v>
      </c>
      <c r="T217" s="81">
        <f>U217-1</f>
        <v>6</v>
      </c>
      <c r="U217" s="81">
        <f>$G$212-4</f>
        <v>7</v>
      </c>
      <c r="V217" s="129">
        <f>T217/$G$212</f>
        <v>0.54545454545454541</v>
      </c>
      <c r="W217" s="129">
        <f>T217/U217</f>
        <v>0.8571428571428571</v>
      </c>
      <c r="X217" s="127">
        <f>2*(V217*W217)/(V217+W217)</f>
        <v>0.66666666666666652</v>
      </c>
      <c r="Z217" s="81">
        <f>AA217-9</f>
        <v>33</v>
      </c>
      <c r="AA217" s="81">
        <f>$I$212-30</f>
        <v>42</v>
      </c>
      <c r="AB217" s="129">
        <f>Z217/$I$212</f>
        <v>0.45833333333333331</v>
      </c>
      <c r="AC217" s="129">
        <f>Z217/AA217</f>
        <v>0.7857142857142857</v>
      </c>
      <c r="AD217" s="127">
        <f>2*(AB217*AC217)/(AB217+AC217)</f>
        <v>0.57894736842105265</v>
      </c>
      <c r="AF217" s="81">
        <v>2</v>
      </c>
      <c r="AG217" s="81">
        <v>2</v>
      </c>
      <c r="AH217" s="127">
        <f>AF217/$H$212</f>
        <v>6.0606060606060608E-2</v>
      </c>
      <c r="AI217" s="127">
        <f>AF217/AG217</f>
        <v>1</v>
      </c>
      <c r="AV217" s="101">
        <f>($F$212-M217)/$F$212</f>
        <v>1</v>
      </c>
      <c r="AX217" s="101">
        <f>($G$212-AM217)/$G$212</f>
        <v>1</v>
      </c>
      <c r="AY217" s="101" t="e">
        <f>AQ217/AP217</f>
        <v>#DIV/0!</v>
      </c>
      <c r="AZ217" s="101" t="e">
        <f>AS217/AR217</f>
        <v>#DIV/0!</v>
      </c>
      <c r="BA217" s="85" t="e">
        <f>(AV217+AX217+AY217+AZ217)/4</f>
        <v>#DIV/0!</v>
      </c>
      <c r="BB217" s="13">
        <f>AO217/$H$212</f>
        <v>0</v>
      </c>
      <c r="BC217" s="118" t="e">
        <f>AU217/AO217</f>
        <v>#DIV/0!</v>
      </c>
      <c r="BD217" s="13" t="e">
        <f>AN217/AO217</f>
        <v>#DIV/0!</v>
      </c>
      <c r="BE217" s="13">
        <f>AS217/$H$212</f>
        <v>0</v>
      </c>
      <c r="BF217" s="13">
        <f>AQ217/$H$212</f>
        <v>0</v>
      </c>
      <c r="BP217" t="str">
        <f t="shared" si="30"/>
        <v>8-7 &amp;  &amp; 0.428571428571429 &amp; 0.717391304347826 &amp; 0.536585365853659 &amp; 0.545454545454545 &amp; 0.857142857142857 &amp; 0.666666666666667 &amp; 0.458333333333333 &amp; 0.785714285714286 &amp; 0.578947368421053 &amp; 2 &amp; 2 &amp; 0.0606060606060606 &amp; 1 \\ \hline</v>
      </c>
    </row>
    <row r="218" spans="1:68">
      <c r="C218" s="98"/>
      <c r="P218" s="129"/>
      <c r="Q218" s="129"/>
      <c r="R218" s="127"/>
      <c r="V218" s="129"/>
      <c r="W218" s="129"/>
      <c r="X218" s="127"/>
      <c r="AB218" s="129"/>
      <c r="AC218" s="129"/>
      <c r="AD218" s="127"/>
      <c r="AH218" s="127"/>
      <c r="AI218" s="131"/>
    </row>
    <row r="219" spans="1:68" s="75" customFormat="1">
      <c r="A219" s="73" t="s">
        <v>343</v>
      </c>
      <c r="B219" s="75" t="s">
        <v>387</v>
      </c>
      <c r="C219" s="93" t="s">
        <v>284</v>
      </c>
      <c r="D219" s="78">
        <f>VLOOKUP($C$219,Overview!$Q$2:$AS$64,23,FALSE)</f>
        <v>3.2868164116145109</v>
      </c>
      <c r="E219" s="78" t="str">
        <f>VLOOKUP($C$219,Overview!$Q$2:$AS$64,24,FALSE)</f>
        <v>high</v>
      </c>
      <c r="F219" s="75">
        <f>VLOOKUP(C219,Overview!$Q$2:$AS$64,13,FALSE)</f>
        <v>78</v>
      </c>
      <c r="G219" s="75">
        <f>VLOOKUP(C219,Overview!$Q$2:$AS$64,16,FALSE)</f>
        <v>12</v>
      </c>
      <c r="H219" s="75">
        <f>VLOOKUP(C219,Overview!$Q$2:$AS$64,18,FALSE)</f>
        <v>33</v>
      </c>
      <c r="I219" s="75">
        <f>VLOOKUP($C$219,Overview!$Q$2:$AS$64,19,FALSE)</f>
        <v>74</v>
      </c>
      <c r="K219" s="96"/>
      <c r="M219" s="115"/>
      <c r="N219" s="97"/>
      <c r="O219" s="97"/>
      <c r="P219" s="130"/>
      <c r="Q219" s="130"/>
      <c r="R219" s="128"/>
      <c r="S219" s="115"/>
      <c r="T219" s="97"/>
      <c r="U219" s="97"/>
      <c r="V219" s="130"/>
      <c r="W219" s="130"/>
      <c r="X219" s="128"/>
      <c r="Y219" s="115"/>
      <c r="Z219" s="97"/>
      <c r="AA219" s="97"/>
      <c r="AB219" s="130"/>
      <c r="AC219" s="130"/>
      <c r="AD219" s="128"/>
      <c r="AE219" s="115"/>
      <c r="AF219" s="97"/>
      <c r="AG219" s="97"/>
      <c r="AH219" s="128"/>
      <c r="AI219" s="132"/>
      <c r="AJ219" s="97"/>
      <c r="AK219" s="115"/>
      <c r="AL219" s="122"/>
      <c r="AM219" s="101"/>
      <c r="AP219" s="101"/>
      <c r="AQ219" s="101"/>
      <c r="AU219" s="119"/>
      <c r="AV219" s="101"/>
      <c r="AW219" s="101"/>
      <c r="AX219" s="101"/>
      <c r="AY219" s="101"/>
      <c r="AZ219" s="101"/>
      <c r="BA219" s="83"/>
      <c r="BC219" s="101"/>
      <c r="BP219"/>
    </row>
    <row r="220" spans="1:68" ht="16">
      <c r="A220" t="s">
        <v>305</v>
      </c>
      <c r="C220" s="310"/>
      <c r="J220" t="s">
        <v>389</v>
      </c>
      <c r="K220" s="47" t="s">
        <v>378</v>
      </c>
      <c r="L220" s="77" t="s">
        <v>579</v>
      </c>
      <c r="N220" s="81">
        <f>O220-16</f>
        <v>52</v>
      </c>
      <c r="O220" s="81">
        <f>$F$219-10</f>
        <v>68</v>
      </c>
      <c r="P220" s="129">
        <f>N220/$F$219</f>
        <v>0.66666666666666663</v>
      </c>
      <c r="Q220" s="129">
        <f>N220/O220</f>
        <v>0.76470588235294112</v>
      </c>
      <c r="R220" s="127">
        <f>2*(P220*Q220)/(P220+Q220)</f>
        <v>0.71232876712328774</v>
      </c>
      <c r="T220" s="81">
        <f>U220-1</f>
        <v>6</v>
      </c>
      <c r="U220" s="81">
        <f>$G$219-5</f>
        <v>7</v>
      </c>
      <c r="V220" s="129">
        <f>T220/$G$219</f>
        <v>0.5</v>
      </c>
      <c r="W220" s="129">
        <f>T220/U220</f>
        <v>0.8571428571428571</v>
      </c>
      <c r="X220" s="127">
        <f>2*(V220*W220)/(V220+W220)</f>
        <v>0.63157894736842102</v>
      </c>
      <c r="Z220" s="81">
        <f>AA220-11</f>
        <v>57</v>
      </c>
      <c r="AA220" s="81">
        <f>$I$219-6</f>
        <v>68</v>
      </c>
      <c r="AB220" s="129">
        <f>Z220/$I$219</f>
        <v>0.77027027027027029</v>
      </c>
      <c r="AC220" s="129">
        <f>Z220/AA220</f>
        <v>0.83823529411764708</v>
      </c>
      <c r="AD220" s="127">
        <f>2*(AB220*AC220)/(AB220+AC220)</f>
        <v>0.80281690140845074</v>
      </c>
      <c r="AF220" s="81">
        <v>0</v>
      </c>
      <c r="AG220" s="81">
        <v>0</v>
      </c>
      <c r="AH220" s="127">
        <f>AF220/$H$219</f>
        <v>0</v>
      </c>
      <c r="AI220" s="127">
        <v>0</v>
      </c>
      <c r="AV220" s="101">
        <f>($F$219-M220)/$F$219</f>
        <v>1</v>
      </c>
      <c r="AX220" s="101">
        <f>($G$219-AM220)/$G$219</f>
        <v>1</v>
      </c>
      <c r="AY220" s="101" t="e">
        <f>AQ220/AP220</f>
        <v>#DIV/0!</v>
      </c>
      <c r="AZ220" s="101" t="e">
        <f>AS220/AR220</f>
        <v>#DIV/0!</v>
      </c>
      <c r="BA220" s="85" t="e">
        <f>(AV220+AX220+AY220+AZ220)/4</f>
        <v>#DIV/0!</v>
      </c>
      <c r="BB220" s="13">
        <f>AO220/$H$219</f>
        <v>0</v>
      </c>
      <c r="BC220" s="118" t="e">
        <f>AU220/AO220</f>
        <v>#DIV/0!</v>
      </c>
      <c r="BD220" s="13" t="e">
        <f>AN220/AO220</f>
        <v>#DIV/0!</v>
      </c>
      <c r="BE220" s="13">
        <f>AS220/$H$219</f>
        <v>0</v>
      </c>
      <c r="BF220" s="13">
        <f>AQ220/$H$219</f>
        <v>0</v>
      </c>
      <c r="BP220" t="str">
        <f>_xlfn.CONCAT($C$219," &amp; ",C220," &amp; ",P220," &amp; ",Q220," &amp; ",R220," &amp; ",V220," &amp; ",W220," &amp; ",X220," &amp; ",AB220," &amp; ",AC220," &amp; ",AD220," &amp; ",AF220," &amp; ",AG220," &amp; ",AH220," &amp; ",AI220, " \\ \hline")</f>
        <v>8-6 &amp;  &amp; 0.666666666666667 &amp; 0.764705882352941 &amp; 0.712328767123288 &amp; 0.5 &amp; 0.857142857142857 &amp; 0.631578947368421 &amp; 0.77027027027027 &amp; 0.838235294117647 &amp; 0.802816901408451 &amp; 0 &amp; 0 &amp; 0 &amp; 0 \\ \hline</v>
      </c>
    </row>
    <row r="221" spans="1:68" ht="16">
      <c r="A221" t="s">
        <v>306</v>
      </c>
      <c r="C221" s="310"/>
      <c r="J221" t="s">
        <v>390</v>
      </c>
      <c r="K221" s="47" t="s">
        <v>379</v>
      </c>
      <c r="L221" s="77" t="s">
        <v>580</v>
      </c>
      <c r="N221" s="81">
        <f>O221-3</f>
        <v>46</v>
      </c>
      <c r="O221" s="81">
        <f>$F$219-29</f>
        <v>49</v>
      </c>
      <c r="P221" s="129">
        <f>N221/$F$219</f>
        <v>0.58974358974358976</v>
      </c>
      <c r="Q221" s="129">
        <f>N221/O221</f>
        <v>0.93877551020408168</v>
      </c>
      <c r="R221" s="127">
        <f>2*(P221*Q221)/(P221+Q221)</f>
        <v>0.72440944881889757</v>
      </c>
      <c r="T221" s="81">
        <f>U221-2</f>
        <v>7</v>
      </c>
      <c r="U221" s="81">
        <f>$G$219-3</f>
        <v>9</v>
      </c>
      <c r="V221" s="129">
        <f>T221/$G$219</f>
        <v>0.58333333333333337</v>
      </c>
      <c r="W221" s="129">
        <f>T221/U221</f>
        <v>0.77777777777777779</v>
      </c>
      <c r="X221" s="127">
        <f>2*(V221*W221)/(V221+W221)</f>
        <v>0.66666666666666663</v>
      </c>
      <c r="Z221" s="81">
        <f>AA221-19</f>
        <v>28</v>
      </c>
      <c r="AA221" s="81">
        <f>$I$219-27</f>
        <v>47</v>
      </c>
      <c r="AB221" s="129">
        <f>Z221/$I$219</f>
        <v>0.3783783783783784</v>
      </c>
      <c r="AC221" s="129">
        <f>Z221/AA221</f>
        <v>0.5957446808510638</v>
      </c>
      <c r="AD221" s="127">
        <f>2*(AB221*AC221)/(AB221+AC221)</f>
        <v>0.46280991735537191</v>
      </c>
      <c r="AF221" s="81">
        <v>2</v>
      </c>
      <c r="AG221" s="81">
        <v>2</v>
      </c>
      <c r="AH221" s="127">
        <f>AF221/$H$219</f>
        <v>6.0606060606060608E-2</v>
      </c>
      <c r="AI221" s="127">
        <f>AF221/AG221</f>
        <v>1</v>
      </c>
      <c r="AV221" s="101">
        <f>($F$219-M221)/$F$219</f>
        <v>1</v>
      </c>
      <c r="AX221" s="101">
        <f>($G$219-AM221)/$G$219</f>
        <v>1</v>
      </c>
      <c r="AY221" s="101" t="e">
        <f>AQ221/AP221</f>
        <v>#DIV/0!</v>
      </c>
      <c r="AZ221" s="101" t="e">
        <f>AS221/AR221</f>
        <v>#DIV/0!</v>
      </c>
      <c r="BA221" s="85" t="e">
        <f>(AV221+AX221+AY221+AZ221)/4</f>
        <v>#DIV/0!</v>
      </c>
      <c r="BB221" s="13">
        <f>AO221/$H$219</f>
        <v>0</v>
      </c>
      <c r="BC221" s="118" t="e">
        <f>AU221/AO221</f>
        <v>#DIV/0!</v>
      </c>
      <c r="BD221" s="13" t="e">
        <f>AN221/AO221</f>
        <v>#DIV/0!</v>
      </c>
      <c r="BE221" s="13">
        <f>AS221/$H$219</f>
        <v>0</v>
      </c>
      <c r="BF221" s="13">
        <f>AQ221/$H$219</f>
        <v>0</v>
      </c>
      <c r="BP221" t="str">
        <f t="shared" ref="BP221:BP224" si="31">_xlfn.CONCAT($C$219," &amp; ",C221," &amp; ",P221," &amp; ",Q221," &amp; ",R221," &amp; ",V221," &amp; ",W221," &amp; ",X221," &amp; ",AB221," &amp; ",AC221," &amp; ",AD221," &amp; ",AF221," &amp; ",AG221," &amp; ",AH221," &amp; ",AI221, " \\ \hline")</f>
        <v>8-6 &amp;  &amp; 0.58974358974359 &amp; 0.938775510204082 &amp; 0.724409448818898 &amp; 0.583333333333333 &amp; 0.777777777777778 &amp; 0.666666666666667 &amp; 0.378378378378378 &amp; 0.595744680851064 &amp; 0.462809917355372 &amp; 2 &amp; 2 &amp; 0.0606060606060606 &amp; 1 \\ \hline</v>
      </c>
    </row>
    <row r="222" spans="1:68" ht="16">
      <c r="A222" t="s">
        <v>307</v>
      </c>
      <c r="C222" s="310"/>
      <c r="J222" t="s">
        <v>391</v>
      </c>
      <c r="K222" s="47" t="s">
        <v>380</v>
      </c>
      <c r="L222" s="77" t="s">
        <v>581</v>
      </c>
      <c r="N222" s="81">
        <f>O222-16</f>
        <v>40</v>
      </c>
      <c r="O222" s="81">
        <f>$F$219-22</f>
        <v>56</v>
      </c>
      <c r="P222" s="129">
        <f>N222/$F$219</f>
        <v>0.51282051282051277</v>
      </c>
      <c r="Q222" s="129">
        <f>N222/O222</f>
        <v>0.7142857142857143</v>
      </c>
      <c r="R222" s="127">
        <f>2*(P222*Q222)/(P222+Q222)</f>
        <v>0.59701492537313428</v>
      </c>
      <c r="T222" s="81">
        <f>U222-2</f>
        <v>5</v>
      </c>
      <c r="U222" s="81">
        <f>$G$219-5</f>
        <v>7</v>
      </c>
      <c r="V222" s="129">
        <f>T222/$G$219</f>
        <v>0.41666666666666669</v>
      </c>
      <c r="W222" s="129">
        <f>T222/U222</f>
        <v>0.7142857142857143</v>
      </c>
      <c r="X222" s="127">
        <f>2*(V222*W222)/(V222+W222)</f>
        <v>0.52631578947368418</v>
      </c>
      <c r="Z222" s="81">
        <f>AA222-24</f>
        <v>29</v>
      </c>
      <c r="AA222" s="81">
        <f>$I$219-21</f>
        <v>53</v>
      </c>
      <c r="AB222" s="129">
        <f>Z222/$I$219</f>
        <v>0.39189189189189189</v>
      </c>
      <c r="AC222" s="129">
        <f>Z222/AA222</f>
        <v>0.54716981132075471</v>
      </c>
      <c r="AD222" s="127">
        <f>2*(AB222*AC222)/(AB222+AC222)</f>
        <v>0.45669291338582679</v>
      </c>
      <c r="AF222" s="81">
        <v>0</v>
      </c>
      <c r="AG222" s="81">
        <v>0</v>
      </c>
      <c r="AH222" s="127">
        <f>AF222/$H$219</f>
        <v>0</v>
      </c>
      <c r="AI222" s="127">
        <v>0</v>
      </c>
      <c r="AV222" s="101">
        <f>($F$219-M222)/$F$219</f>
        <v>1</v>
      </c>
      <c r="AX222" s="101">
        <f>($G$219-AM222)/$G$219</f>
        <v>1</v>
      </c>
      <c r="AY222" s="101" t="e">
        <f>AQ222/AP222</f>
        <v>#DIV/0!</v>
      </c>
      <c r="AZ222" s="101" t="e">
        <f>AS222/AR222</f>
        <v>#DIV/0!</v>
      </c>
      <c r="BA222" s="85" t="e">
        <f>(AV222+AX222+AY222+AZ222)/4</f>
        <v>#DIV/0!</v>
      </c>
      <c r="BB222" s="13">
        <f>AO222/$H$219</f>
        <v>0</v>
      </c>
      <c r="BC222" s="118" t="e">
        <f>AU222/AO222</f>
        <v>#DIV/0!</v>
      </c>
      <c r="BD222" s="13" t="e">
        <f>AN222/AO222</f>
        <v>#DIV/0!</v>
      </c>
      <c r="BE222" s="13">
        <f>AS222/$H$219</f>
        <v>0</v>
      </c>
      <c r="BF222" s="13">
        <f>AQ222/$H$219</f>
        <v>0</v>
      </c>
      <c r="BP222" t="str">
        <f t="shared" si="31"/>
        <v>8-6 &amp;  &amp; 0.512820512820513 &amp; 0.714285714285714 &amp; 0.597014925373134 &amp; 0.416666666666667 &amp; 0.714285714285714 &amp; 0.526315789473684 &amp; 0.391891891891892 &amp; 0.547169811320755 &amp; 0.456692913385827 &amp; 0 &amp; 0 &amp; 0 &amp; 0 \\ \hline</v>
      </c>
    </row>
    <row r="223" spans="1:68" ht="16">
      <c r="A223" t="s">
        <v>308</v>
      </c>
      <c r="C223" s="310"/>
      <c r="J223" t="s">
        <v>391</v>
      </c>
      <c r="K223" s="47" t="s">
        <v>381</v>
      </c>
      <c r="L223" s="77" t="s">
        <v>582</v>
      </c>
      <c r="N223" s="81">
        <f>O223-20</f>
        <v>48</v>
      </c>
      <c r="O223" s="81">
        <f>$F$219-10</f>
        <v>68</v>
      </c>
      <c r="P223" s="129">
        <f>N223/$F$219</f>
        <v>0.61538461538461542</v>
      </c>
      <c r="Q223" s="129">
        <f>N223/O223</f>
        <v>0.70588235294117652</v>
      </c>
      <c r="R223" s="127">
        <f>2*(P223*Q223)/(P223+Q223)</f>
        <v>0.65753424657534243</v>
      </c>
      <c r="T223" s="81">
        <f>U223-4</f>
        <v>5</v>
      </c>
      <c r="U223" s="81">
        <f>$G$219-3</f>
        <v>9</v>
      </c>
      <c r="V223" s="129">
        <f>T223/$G$219</f>
        <v>0.41666666666666669</v>
      </c>
      <c r="W223" s="129">
        <f>T223/U223</f>
        <v>0.55555555555555558</v>
      </c>
      <c r="X223" s="127">
        <f>2*(V223*W223)/(V223+W223)</f>
        <v>0.47619047619047622</v>
      </c>
      <c r="Z223" s="81">
        <f>AA223-21</f>
        <v>47</v>
      </c>
      <c r="AA223" s="81">
        <f>$I$219-6</f>
        <v>68</v>
      </c>
      <c r="AB223" s="129">
        <f>Z223/$I$219</f>
        <v>0.63513513513513509</v>
      </c>
      <c r="AC223" s="129">
        <f>Z223/AA223</f>
        <v>0.69117647058823528</v>
      </c>
      <c r="AD223" s="127">
        <f>2*(AB223*AC223)/(AB223+AC223)</f>
        <v>0.66197183098591539</v>
      </c>
      <c r="AF223" s="81">
        <v>0</v>
      </c>
      <c r="AG223" s="81">
        <v>0</v>
      </c>
      <c r="AH223" s="127">
        <f>AF223/$H$219</f>
        <v>0</v>
      </c>
      <c r="AI223" s="127">
        <v>0</v>
      </c>
      <c r="AV223" s="101">
        <f>($F$219-M223)/$F$219</f>
        <v>1</v>
      </c>
      <c r="AX223" s="101">
        <f>($G$219-AM223)/$G$219</f>
        <v>1</v>
      </c>
      <c r="AY223" s="101" t="e">
        <f>AQ223/AP223</f>
        <v>#DIV/0!</v>
      </c>
      <c r="AZ223" s="101" t="e">
        <f>AS223/AR223</f>
        <v>#DIV/0!</v>
      </c>
      <c r="BA223" s="85" t="e">
        <f>(AV223+AX223+AY223+AZ223)/4</f>
        <v>#DIV/0!</v>
      </c>
      <c r="BB223" s="13">
        <f>AO223/$H$219</f>
        <v>0</v>
      </c>
      <c r="BC223" s="118" t="e">
        <f>AU223/AO223</f>
        <v>#DIV/0!</v>
      </c>
      <c r="BD223" s="13" t="e">
        <f>AN223/AO223</f>
        <v>#DIV/0!</v>
      </c>
      <c r="BE223" s="13">
        <f>AS223/$H$219</f>
        <v>0</v>
      </c>
      <c r="BF223" s="13">
        <f>AQ223/$H$219</f>
        <v>0</v>
      </c>
      <c r="BP223" t="str">
        <f t="shared" si="31"/>
        <v>8-6 &amp;  &amp; 0.615384615384615 &amp; 0.705882352941177 &amp; 0.657534246575342 &amp; 0.416666666666667 &amp; 0.555555555555556 &amp; 0.476190476190476 &amp; 0.635135135135135 &amp; 0.691176470588235 &amp; 0.661971830985915 &amp; 0 &amp; 0 &amp; 0 &amp; 0 \\ \hline</v>
      </c>
    </row>
    <row r="224" spans="1:68" ht="16">
      <c r="A224" t="s">
        <v>309</v>
      </c>
      <c r="C224" s="310"/>
      <c r="J224" t="s">
        <v>391</v>
      </c>
      <c r="K224" s="47" t="s">
        <v>382</v>
      </c>
      <c r="L224" s="77" t="s">
        <v>583</v>
      </c>
      <c r="N224" s="81">
        <f>O224-14</f>
        <v>27</v>
      </c>
      <c r="O224" s="81">
        <f>$F$219-37</f>
        <v>41</v>
      </c>
      <c r="P224" s="129">
        <f>N224/$F$219</f>
        <v>0.34615384615384615</v>
      </c>
      <c r="Q224" s="129">
        <f>N224/O224</f>
        <v>0.65853658536585369</v>
      </c>
      <c r="R224" s="127">
        <f>2*(P224*Q224)/(P224+Q224)</f>
        <v>0.45378151260504201</v>
      </c>
      <c r="T224" s="81">
        <f>U224-3</f>
        <v>5</v>
      </c>
      <c r="U224" s="81">
        <f>$G$219-4</f>
        <v>8</v>
      </c>
      <c r="V224" s="129">
        <f>T224/$G$219</f>
        <v>0.41666666666666669</v>
      </c>
      <c r="W224" s="129">
        <f>T224/U224</f>
        <v>0.625</v>
      </c>
      <c r="X224" s="127">
        <f>2*(V224*W224)/(V224+W224)</f>
        <v>0.5</v>
      </c>
      <c r="Z224" s="81">
        <f>AA224-20</f>
        <v>17</v>
      </c>
      <c r="AA224" s="81">
        <f>$I$219-37</f>
        <v>37</v>
      </c>
      <c r="AB224" s="129">
        <f>Z224/$I$219</f>
        <v>0.22972972972972974</v>
      </c>
      <c r="AC224" s="129">
        <f>Z224/AA224</f>
        <v>0.45945945945945948</v>
      </c>
      <c r="AD224" s="127">
        <f>2*(AB224*AC224)/(AB224+AC224)</f>
        <v>0.30630630630630629</v>
      </c>
      <c r="AF224" s="81">
        <v>2</v>
      </c>
      <c r="AG224" s="81">
        <v>2</v>
      </c>
      <c r="AH224" s="127">
        <f>AF224/$H$219</f>
        <v>6.0606060606060608E-2</v>
      </c>
      <c r="AI224" s="127">
        <f>AF224/AG224</f>
        <v>1</v>
      </c>
      <c r="AV224" s="101">
        <f>($F$219-M224)/$F$219</f>
        <v>1</v>
      </c>
      <c r="AX224" s="101">
        <f>($G$219-AM224)/$G$219</f>
        <v>1</v>
      </c>
      <c r="AY224" s="101" t="e">
        <f>AQ224/AP224</f>
        <v>#DIV/0!</v>
      </c>
      <c r="AZ224" s="101" t="e">
        <f>AS224/AR224</f>
        <v>#DIV/0!</v>
      </c>
      <c r="BA224" s="85" t="e">
        <f>(AV224+AX224+AY224+AZ224)/4</f>
        <v>#DIV/0!</v>
      </c>
      <c r="BB224" s="13">
        <f>AO224/$H$219</f>
        <v>0</v>
      </c>
      <c r="BC224" s="118" t="e">
        <f>AU224/AO224</f>
        <v>#DIV/0!</v>
      </c>
      <c r="BD224" s="13" t="e">
        <f>AN224/AO224</f>
        <v>#DIV/0!</v>
      </c>
      <c r="BE224" s="13">
        <f>AS224/$H$219</f>
        <v>0</v>
      </c>
      <c r="BF224" s="13">
        <f>AQ224/$H$219</f>
        <v>0</v>
      </c>
      <c r="BP224" t="str">
        <f t="shared" si="31"/>
        <v>8-6 &amp;  &amp; 0.346153846153846 &amp; 0.658536585365854 &amp; 0.453781512605042 &amp; 0.416666666666667 &amp; 0.625 &amp; 0.5 &amp; 0.22972972972973 &amp; 0.459459459459459 &amp; 0.306306306306306 &amp; 2 &amp; 2 &amp; 0.0606060606060606 &amp; 1 \\ \hline</v>
      </c>
    </row>
    <row r="225" spans="1:68">
      <c r="P225" s="129"/>
      <c r="Q225" s="129"/>
      <c r="R225" s="127"/>
      <c r="V225" s="129"/>
      <c r="W225" s="129"/>
      <c r="X225" s="127"/>
      <c r="AB225" s="129"/>
      <c r="AC225" s="129"/>
      <c r="AD225" s="127"/>
      <c r="AH225" s="127"/>
      <c r="AI225" s="131"/>
    </row>
    <row r="226" spans="1:68" s="75" customFormat="1">
      <c r="A226" s="75" t="s">
        <v>344</v>
      </c>
      <c r="B226" s="95">
        <v>45179</v>
      </c>
      <c r="C226" s="93" t="s">
        <v>170</v>
      </c>
      <c r="D226" s="78">
        <f>VLOOKUP($C$226,Overview!$Q$2:$AS$64,23,FALSE)</f>
        <v>5.4716830818645583</v>
      </c>
      <c r="E226" s="78" t="str">
        <f>VLOOKUP($C$226,Overview!$Q$2:$AS$64,24,FALSE)</f>
        <v>high</v>
      </c>
      <c r="F226" s="75">
        <f>VLOOKUP(C226,Overview!$Q$2:$AS$64,13,FALSE)</f>
        <v>116</v>
      </c>
      <c r="G226" s="75">
        <f>VLOOKUP(C226,Overview!$Q$2:$AS$64,16,FALSE)</f>
        <v>15</v>
      </c>
      <c r="H226" s="75">
        <f>VLOOKUP(C226,Overview!$Q$2:$AS$64,18,FALSE)</f>
        <v>49</v>
      </c>
      <c r="I226" s="75">
        <f>VLOOKUP($C$226,Overview!$Q$2:$AS$64,19,FALSE)</f>
        <v>111</v>
      </c>
      <c r="K226" s="96"/>
      <c r="M226" s="115"/>
      <c r="N226" s="97"/>
      <c r="O226" s="97"/>
      <c r="P226" s="130"/>
      <c r="Q226" s="130"/>
      <c r="R226" s="128"/>
      <c r="S226" s="115"/>
      <c r="T226" s="97"/>
      <c r="U226" s="97"/>
      <c r="V226" s="130"/>
      <c r="W226" s="130"/>
      <c r="X226" s="128"/>
      <c r="Y226" s="115"/>
      <c r="Z226" s="97"/>
      <c r="AA226" s="97"/>
      <c r="AB226" s="130"/>
      <c r="AC226" s="130"/>
      <c r="AD226" s="128"/>
      <c r="AE226" s="115"/>
      <c r="AF226" s="97"/>
      <c r="AG226" s="97"/>
      <c r="AH226" s="128"/>
      <c r="AI226" s="132"/>
      <c r="AJ226" s="97"/>
      <c r="AK226" s="115"/>
      <c r="AL226" s="122"/>
      <c r="AM226" s="101"/>
      <c r="AP226" s="101"/>
      <c r="AQ226" s="101"/>
      <c r="AU226" s="119"/>
      <c r="AV226" s="101"/>
      <c r="AW226" s="101"/>
      <c r="AX226" s="101"/>
      <c r="AY226" s="101"/>
      <c r="AZ226" s="101"/>
      <c r="BA226" s="83"/>
      <c r="BC226" s="101"/>
      <c r="BP226"/>
    </row>
    <row r="227" spans="1:68" ht="16">
      <c r="A227" t="s">
        <v>305</v>
      </c>
      <c r="C227" s="310"/>
      <c r="J227" t="s">
        <v>393</v>
      </c>
      <c r="K227" s="47" t="s">
        <v>378</v>
      </c>
      <c r="L227" s="77" t="s">
        <v>584</v>
      </c>
      <c r="N227" s="81">
        <f>O227-2</f>
        <v>18</v>
      </c>
      <c r="O227" s="81">
        <v>20</v>
      </c>
      <c r="P227" s="129">
        <f>N227/$F$226</f>
        <v>0.15517241379310345</v>
      </c>
      <c r="Q227" s="129">
        <f>N227/O227</f>
        <v>0.9</v>
      </c>
      <c r="R227" s="127">
        <f>2*(P227*Q227)/(P227+Q227)</f>
        <v>0.26470588235294112</v>
      </c>
      <c r="T227" s="81">
        <v>3</v>
      </c>
      <c r="U227" s="81">
        <v>6</v>
      </c>
      <c r="V227" s="129">
        <f>T227/$G$226</f>
        <v>0.2</v>
      </c>
      <c r="W227" s="129">
        <f>T227/U227</f>
        <v>0.5</v>
      </c>
      <c r="X227" s="127">
        <f>2*(V227*W227)/(V227+W227)</f>
        <v>0.28571428571428575</v>
      </c>
      <c r="Z227" s="81">
        <f>AA227-7</f>
        <v>13</v>
      </c>
      <c r="AA227" s="81">
        <v>20</v>
      </c>
      <c r="AB227" s="129">
        <f>Z227/$I$226</f>
        <v>0.11711711711711711</v>
      </c>
      <c r="AC227" s="129">
        <f>Z227/AA227</f>
        <v>0.65</v>
      </c>
      <c r="AD227" s="127">
        <f>2*(AB227*AC227)/(AB227+AC227)</f>
        <v>0.19847328244274809</v>
      </c>
      <c r="AF227" s="81">
        <v>1</v>
      </c>
      <c r="AG227" s="81">
        <v>1</v>
      </c>
      <c r="AH227" s="127">
        <f>AF227/$H$226</f>
        <v>2.0408163265306121E-2</v>
      </c>
      <c r="AI227" s="127">
        <f>AF227/AG227</f>
        <v>1</v>
      </c>
      <c r="AV227" s="101">
        <f>($F$226-M227)/$F$226</f>
        <v>1</v>
      </c>
      <c r="AX227" s="101">
        <f>($G$226-AM227)/$G$226</f>
        <v>1</v>
      </c>
      <c r="AY227" s="101" t="e">
        <f>AQ227/AP227</f>
        <v>#DIV/0!</v>
      </c>
      <c r="AZ227" s="101" t="e">
        <f>AS227/AR227</f>
        <v>#DIV/0!</v>
      </c>
      <c r="BA227" s="85" t="e">
        <f>(AV227+AX227+AY227+AZ227)/4</f>
        <v>#DIV/0!</v>
      </c>
      <c r="BB227" s="13">
        <f>AO227/$H$226</f>
        <v>0</v>
      </c>
      <c r="BC227" s="118" t="e">
        <f>AU227/AO227</f>
        <v>#DIV/0!</v>
      </c>
      <c r="BD227" s="13" t="e">
        <f>AN227/AO227</f>
        <v>#DIV/0!</v>
      </c>
      <c r="BE227" s="13">
        <f>AS227/$H$226</f>
        <v>0</v>
      </c>
      <c r="BF227" s="13">
        <f>AQ227/$H$226</f>
        <v>0</v>
      </c>
      <c r="BP227" t="str">
        <f>_xlfn.CONCAT($C$226," &amp; ",C227," &amp; ",P227," &amp; ",Q227," &amp; ",R227," &amp; ",V227," &amp; ",W227," &amp; ",X227," &amp; ",AB227," &amp; ",AC227," &amp; ",AD227," &amp; ",AF227," &amp; ",AG227," &amp; ",AH227," &amp; ",AI227, " \\ \hline")</f>
        <v>10-2 &amp;  &amp; 0.155172413793103 &amp; 0.9 &amp; 0.264705882352941 &amp; 0.2 &amp; 0.5 &amp; 0.285714285714286 &amp; 0.117117117117117 &amp; 0.65 &amp; 0.198473282442748 &amp; 1 &amp; 1 &amp; 0.0204081632653061 &amp; 1 \\ \hline</v>
      </c>
    </row>
    <row r="228" spans="1:68" ht="16">
      <c r="A228" t="s">
        <v>306</v>
      </c>
      <c r="C228" s="310"/>
      <c r="J228" t="s">
        <v>394</v>
      </c>
      <c r="K228" s="47" t="s">
        <v>379</v>
      </c>
      <c r="L228" s="77" t="s">
        <v>585</v>
      </c>
      <c r="N228" s="81">
        <v>35</v>
      </c>
      <c r="O228" s="81">
        <v>48</v>
      </c>
      <c r="P228" s="129">
        <f>N228/$F$226</f>
        <v>0.30172413793103448</v>
      </c>
      <c r="Q228" s="129">
        <f>N228/O228</f>
        <v>0.72916666666666663</v>
      </c>
      <c r="R228" s="127">
        <f>2*(P228*Q228)/(P228+Q228)</f>
        <v>0.42682926829268286</v>
      </c>
      <c r="T228" s="81">
        <v>5</v>
      </c>
      <c r="U228" s="81">
        <v>11</v>
      </c>
      <c r="V228" s="129">
        <f>T228/$G$226</f>
        <v>0.33333333333333331</v>
      </c>
      <c r="W228" s="129">
        <f>T228/U228</f>
        <v>0.45454545454545453</v>
      </c>
      <c r="X228" s="127">
        <f>2*(V228*W228)/(V228+W228)</f>
        <v>0.38461538461538458</v>
      </c>
      <c r="Z228" s="81">
        <v>15</v>
      </c>
      <c r="AA228" s="81">
        <v>43</v>
      </c>
      <c r="AB228" s="129">
        <f>Z228/$I$226</f>
        <v>0.13513513513513514</v>
      </c>
      <c r="AC228" s="129">
        <f>Z228/AA228</f>
        <v>0.34883720930232559</v>
      </c>
      <c r="AD228" s="127">
        <f>2*(AB228*AC228)/(AB228+AC228)</f>
        <v>0.19480519480519481</v>
      </c>
      <c r="AF228" s="81">
        <v>1</v>
      </c>
      <c r="AG228" s="81">
        <v>2</v>
      </c>
      <c r="AH228" s="127">
        <f>AF228/$H$226</f>
        <v>2.0408163265306121E-2</v>
      </c>
      <c r="AI228" s="127">
        <f>AF228/AG228</f>
        <v>0.5</v>
      </c>
      <c r="AV228" s="101">
        <f>($F$226-M228)/$F$226</f>
        <v>1</v>
      </c>
      <c r="AX228" s="101">
        <f>($G$226-AM228)/$G$226</f>
        <v>1</v>
      </c>
      <c r="AY228" s="101" t="e">
        <f>AQ228/AP228</f>
        <v>#DIV/0!</v>
      </c>
      <c r="AZ228" s="101" t="e">
        <f>AS228/AR228</f>
        <v>#DIV/0!</v>
      </c>
      <c r="BA228" s="85" t="e">
        <f>(AV228+AX228+AY228+AZ228)/4</f>
        <v>#DIV/0!</v>
      </c>
      <c r="BB228" s="13">
        <f>AO228/$H$226</f>
        <v>0</v>
      </c>
      <c r="BC228" s="118" t="e">
        <f>AU228/AO228</f>
        <v>#DIV/0!</v>
      </c>
      <c r="BD228" s="13" t="e">
        <f>AN228/AO228</f>
        <v>#DIV/0!</v>
      </c>
      <c r="BE228" s="13">
        <f>AS228/$H$226</f>
        <v>0</v>
      </c>
      <c r="BF228" s="13">
        <f>AQ228/$H$226</f>
        <v>0</v>
      </c>
      <c r="BP228" t="str">
        <f t="shared" ref="BP228:BP231" si="32">_xlfn.CONCAT($C$226," &amp; ",C228," &amp; ",P228," &amp; ",Q228," &amp; ",R228," &amp; ",V228," &amp; ",W228," &amp; ",X228," &amp; ",AB228," &amp; ",AC228," &amp; ",AD228," &amp; ",AF228," &amp; ",AG228," &amp; ",AH228," &amp; ",AI228, " \\ \hline")</f>
        <v>10-2 &amp;  &amp; 0.301724137931034 &amp; 0.729166666666667 &amp; 0.426829268292683 &amp; 0.333333333333333 &amp; 0.454545454545455 &amp; 0.384615384615385 &amp; 0.135135135135135 &amp; 0.348837209302326 &amp; 0.194805194805195 &amp; 1 &amp; 2 &amp; 0.0204081632653061 &amp; 0.5 \\ \hline</v>
      </c>
    </row>
    <row r="229" spans="1:68" ht="16">
      <c r="A229" t="s">
        <v>307</v>
      </c>
      <c r="C229" s="310"/>
      <c r="J229" t="s">
        <v>395</v>
      </c>
      <c r="K229" s="47" t="s">
        <v>380</v>
      </c>
      <c r="L229" s="77" t="s">
        <v>586</v>
      </c>
      <c r="N229" s="81">
        <f>O229-13</f>
        <v>41</v>
      </c>
      <c r="O229" s="81">
        <v>54</v>
      </c>
      <c r="P229" s="129">
        <f>N229/$F$226</f>
        <v>0.35344827586206895</v>
      </c>
      <c r="Q229" s="129">
        <f>N229/O229</f>
        <v>0.7592592592592593</v>
      </c>
      <c r="R229" s="127">
        <f>2*(P229*Q229)/(P229+Q229)</f>
        <v>0.4823529411764706</v>
      </c>
      <c r="T229" s="81">
        <f>U229-6</f>
        <v>4</v>
      </c>
      <c r="U229" s="81">
        <v>10</v>
      </c>
      <c r="V229" s="129">
        <f>T229/$G$226</f>
        <v>0.26666666666666666</v>
      </c>
      <c r="W229" s="129">
        <f>T229/U229</f>
        <v>0.4</v>
      </c>
      <c r="X229" s="127">
        <f>2*(V229*W229)/(V229+W229)</f>
        <v>0.32</v>
      </c>
      <c r="Z229" s="81">
        <f>AA229-24</f>
        <v>30</v>
      </c>
      <c r="AA229" s="81">
        <v>54</v>
      </c>
      <c r="AB229" s="129">
        <f>Z229/$I$226</f>
        <v>0.27027027027027029</v>
      </c>
      <c r="AC229" s="129">
        <f>Z229/AA229</f>
        <v>0.55555555555555558</v>
      </c>
      <c r="AD229" s="127">
        <f>2*(AB229*AC229)/(AB229+AC229)</f>
        <v>0.36363636363636365</v>
      </c>
      <c r="AF229" s="81">
        <v>0</v>
      </c>
      <c r="AG229" s="81">
        <v>0</v>
      </c>
      <c r="AH229" s="127">
        <f>AF229/$H$226</f>
        <v>0</v>
      </c>
      <c r="AI229" s="127">
        <v>0</v>
      </c>
      <c r="AV229" s="101">
        <f>($F$226-M229)/$F$226</f>
        <v>1</v>
      </c>
      <c r="AX229" s="101">
        <f>($G$226-AM229)/$G$226</f>
        <v>1</v>
      </c>
      <c r="AY229" s="101" t="e">
        <f>AQ229/AP229</f>
        <v>#DIV/0!</v>
      </c>
      <c r="AZ229" s="101" t="e">
        <f>AS229/AR229</f>
        <v>#DIV/0!</v>
      </c>
      <c r="BA229" s="85" t="e">
        <f>(AV229+AX229+AY229+AZ229)/4</f>
        <v>#DIV/0!</v>
      </c>
      <c r="BB229" s="13">
        <f>AO229/$H$226</f>
        <v>0</v>
      </c>
      <c r="BC229" s="118" t="e">
        <f>AU229/AO229</f>
        <v>#DIV/0!</v>
      </c>
      <c r="BD229" s="13" t="e">
        <f>AN229/AO229</f>
        <v>#DIV/0!</v>
      </c>
      <c r="BE229" s="13">
        <f>AS229/$H$226</f>
        <v>0</v>
      </c>
      <c r="BF229" s="13">
        <f>AQ229/$H$226</f>
        <v>0</v>
      </c>
      <c r="BP229" t="str">
        <f t="shared" si="32"/>
        <v>10-2 &amp;  &amp; 0.353448275862069 &amp; 0.759259259259259 &amp; 0.482352941176471 &amp; 0.266666666666667 &amp; 0.4 &amp; 0.32 &amp; 0.27027027027027 &amp; 0.555555555555556 &amp; 0.363636363636364 &amp; 0 &amp; 0 &amp; 0 &amp; 0 \\ \hline</v>
      </c>
    </row>
    <row r="230" spans="1:68" ht="16">
      <c r="A230" t="s">
        <v>308</v>
      </c>
      <c r="C230" s="310"/>
      <c r="J230" t="s">
        <v>396</v>
      </c>
      <c r="K230" s="47" t="s">
        <v>381</v>
      </c>
      <c r="L230" s="77" t="s">
        <v>587</v>
      </c>
      <c r="N230" s="81">
        <f>O230-5</f>
        <v>17</v>
      </c>
      <c r="O230" s="81">
        <v>22</v>
      </c>
      <c r="P230" s="129">
        <f>N230/$F$226</f>
        <v>0.14655172413793102</v>
      </c>
      <c r="Q230" s="129">
        <f>N230/O230</f>
        <v>0.77272727272727271</v>
      </c>
      <c r="R230" s="127">
        <f>2*(P230*Q230)/(P230+Q230)</f>
        <v>0.24637681159420288</v>
      </c>
      <c r="T230" s="81">
        <v>4</v>
      </c>
      <c r="U230" s="81">
        <v>9</v>
      </c>
      <c r="V230" s="129">
        <f>T230/$G$226</f>
        <v>0.26666666666666666</v>
      </c>
      <c r="W230" s="129">
        <f>T230/U230</f>
        <v>0.44444444444444442</v>
      </c>
      <c r="X230" s="127">
        <f>2*(V230*W230)/(V230+W230)</f>
        <v>0.33333333333333337</v>
      </c>
      <c r="Z230" s="81">
        <f>AA230-9</f>
        <v>13</v>
      </c>
      <c r="AA230" s="81">
        <v>22</v>
      </c>
      <c r="AB230" s="129">
        <f>Z230/$I$226</f>
        <v>0.11711711711711711</v>
      </c>
      <c r="AC230" s="129">
        <f>Z230/AA230</f>
        <v>0.59090909090909094</v>
      </c>
      <c r="AD230" s="127">
        <f>2*(AB230*AC230)/(AB230+AC230)</f>
        <v>0.19548872180451127</v>
      </c>
      <c r="AF230" s="81">
        <v>2</v>
      </c>
      <c r="AG230" s="81">
        <v>2</v>
      </c>
      <c r="AH230" s="127">
        <f>AF230/$H$226</f>
        <v>4.0816326530612242E-2</v>
      </c>
      <c r="AI230" s="127">
        <f>AF230/AG230</f>
        <v>1</v>
      </c>
      <c r="AV230" s="101">
        <f>($F$226-M230)/$F$226</f>
        <v>1</v>
      </c>
      <c r="AX230" s="101">
        <f>($G$226-AM230)/$G$226</f>
        <v>1</v>
      </c>
      <c r="AY230" s="101" t="e">
        <f>AQ230/AP230</f>
        <v>#DIV/0!</v>
      </c>
      <c r="AZ230" s="101" t="e">
        <f>AS230/AR230</f>
        <v>#DIV/0!</v>
      </c>
      <c r="BA230" s="85" t="e">
        <f>(AV230+AX230+AY230+AZ230)/4</f>
        <v>#DIV/0!</v>
      </c>
      <c r="BB230" s="13">
        <f>AO230/$H$226</f>
        <v>0</v>
      </c>
      <c r="BC230" s="118" t="e">
        <f>AU230/AO230</f>
        <v>#DIV/0!</v>
      </c>
      <c r="BD230" s="13" t="e">
        <f>AN230/AO230</f>
        <v>#DIV/0!</v>
      </c>
      <c r="BE230" s="13">
        <f>AS230/$H$226</f>
        <v>0</v>
      </c>
      <c r="BF230" s="13">
        <f>AQ230/$H$226</f>
        <v>0</v>
      </c>
      <c r="BP230" t="str">
        <f t="shared" si="32"/>
        <v>10-2 &amp;  &amp; 0.146551724137931 &amp; 0.772727272727273 &amp; 0.246376811594203 &amp; 0.266666666666667 &amp; 0.444444444444444 &amp; 0.333333333333333 &amp; 0.117117117117117 &amp; 0.590909090909091 &amp; 0.195488721804511 &amp; 2 &amp; 2 &amp; 0.0408163265306122 &amp; 1 \\ \hline</v>
      </c>
    </row>
    <row r="231" spans="1:68" ht="16">
      <c r="A231" t="s">
        <v>309</v>
      </c>
      <c r="C231" s="310"/>
      <c r="J231" t="s">
        <v>397</v>
      </c>
      <c r="K231" s="47" t="s">
        <v>382</v>
      </c>
      <c r="L231" s="77" t="s">
        <v>588</v>
      </c>
      <c r="N231" s="81">
        <f>O231-6</f>
        <v>22</v>
      </c>
      <c r="O231" s="81">
        <v>28</v>
      </c>
      <c r="P231" s="129">
        <f>N231/$F$226</f>
        <v>0.18965517241379309</v>
      </c>
      <c r="Q231" s="129">
        <f>N231/O231</f>
        <v>0.7857142857142857</v>
      </c>
      <c r="R231" s="127">
        <f>2*(P231*Q231)/(P231+Q231)</f>
        <v>0.30555555555555552</v>
      </c>
      <c r="T231" s="81">
        <v>4</v>
      </c>
      <c r="U231" s="81">
        <v>8</v>
      </c>
      <c r="V231" s="129">
        <f>T231/$G$226</f>
        <v>0.26666666666666666</v>
      </c>
      <c r="W231" s="129">
        <f>T231/U231</f>
        <v>0.5</v>
      </c>
      <c r="X231" s="127">
        <f>2*(V231*W231)/(V231+W231)</f>
        <v>0.34782608695652178</v>
      </c>
      <c r="Z231" s="81">
        <f>AA231-10</f>
        <v>18</v>
      </c>
      <c r="AA231" s="81">
        <v>28</v>
      </c>
      <c r="AB231" s="129">
        <f>Z231/$I$226</f>
        <v>0.16216216216216217</v>
      </c>
      <c r="AC231" s="129">
        <f>Z231/AA231</f>
        <v>0.6428571428571429</v>
      </c>
      <c r="AD231" s="127">
        <f>2*(AB231*AC231)/(AB231+AC231)</f>
        <v>0.25899280575539568</v>
      </c>
      <c r="AF231" s="81">
        <v>1</v>
      </c>
      <c r="AG231" s="81">
        <v>1</v>
      </c>
      <c r="AH231" s="127">
        <f>AF231/$H$226</f>
        <v>2.0408163265306121E-2</v>
      </c>
      <c r="AI231" s="127">
        <f>AF231/AG231</f>
        <v>1</v>
      </c>
      <c r="AV231" s="101">
        <f>($F$226-M231)/$F$226</f>
        <v>1</v>
      </c>
      <c r="AX231" s="101">
        <f>($G$226-AM231)/$G$226</f>
        <v>1</v>
      </c>
      <c r="AY231" s="101" t="e">
        <f>AQ231/AP231</f>
        <v>#DIV/0!</v>
      </c>
      <c r="AZ231" s="101" t="e">
        <f>AS231/AR231</f>
        <v>#DIV/0!</v>
      </c>
      <c r="BA231" s="85" t="e">
        <f>(AV231+AX231+AY231+AZ231)/4</f>
        <v>#DIV/0!</v>
      </c>
      <c r="BB231" s="13">
        <f>AO231/$H$226</f>
        <v>0</v>
      </c>
      <c r="BC231" s="118" t="e">
        <f>AU231/AO231</f>
        <v>#DIV/0!</v>
      </c>
      <c r="BD231" s="13" t="e">
        <f>AN231/AO231</f>
        <v>#DIV/0!</v>
      </c>
      <c r="BE231" s="13">
        <f>AS231/$H$226</f>
        <v>0</v>
      </c>
      <c r="BF231" s="13">
        <f>AQ231/$H$226</f>
        <v>0</v>
      </c>
      <c r="BP231" t="str">
        <f t="shared" si="32"/>
        <v>10-2 &amp;  &amp; 0.189655172413793 &amp; 0.785714285714286 &amp; 0.305555555555556 &amp; 0.266666666666667 &amp; 0.5 &amp; 0.347826086956522 &amp; 0.162162162162162 &amp; 0.642857142857143 &amp; 0.258992805755396 &amp; 1 &amp; 1 &amp; 0.0204081632653061 &amp; 1 \\ \hline</v>
      </c>
    </row>
    <row r="234" spans="1:68" s="75" customFormat="1">
      <c r="A234" s="75" t="s">
        <v>346</v>
      </c>
      <c r="C234" s="103" t="s">
        <v>286</v>
      </c>
      <c r="D234" s="78">
        <f>VLOOKUP($C$234,Overview!$Q$2:$AS$64,23,FALSE)</f>
        <v>6.0997715230117224</v>
      </c>
      <c r="E234" s="78" t="str">
        <f>VLOOKUP($C$234,Overview!$Q$2:$AS$64,24,FALSE)</f>
        <v>high</v>
      </c>
      <c r="F234" s="75">
        <f>VLOOKUP(C234,Overview!$Q$2:$AS$64,13,FALSE)</f>
        <v>109</v>
      </c>
      <c r="G234" s="75">
        <f>VLOOKUP(C234,Overview!$Q$2:$AS$64,16,FALSE)</f>
        <v>11</v>
      </c>
      <c r="H234" s="75">
        <f>VLOOKUP(C234,Overview!$Q$2:$AS$64,18,FALSE)</f>
        <v>49</v>
      </c>
      <c r="I234" s="75">
        <f>VLOOKUP($C$234,Overview!$Q$2:$AS$64,19,FALSE)</f>
        <v>103</v>
      </c>
      <c r="K234" s="96"/>
      <c r="L234" s="101"/>
      <c r="M234" s="115"/>
      <c r="N234" s="97"/>
      <c r="O234" s="97"/>
      <c r="P234" s="124"/>
      <c r="Q234" s="124"/>
      <c r="R234" s="80"/>
      <c r="S234" s="115"/>
      <c r="T234" s="97"/>
      <c r="U234" s="97"/>
      <c r="V234" s="124"/>
      <c r="W234" s="124"/>
      <c r="X234" s="80"/>
      <c r="Y234" s="115"/>
      <c r="Z234" s="97"/>
      <c r="AA234" s="97"/>
      <c r="AB234" s="124"/>
      <c r="AC234" s="124"/>
      <c r="AD234" s="80"/>
      <c r="AE234" s="115"/>
      <c r="AF234" s="97"/>
      <c r="AG234" s="97"/>
      <c r="AH234" s="80"/>
      <c r="AI234" s="97"/>
      <c r="AJ234" s="97"/>
      <c r="AK234" s="115"/>
      <c r="AL234" s="122"/>
      <c r="AM234" s="101"/>
      <c r="AP234" s="101"/>
      <c r="AQ234" s="101"/>
      <c r="AU234" s="119"/>
      <c r="AV234" s="101"/>
      <c r="AW234" s="101"/>
      <c r="AX234" s="101"/>
      <c r="AY234" s="101"/>
      <c r="AZ234" s="101"/>
      <c r="BA234" s="83"/>
      <c r="BC234" s="101"/>
    </row>
    <row r="235" spans="1:68">
      <c r="A235" t="s">
        <v>305</v>
      </c>
      <c r="C235" s="98"/>
      <c r="L235" s="101"/>
    </row>
    <row r="236" spans="1:68">
      <c r="A236" t="s">
        <v>306</v>
      </c>
      <c r="C236" s="98"/>
      <c r="L236" s="101"/>
    </row>
    <row r="237" spans="1:68">
      <c r="A237" t="s">
        <v>307</v>
      </c>
      <c r="C237" s="98"/>
      <c r="L237" s="101"/>
    </row>
    <row r="238" spans="1:68">
      <c r="A238" t="s">
        <v>308</v>
      </c>
      <c r="C238" s="98"/>
      <c r="L238" s="101"/>
    </row>
    <row r="239" spans="1:68">
      <c r="A239" t="s">
        <v>309</v>
      </c>
      <c r="C239" s="98"/>
      <c r="L239" s="101"/>
    </row>
    <row r="241" spans="1:55" s="75" customFormat="1">
      <c r="A241" s="75" t="s">
        <v>347</v>
      </c>
      <c r="C241" s="103" t="s">
        <v>283</v>
      </c>
      <c r="D241" s="78">
        <f>VLOOKUP($C$241,Overview!$Q$2:$AS$64,23,FALSE)</f>
        <v>6.2745035499085571</v>
      </c>
      <c r="E241" s="78" t="str">
        <f>VLOOKUP($C$241,Overview!$Q$2:$AS$64,24,FALSE)</f>
        <v>high</v>
      </c>
      <c r="F241" s="75">
        <f>VLOOKUP(C241,Overview!$Q$2:$AS$64,13,FALSE)</f>
        <v>110</v>
      </c>
      <c r="G241" s="75">
        <f>VLOOKUP(C241,Overview!$Q$2:$AS$64,16,FALSE)</f>
        <v>13</v>
      </c>
      <c r="H241" s="75">
        <f>VLOOKUP(C241,Overview!$Q$2:$AS$64,18,FALSE)</f>
        <v>48</v>
      </c>
      <c r="I241" s="75">
        <f>VLOOKUP($C$241,Overview!$Q$2:$AS$64,19,FALSE)</f>
        <v>104</v>
      </c>
      <c r="K241" s="96"/>
      <c r="L241" s="101"/>
      <c r="M241" s="115"/>
      <c r="N241" s="97"/>
      <c r="O241" s="97"/>
      <c r="P241" s="124"/>
      <c r="Q241" s="124"/>
      <c r="R241" s="80"/>
      <c r="S241" s="115"/>
      <c r="T241" s="97"/>
      <c r="U241" s="97"/>
      <c r="V241" s="124"/>
      <c r="W241" s="124"/>
      <c r="X241" s="80"/>
      <c r="Y241" s="115"/>
      <c r="Z241" s="97"/>
      <c r="AA241" s="97"/>
      <c r="AB241" s="124"/>
      <c r="AC241" s="124"/>
      <c r="AD241" s="80"/>
      <c r="AE241" s="115"/>
      <c r="AF241" s="97"/>
      <c r="AG241" s="97"/>
      <c r="AH241" s="80"/>
      <c r="AI241" s="97"/>
      <c r="AJ241" s="97"/>
      <c r="AK241" s="115"/>
      <c r="AL241" s="122"/>
      <c r="AM241" s="101"/>
      <c r="AP241" s="101"/>
      <c r="AQ241" s="101"/>
      <c r="AU241" s="119"/>
      <c r="AV241" s="101"/>
      <c r="AW241" s="101"/>
      <c r="AX241" s="101"/>
      <c r="AY241" s="101"/>
      <c r="AZ241" s="101"/>
      <c r="BA241" s="83"/>
      <c r="BC241" s="101"/>
    </row>
    <row r="242" spans="1:55">
      <c r="A242" t="s">
        <v>305</v>
      </c>
      <c r="C242" s="98"/>
      <c r="L242" s="101"/>
    </row>
    <row r="243" spans="1:55">
      <c r="A243" t="s">
        <v>306</v>
      </c>
      <c r="C243" s="98"/>
      <c r="L243" s="101"/>
    </row>
    <row r="244" spans="1:55">
      <c r="A244" t="s">
        <v>307</v>
      </c>
      <c r="C244" s="98"/>
      <c r="L244" s="101"/>
    </row>
    <row r="245" spans="1:55">
      <c r="A245" t="s">
        <v>308</v>
      </c>
      <c r="C245" s="98"/>
      <c r="L245" s="101"/>
    </row>
    <row r="246" spans="1:55">
      <c r="A246" t="s">
        <v>309</v>
      </c>
      <c r="C246" s="98"/>
      <c r="L246" s="101"/>
    </row>
    <row r="247" spans="1:55">
      <c r="C247" s="98"/>
      <c r="L247" s="101"/>
    </row>
    <row r="248" spans="1:55" s="75" customFormat="1">
      <c r="A248" s="73" t="s">
        <v>345</v>
      </c>
      <c r="B248" s="95">
        <v>45179</v>
      </c>
      <c r="C248" s="103" t="s">
        <v>141</v>
      </c>
      <c r="D248" s="78">
        <f>VLOOKUP($C$248,Overview!$Q$2:$AS$64,23,FALSE)</f>
        <v>7.1416786799633689</v>
      </c>
      <c r="E248" s="78" t="str">
        <f>VLOOKUP($C$248,Overview!$Q$2:$AS$64,24,FALSE)</f>
        <v>high</v>
      </c>
      <c r="F248" s="75">
        <f>VLOOKUP(C248,Overview!$Q$2:$AS$64,13,FALSE)</f>
        <v>130</v>
      </c>
      <c r="G248" s="75">
        <f>VLOOKUP(C248,Overview!$Q$2:$AS$64,16,FALSE)</f>
        <v>16</v>
      </c>
      <c r="H248" s="75">
        <f>VLOOKUP(C248,Overview!$Q$2:$AS$64,18,FALSE)</f>
        <v>50</v>
      </c>
      <c r="I248" s="75">
        <f>VLOOKUP($C$248,Overview!$Q$2:$AS$64,19,FALSE)</f>
        <v>126</v>
      </c>
      <c r="K248" s="96"/>
      <c r="L248" s="101"/>
      <c r="M248" s="115"/>
      <c r="N248" s="97"/>
      <c r="O248" s="97"/>
      <c r="P248" s="124"/>
      <c r="Q248" s="124"/>
      <c r="R248" s="80"/>
      <c r="S248" s="115"/>
      <c r="T248" s="97"/>
      <c r="U248" s="97"/>
      <c r="V248" s="124"/>
      <c r="W248" s="124"/>
      <c r="X248" s="80"/>
      <c r="Y248" s="115"/>
      <c r="Z248" s="97"/>
      <c r="AA248" s="97"/>
      <c r="AB248" s="124"/>
      <c r="AC248" s="124"/>
      <c r="AD248" s="80"/>
      <c r="AE248" s="115"/>
      <c r="AF248" s="97"/>
      <c r="AG248" s="97"/>
      <c r="AH248" s="80"/>
      <c r="AI248" s="97"/>
      <c r="AJ248" s="97"/>
      <c r="AK248" s="115"/>
      <c r="AL248" s="122"/>
      <c r="AM248" s="101"/>
      <c r="AP248" s="101"/>
      <c r="AQ248" s="101"/>
      <c r="AU248" s="119"/>
      <c r="AV248" s="101"/>
      <c r="AW248" s="101"/>
      <c r="AX248" s="101"/>
      <c r="AY248" s="101"/>
      <c r="AZ248" s="101"/>
      <c r="BA248" s="83"/>
      <c r="BC248" s="101"/>
    </row>
    <row r="249" spans="1:55">
      <c r="A249" t="s">
        <v>305</v>
      </c>
      <c r="C249" s="98"/>
      <c r="L249" s="105" t="s">
        <v>392</v>
      </c>
    </row>
    <row r="250" spans="1:55">
      <c r="A250" t="s">
        <v>306</v>
      </c>
      <c r="C250" s="98"/>
      <c r="L250" s="104"/>
    </row>
    <row r="251" spans="1:55">
      <c r="A251" t="s">
        <v>307</v>
      </c>
      <c r="C251" s="98"/>
      <c r="L251" s="101"/>
    </row>
    <row r="252" spans="1:55">
      <c r="A252" t="s">
        <v>308</v>
      </c>
      <c r="C252" s="98"/>
      <c r="L252" s="101"/>
    </row>
    <row r="253" spans="1:55">
      <c r="A253" t="s">
        <v>309</v>
      </c>
      <c r="C253" s="98"/>
      <c r="L253" s="101"/>
    </row>
    <row r="255" spans="1:55" s="75" customFormat="1">
      <c r="A255" s="75" t="s">
        <v>400</v>
      </c>
      <c r="C255" s="103" t="s">
        <v>140</v>
      </c>
      <c r="D255" s="78">
        <f>VLOOKUP($C$255,Overview!$Q$2:$AS$64,23,FALSE)</f>
        <v>12.011083863483384</v>
      </c>
      <c r="E255" s="78" t="str">
        <f>VLOOKUP($C$255,Overview!$Q$2:$AS$64,24,FALSE)</f>
        <v>high</v>
      </c>
      <c r="F255" s="75">
        <f>VLOOKUP(C255,Overview!$Q$2:$AS$64,13,FALSE)</f>
        <v>169</v>
      </c>
      <c r="G255" s="75">
        <f>VLOOKUP(C255,Overview!$Q$2:$AS$64,16,FALSE)</f>
        <v>18</v>
      </c>
      <c r="H255" s="75">
        <f>VLOOKUP(C255,Overview!$Q$2:$AS$64,18,FALSE)</f>
        <v>59</v>
      </c>
      <c r="I255" s="75">
        <f>VLOOKUP($C$255,Overview!$Q$2:$AS$64,19,FALSE)</f>
        <v>165</v>
      </c>
      <c r="K255" s="96"/>
      <c r="L255" s="101"/>
      <c r="M255" s="115"/>
      <c r="N255" s="97"/>
      <c r="O255" s="97"/>
      <c r="P255" s="124"/>
      <c r="Q255" s="124"/>
      <c r="R255" s="80"/>
      <c r="S255" s="115"/>
      <c r="T255" s="97"/>
      <c r="U255" s="97"/>
      <c r="V255" s="124"/>
      <c r="W255" s="124"/>
      <c r="X255" s="80"/>
      <c r="Y255" s="115"/>
      <c r="Z255" s="97"/>
      <c r="AA255" s="97"/>
      <c r="AB255" s="124"/>
      <c r="AC255" s="124"/>
      <c r="AD255" s="80"/>
      <c r="AE255" s="115"/>
      <c r="AF255" s="97"/>
      <c r="AG255" s="97"/>
      <c r="AH255" s="80"/>
      <c r="AI255" s="97"/>
      <c r="AJ255" s="97"/>
      <c r="AK255" s="115"/>
      <c r="AL255" s="122"/>
      <c r="AM255" s="101"/>
      <c r="AP255" s="101"/>
      <c r="AQ255" s="101"/>
      <c r="AU255" s="119"/>
      <c r="AV255" s="101"/>
      <c r="AW255" s="101"/>
      <c r="AX255" s="101"/>
      <c r="AY255" s="101"/>
      <c r="AZ255" s="101"/>
      <c r="BA255" s="83"/>
      <c r="BC255" s="101"/>
    </row>
    <row r="256" spans="1:55">
      <c r="A256" t="s">
        <v>305</v>
      </c>
      <c r="C256" s="98"/>
      <c r="L256" s="101"/>
    </row>
    <row r="257" spans="1:55">
      <c r="A257" t="s">
        <v>306</v>
      </c>
      <c r="C257" s="98"/>
      <c r="L257" s="101"/>
    </row>
    <row r="258" spans="1:55">
      <c r="A258" t="s">
        <v>307</v>
      </c>
      <c r="C258" s="98"/>
      <c r="L258" s="101"/>
    </row>
    <row r="259" spans="1:55">
      <c r="A259" t="s">
        <v>308</v>
      </c>
      <c r="C259" s="98"/>
      <c r="L259" s="101"/>
    </row>
    <row r="260" spans="1:55" s="135" customFormat="1" ht="16" thickBot="1">
      <c r="A260" s="135" t="s">
        <v>309</v>
      </c>
      <c r="C260" s="136"/>
      <c r="K260" s="137"/>
      <c r="L260" s="138"/>
      <c r="M260" s="139"/>
      <c r="N260" s="140"/>
      <c r="O260" s="140"/>
      <c r="P260" s="141"/>
      <c r="Q260" s="141"/>
      <c r="R260" s="142"/>
      <c r="S260" s="139"/>
      <c r="T260" s="140"/>
      <c r="U260" s="140"/>
      <c r="V260" s="141"/>
      <c r="W260" s="141"/>
      <c r="X260" s="142"/>
      <c r="Y260" s="139"/>
      <c r="Z260" s="140"/>
      <c r="AA260" s="140"/>
      <c r="AB260" s="141"/>
      <c r="AC260" s="141"/>
      <c r="AD260" s="142"/>
      <c r="AE260" s="139"/>
      <c r="AF260" s="140"/>
      <c r="AG260" s="140"/>
      <c r="AH260" s="142"/>
      <c r="AI260" s="140"/>
      <c r="AJ260" s="140"/>
      <c r="AK260" s="139"/>
      <c r="AL260" s="143"/>
      <c r="AM260" s="138"/>
      <c r="AP260" s="138"/>
      <c r="AQ260" s="138"/>
      <c r="AU260" s="144"/>
      <c r="AV260" s="138"/>
      <c r="AW260" s="138"/>
      <c r="AX260" s="138"/>
      <c r="AY260" s="138"/>
      <c r="AZ260" s="138"/>
      <c r="BA260" s="145"/>
      <c r="BC260" s="138"/>
    </row>
    <row r="261" spans="1:55" s="41" customFormat="1" ht="16" thickTop="1">
      <c r="C261" s="133"/>
      <c r="K261" s="134"/>
      <c r="P261" s="27"/>
      <c r="Q261" s="27"/>
      <c r="R261" s="33"/>
      <c r="V261" s="27"/>
      <c r="W261" s="27"/>
      <c r="X261" s="33"/>
      <c r="AB261" s="27"/>
      <c r="AC261" s="27"/>
      <c r="AD261" s="33"/>
      <c r="AH261" s="33"/>
    </row>
    <row r="262" spans="1:55" s="41" customFormat="1">
      <c r="C262" s="133"/>
      <c r="K262" s="134"/>
      <c r="P262" s="27"/>
      <c r="Q262" s="27"/>
      <c r="R262" s="33"/>
      <c r="V262" s="27"/>
      <c r="W262" s="27"/>
      <c r="X262" s="33"/>
      <c r="AB262" s="27"/>
      <c r="AC262" s="27"/>
      <c r="AD262" s="33"/>
      <c r="AH262" s="33"/>
    </row>
    <row r="263" spans="1:55" s="41" customFormat="1">
      <c r="C263" s="133"/>
      <c r="K263" s="134"/>
      <c r="P263" s="27"/>
      <c r="Q263" s="27"/>
      <c r="R263" s="33"/>
      <c r="V263" s="27"/>
      <c r="W263" s="27"/>
      <c r="X263" s="33"/>
      <c r="AB263" s="27"/>
      <c r="AC263" s="27"/>
      <c r="AD263" s="33"/>
      <c r="AH263" s="33"/>
    </row>
    <row r="264" spans="1:55" s="41" customFormat="1">
      <c r="C264" s="133"/>
      <c r="K264" s="134"/>
      <c r="P264" s="27"/>
      <c r="Q264" s="27"/>
      <c r="R264" s="33"/>
      <c r="V264" s="27"/>
      <c r="W264" s="27"/>
      <c r="X264" s="33"/>
      <c r="AB264" s="27"/>
      <c r="AC264" s="27"/>
      <c r="AD264" s="33"/>
      <c r="AH264" s="33"/>
    </row>
    <row r="265" spans="1:55" s="41" customFormat="1">
      <c r="C265" s="133"/>
      <c r="K265" s="134"/>
      <c r="P265" s="27"/>
      <c r="Q265" s="27"/>
      <c r="R265" s="33"/>
      <c r="V265" s="27"/>
      <c r="W265" s="27"/>
      <c r="X265" s="33"/>
      <c r="AB265" s="27"/>
      <c r="AC265" s="27"/>
      <c r="AD265" s="33"/>
      <c r="AH265" s="33"/>
    </row>
    <row r="266" spans="1:55" s="41" customFormat="1">
      <c r="C266" s="133"/>
      <c r="K266" s="134"/>
      <c r="P266" s="27"/>
      <c r="Q266" s="27"/>
      <c r="R266" s="33"/>
      <c r="V266" s="27"/>
      <c r="W266" s="27"/>
      <c r="X266" s="33"/>
      <c r="AB266" s="27"/>
      <c r="AC266" s="27"/>
      <c r="AD266" s="33"/>
      <c r="AH266" s="33"/>
    </row>
    <row r="267" spans="1:55" s="41" customFormat="1">
      <c r="C267" s="133"/>
      <c r="K267" s="134"/>
      <c r="P267" s="27"/>
      <c r="Q267" s="27"/>
      <c r="R267" s="33"/>
      <c r="V267" s="27"/>
      <c r="W267" s="27"/>
      <c r="X267" s="33"/>
      <c r="AB267" s="27"/>
      <c r="AC267" s="27"/>
      <c r="AD267" s="33"/>
      <c r="AH267" s="33"/>
    </row>
    <row r="268" spans="1:55" s="41" customFormat="1">
      <c r="C268" s="133"/>
      <c r="K268" s="134"/>
      <c r="P268" s="27"/>
      <c r="Q268" s="27"/>
      <c r="R268" s="33"/>
      <c r="V268" s="27"/>
      <c r="W268" s="27"/>
      <c r="X268" s="33"/>
      <c r="AB268" s="27"/>
      <c r="AC268" s="27"/>
      <c r="AD268" s="33"/>
      <c r="AH268" s="33"/>
    </row>
    <row r="269" spans="1:55" s="41" customFormat="1">
      <c r="C269" s="133"/>
      <c r="K269" s="134"/>
      <c r="P269" s="27"/>
      <c r="Q269" s="27"/>
      <c r="R269" s="33"/>
      <c r="V269" s="27"/>
      <c r="W269" s="27"/>
      <c r="X269" s="33"/>
      <c r="AB269" s="27"/>
      <c r="AC269" s="27"/>
      <c r="AD269" s="33"/>
      <c r="AH269" s="33"/>
    </row>
    <row r="270" spans="1:55" s="41" customFormat="1">
      <c r="C270" s="133"/>
      <c r="K270" s="134"/>
      <c r="P270" s="27"/>
      <c r="Q270" s="27"/>
      <c r="R270" s="33"/>
      <c r="V270" s="27"/>
      <c r="W270" s="27"/>
      <c r="X270" s="33"/>
      <c r="AB270" s="27"/>
      <c r="AC270" s="27"/>
      <c r="AD270" s="33"/>
      <c r="AH270" s="33"/>
    </row>
    <row r="271" spans="1:55" s="41" customFormat="1">
      <c r="C271" s="133"/>
      <c r="K271" s="134"/>
      <c r="P271" s="27"/>
      <c r="Q271" s="27"/>
      <c r="R271" s="33"/>
      <c r="V271" s="27"/>
      <c r="W271" s="27"/>
      <c r="X271" s="33"/>
      <c r="AB271" s="27"/>
      <c r="AC271" s="27"/>
      <c r="AD271" s="33"/>
      <c r="AH271" s="33"/>
    </row>
    <row r="272" spans="1:55" s="41" customFormat="1">
      <c r="C272" s="133"/>
      <c r="K272" s="134"/>
      <c r="P272" s="27"/>
      <c r="Q272" s="27"/>
      <c r="R272" s="33"/>
      <c r="V272" s="27"/>
      <c r="W272" s="27"/>
      <c r="X272" s="33"/>
      <c r="AB272" s="27"/>
      <c r="AC272" s="27"/>
      <c r="AD272" s="33"/>
      <c r="AH272" s="33"/>
    </row>
    <row r="273" spans="3:34" s="41" customFormat="1">
      <c r="C273" s="133"/>
      <c r="K273" s="134"/>
      <c r="P273" s="27"/>
      <c r="Q273" s="27"/>
      <c r="R273" s="33"/>
      <c r="V273" s="27"/>
      <c r="W273" s="27"/>
      <c r="X273" s="33"/>
      <c r="AB273" s="27"/>
      <c r="AC273" s="27"/>
      <c r="AD273" s="33"/>
      <c r="AH273" s="33"/>
    </row>
    <row r="274" spans="3:34" s="41" customFormat="1">
      <c r="C274" s="133"/>
      <c r="K274" s="134"/>
      <c r="P274" s="27"/>
      <c r="Q274" s="27"/>
      <c r="R274" s="33"/>
      <c r="V274" s="27"/>
      <c r="W274" s="27"/>
      <c r="X274" s="33"/>
      <c r="AB274" s="27"/>
      <c r="AC274" s="27"/>
      <c r="AD274" s="33"/>
      <c r="AH274" s="33"/>
    </row>
    <row r="275" spans="3:34" s="41" customFormat="1">
      <c r="C275" s="133"/>
      <c r="K275" s="134"/>
      <c r="P275" s="27"/>
      <c r="Q275" s="27"/>
      <c r="R275" s="33"/>
      <c r="V275" s="27"/>
      <c r="W275" s="27"/>
      <c r="X275" s="33"/>
      <c r="AB275" s="27"/>
      <c r="AC275" s="27"/>
      <c r="AD275" s="33"/>
      <c r="AH275" s="33"/>
    </row>
    <row r="276" spans="3:34" s="41" customFormat="1">
      <c r="C276" s="133"/>
      <c r="K276" s="134"/>
      <c r="P276" s="27"/>
      <c r="Q276" s="27"/>
      <c r="R276" s="33"/>
      <c r="V276" s="27"/>
      <c r="W276" s="27"/>
      <c r="X276" s="33"/>
      <c r="AB276" s="27"/>
      <c r="AC276" s="27"/>
      <c r="AD276" s="33"/>
      <c r="AH276" s="33"/>
    </row>
    <row r="277" spans="3:34" s="41" customFormat="1">
      <c r="C277" s="133"/>
      <c r="K277" s="134"/>
      <c r="P277" s="27"/>
      <c r="Q277" s="27"/>
      <c r="R277" s="33"/>
      <c r="V277" s="27"/>
      <c r="W277" s="27"/>
      <c r="X277" s="33"/>
      <c r="AB277" s="27"/>
      <c r="AC277" s="27"/>
      <c r="AD277" s="33"/>
      <c r="AH277" s="33"/>
    </row>
    <row r="278" spans="3:34" s="41" customFormat="1">
      <c r="C278" s="133"/>
      <c r="K278" s="134"/>
      <c r="P278" s="27"/>
      <c r="Q278" s="27"/>
      <c r="R278" s="33"/>
      <c r="V278" s="27"/>
      <c r="W278" s="27"/>
      <c r="X278" s="33"/>
      <c r="AB278" s="27"/>
      <c r="AC278" s="27"/>
      <c r="AD278" s="33"/>
      <c r="AH278" s="33"/>
    </row>
    <row r="279" spans="3:34" s="41" customFormat="1">
      <c r="C279" s="133"/>
      <c r="K279" s="134"/>
      <c r="P279" s="27"/>
      <c r="Q279" s="27"/>
      <c r="R279" s="33"/>
      <c r="V279" s="27"/>
      <c r="W279" s="27"/>
      <c r="X279" s="33"/>
      <c r="AB279" s="27"/>
      <c r="AC279" s="27"/>
      <c r="AD279" s="33"/>
      <c r="AH279" s="33"/>
    </row>
    <row r="280" spans="3:34" s="41" customFormat="1">
      <c r="C280" s="133"/>
      <c r="K280" s="134"/>
      <c r="P280" s="27"/>
      <c r="Q280" s="27"/>
      <c r="R280" s="33"/>
      <c r="V280" s="27"/>
      <c r="W280" s="27"/>
      <c r="X280" s="33"/>
      <c r="AB280" s="27"/>
      <c r="AC280" s="27"/>
      <c r="AD280" s="33"/>
      <c r="AH280" s="33"/>
    </row>
    <row r="281" spans="3:34" s="41" customFormat="1">
      <c r="C281" s="133"/>
      <c r="K281" s="134"/>
      <c r="P281" s="27"/>
      <c r="Q281" s="27"/>
      <c r="R281" s="33"/>
      <c r="V281" s="27"/>
      <c r="W281" s="27"/>
      <c r="X281" s="33"/>
      <c r="AB281" s="27"/>
      <c r="AC281" s="27"/>
      <c r="AD281" s="33"/>
      <c r="AH281" s="33"/>
    </row>
    <row r="282" spans="3:34" s="41" customFormat="1">
      <c r="C282" s="133"/>
      <c r="K282" s="134"/>
      <c r="P282" s="27"/>
      <c r="Q282" s="27"/>
      <c r="R282" s="33"/>
      <c r="V282" s="27"/>
      <c r="W282" s="27"/>
      <c r="X282" s="33"/>
      <c r="AB282" s="27"/>
      <c r="AC282" s="27"/>
      <c r="AD282" s="33"/>
      <c r="AH282" s="33"/>
    </row>
    <row r="283" spans="3:34" s="41" customFormat="1">
      <c r="C283" s="133"/>
      <c r="K283" s="134"/>
      <c r="P283" s="27"/>
      <c r="Q283" s="27"/>
      <c r="R283" s="33"/>
      <c r="V283" s="27"/>
      <c r="W283" s="27"/>
      <c r="X283" s="33"/>
      <c r="AB283" s="27"/>
      <c r="AC283" s="27"/>
      <c r="AD283" s="33"/>
      <c r="AH283" s="33"/>
    </row>
    <row r="284" spans="3:34" s="41" customFormat="1">
      <c r="C284" s="133"/>
      <c r="K284" s="134"/>
      <c r="P284" s="27"/>
      <c r="Q284" s="27"/>
      <c r="R284" s="33"/>
      <c r="V284" s="27"/>
      <c r="W284" s="27"/>
      <c r="X284" s="33"/>
      <c r="AB284" s="27"/>
      <c r="AC284" s="27"/>
      <c r="AD284" s="33"/>
      <c r="AH284" s="33"/>
    </row>
    <row r="285" spans="3:34" s="41" customFormat="1">
      <c r="C285" s="133"/>
      <c r="K285" s="134"/>
      <c r="P285" s="27"/>
      <c r="Q285" s="27"/>
      <c r="R285" s="33"/>
      <c r="V285" s="27"/>
      <c r="W285" s="27"/>
      <c r="X285" s="33"/>
      <c r="AB285" s="27"/>
      <c r="AC285" s="27"/>
      <c r="AD285" s="33"/>
      <c r="AH285" s="33"/>
    </row>
    <row r="286" spans="3:34" s="41" customFormat="1">
      <c r="C286" s="133"/>
      <c r="K286" s="134"/>
      <c r="P286" s="27"/>
      <c r="Q286" s="27"/>
      <c r="R286" s="33"/>
      <c r="V286" s="27"/>
      <c r="W286" s="27"/>
      <c r="X286" s="33"/>
      <c r="AB286" s="27"/>
      <c r="AC286" s="27"/>
      <c r="AD286" s="33"/>
      <c r="AH286" s="33"/>
    </row>
    <row r="287" spans="3:34" s="41" customFormat="1">
      <c r="C287" s="133"/>
      <c r="K287" s="134"/>
      <c r="P287" s="27"/>
      <c r="Q287" s="27"/>
      <c r="R287" s="33"/>
      <c r="V287" s="27"/>
      <c r="W287" s="27"/>
      <c r="X287" s="33"/>
      <c r="AB287" s="27"/>
      <c r="AC287" s="27"/>
      <c r="AD287" s="33"/>
      <c r="AH287" s="33"/>
    </row>
    <row r="288" spans="3:34" s="41" customFormat="1">
      <c r="C288" s="133"/>
      <c r="K288" s="134"/>
      <c r="P288" s="27"/>
      <c r="Q288" s="27"/>
      <c r="R288" s="33"/>
      <c r="V288" s="27"/>
      <c r="W288" s="27"/>
      <c r="X288" s="33"/>
      <c r="AB288" s="27"/>
      <c r="AC288" s="27"/>
      <c r="AD288" s="33"/>
      <c r="AH288" s="33"/>
    </row>
    <row r="289" spans="3:34" s="41" customFormat="1">
      <c r="C289" s="133"/>
      <c r="K289" s="134"/>
      <c r="P289" s="27"/>
      <c r="Q289" s="27"/>
      <c r="R289" s="33"/>
      <c r="V289" s="27"/>
      <c r="W289" s="27"/>
      <c r="X289" s="33"/>
      <c r="AB289" s="27"/>
      <c r="AC289" s="27"/>
      <c r="AD289" s="33"/>
      <c r="AH289" s="33"/>
    </row>
    <row r="290" spans="3:34" s="41" customFormat="1">
      <c r="C290" s="133"/>
      <c r="K290" s="134"/>
      <c r="P290" s="27"/>
      <c r="Q290" s="27"/>
      <c r="R290" s="33"/>
      <c r="V290" s="27"/>
      <c r="W290" s="27"/>
      <c r="X290" s="33"/>
      <c r="AB290" s="27"/>
      <c r="AC290" s="27"/>
      <c r="AD290" s="33"/>
      <c r="AH290" s="33"/>
    </row>
    <row r="291" spans="3:34" s="41" customFormat="1">
      <c r="C291" s="133"/>
      <c r="K291" s="134"/>
      <c r="P291" s="27"/>
      <c r="Q291" s="27"/>
      <c r="R291" s="33"/>
      <c r="V291" s="27"/>
      <c r="W291" s="27"/>
      <c r="X291" s="33"/>
      <c r="AB291" s="27"/>
      <c r="AC291" s="27"/>
      <c r="AD291" s="33"/>
      <c r="AH291" s="33"/>
    </row>
    <row r="292" spans="3:34" s="41" customFormat="1">
      <c r="C292" s="133"/>
      <c r="K292" s="134"/>
      <c r="P292" s="27"/>
      <c r="Q292" s="27"/>
      <c r="R292" s="33"/>
      <c r="V292" s="27"/>
      <c r="W292" s="27"/>
      <c r="X292" s="33"/>
      <c r="AB292" s="27"/>
      <c r="AC292" s="27"/>
      <c r="AD292" s="33"/>
      <c r="AH292" s="33"/>
    </row>
    <row r="293" spans="3:34" s="41" customFormat="1">
      <c r="C293" s="133"/>
      <c r="K293" s="134"/>
      <c r="P293" s="27"/>
      <c r="Q293" s="27"/>
      <c r="R293" s="33"/>
      <c r="V293" s="27"/>
      <c r="W293" s="27"/>
      <c r="X293" s="33"/>
      <c r="AB293" s="27"/>
      <c r="AC293" s="27"/>
      <c r="AD293" s="33"/>
      <c r="AH293" s="33"/>
    </row>
    <row r="294" spans="3:34" s="41" customFormat="1">
      <c r="C294" s="133"/>
      <c r="K294" s="134"/>
      <c r="P294" s="27"/>
      <c r="Q294" s="27"/>
      <c r="R294" s="33"/>
      <c r="V294" s="27"/>
      <c r="W294" s="27"/>
      <c r="X294" s="33"/>
      <c r="AB294" s="27"/>
      <c r="AC294" s="27"/>
      <c r="AD294" s="33"/>
      <c r="AH294" s="33"/>
    </row>
    <row r="295" spans="3:34" s="41" customFormat="1">
      <c r="C295" s="133"/>
      <c r="K295" s="134"/>
      <c r="P295" s="27"/>
      <c r="Q295" s="27"/>
      <c r="R295" s="33"/>
      <c r="V295" s="27"/>
      <c r="W295" s="27"/>
      <c r="X295" s="33"/>
      <c r="AB295" s="27"/>
      <c r="AC295" s="27"/>
      <c r="AD295" s="33"/>
      <c r="AH295" s="33"/>
    </row>
    <row r="296" spans="3:34" s="41" customFormat="1">
      <c r="C296" s="133"/>
      <c r="K296" s="134"/>
      <c r="P296" s="27"/>
      <c r="Q296" s="27"/>
      <c r="R296" s="33"/>
      <c r="V296" s="27"/>
      <c r="W296" s="27"/>
      <c r="X296" s="33"/>
      <c r="AB296" s="27"/>
      <c r="AC296" s="27"/>
      <c r="AD296" s="33"/>
      <c r="AH296" s="33"/>
    </row>
    <row r="297" spans="3:34" s="41" customFormat="1">
      <c r="C297" s="133"/>
      <c r="K297" s="134"/>
      <c r="P297" s="27"/>
      <c r="Q297" s="27"/>
      <c r="R297" s="33"/>
      <c r="V297" s="27"/>
      <c r="W297" s="27"/>
      <c r="X297" s="33"/>
      <c r="AB297" s="27"/>
      <c r="AC297" s="27"/>
      <c r="AD297" s="33"/>
      <c r="AH297" s="33"/>
    </row>
    <row r="298" spans="3:34" s="41" customFormat="1">
      <c r="C298" s="133"/>
      <c r="K298" s="134"/>
      <c r="P298" s="27"/>
      <c r="Q298" s="27"/>
      <c r="R298" s="33"/>
      <c r="V298" s="27"/>
      <c r="W298" s="27"/>
      <c r="X298" s="33"/>
      <c r="AB298" s="27"/>
      <c r="AC298" s="27"/>
      <c r="AD298" s="33"/>
      <c r="AH298" s="33"/>
    </row>
    <row r="299" spans="3:34" s="41" customFormat="1">
      <c r="C299" s="133"/>
      <c r="K299" s="134"/>
      <c r="P299" s="27"/>
      <c r="Q299" s="27"/>
      <c r="R299" s="33"/>
      <c r="V299" s="27"/>
      <c r="W299" s="27"/>
      <c r="X299" s="33"/>
      <c r="AB299" s="27"/>
      <c r="AC299" s="27"/>
      <c r="AD299" s="33"/>
      <c r="AH299" s="33"/>
    </row>
    <row r="300" spans="3:34" s="41" customFormat="1">
      <c r="C300" s="133"/>
      <c r="K300" s="134"/>
      <c r="P300" s="27"/>
      <c r="Q300" s="27"/>
      <c r="R300" s="33"/>
      <c r="V300" s="27"/>
      <c r="W300" s="27"/>
      <c r="X300" s="33"/>
      <c r="AB300" s="27"/>
      <c r="AC300" s="27"/>
      <c r="AD300" s="33"/>
      <c r="AH300" s="33"/>
    </row>
    <row r="301" spans="3:34" s="41" customFormat="1">
      <c r="C301" s="133"/>
      <c r="K301" s="134"/>
      <c r="P301" s="27"/>
      <c r="Q301" s="27"/>
      <c r="R301" s="33"/>
      <c r="V301" s="27"/>
      <c r="W301" s="27"/>
      <c r="X301" s="33"/>
      <c r="AB301" s="27"/>
      <c r="AC301" s="27"/>
      <c r="AD301" s="33"/>
      <c r="AH301" s="33"/>
    </row>
    <row r="302" spans="3:34" s="41" customFormat="1">
      <c r="C302" s="133"/>
      <c r="K302" s="134"/>
      <c r="P302" s="27"/>
      <c r="Q302" s="27"/>
      <c r="R302" s="33"/>
      <c r="V302" s="27"/>
      <c r="W302" s="27"/>
      <c r="X302" s="33"/>
      <c r="AB302" s="27"/>
      <c r="AC302" s="27"/>
      <c r="AD302" s="33"/>
      <c r="AH302" s="33"/>
    </row>
    <row r="303" spans="3:34" s="41" customFormat="1">
      <c r="C303" s="133"/>
      <c r="K303" s="134"/>
      <c r="P303" s="27"/>
      <c r="Q303" s="27"/>
      <c r="R303" s="33"/>
      <c r="V303" s="27"/>
      <c r="W303" s="27"/>
      <c r="X303" s="33"/>
      <c r="AB303" s="27"/>
      <c r="AC303" s="27"/>
      <c r="AD303" s="33"/>
      <c r="AH303" s="33"/>
    </row>
    <row r="304" spans="3:34" s="41" customFormat="1">
      <c r="C304" s="133"/>
      <c r="K304" s="134"/>
      <c r="P304" s="27"/>
      <c r="Q304" s="27"/>
      <c r="R304" s="33"/>
      <c r="V304" s="27"/>
      <c r="W304" s="27"/>
      <c r="X304" s="33"/>
      <c r="AB304" s="27"/>
      <c r="AC304" s="27"/>
      <c r="AD304" s="33"/>
      <c r="AH304" s="33"/>
    </row>
    <row r="305" spans="3:34" s="41" customFormat="1">
      <c r="C305" s="133"/>
      <c r="K305" s="134"/>
      <c r="P305" s="27"/>
      <c r="Q305" s="27"/>
      <c r="R305" s="33"/>
      <c r="V305" s="27"/>
      <c r="W305" s="27"/>
      <c r="X305" s="33"/>
      <c r="AB305" s="27"/>
      <c r="AC305" s="27"/>
      <c r="AD305" s="33"/>
      <c r="AH305" s="33"/>
    </row>
    <row r="306" spans="3:34" s="41" customFormat="1">
      <c r="C306" s="133"/>
      <c r="K306" s="134"/>
      <c r="P306" s="27"/>
      <c r="Q306" s="27"/>
      <c r="R306" s="33"/>
      <c r="V306" s="27"/>
      <c r="W306" s="27"/>
      <c r="X306" s="33"/>
      <c r="AB306" s="27"/>
      <c r="AC306" s="27"/>
      <c r="AD306" s="33"/>
      <c r="AH306" s="33"/>
    </row>
    <row r="307" spans="3:34" s="41" customFormat="1">
      <c r="C307" s="133"/>
      <c r="K307" s="134"/>
      <c r="P307" s="27"/>
      <c r="Q307" s="27"/>
      <c r="R307" s="33"/>
      <c r="V307" s="27"/>
      <c r="W307" s="27"/>
      <c r="X307" s="33"/>
      <c r="AB307" s="27"/>
      <c r="AC307" s="27"/>
      <c r="AD307" s="33"/>
      <c r="AH307" s="33"/>
    </row>
    <row r="308" spans="3:34" s="41" customFormat="1">
      <c r="C308" s="133"/>
      <c r="K308" s="134"/>
      <c r="P308" s="27"/>
      <c r="Q308" s="27"/>
      <c r="R308" s="33"/>
      <c r="V308" s="27"/>
      <c r="W308" s="27"/>
      <c r="X308" s="33"/>
      <c r="AB308" s="27"/>
      <c r="AC308" s="27"/>
      <c r="AD308" s="33"/>
      <c r="AH308" s="33"/>
    </row>
    <row r="309" spans="3:34" s="41" customFormat="1">
      <c r="C309" s="133"/>
      <c r="K309" s="134"/>
      <c r="P309" s="27"/>
      <c r="Q309" s="27"/>
      <c r="R309" s="33"/>
      <c r="V309" s="27"/>
      <c r="W309" s="27"/>
      <c r="X309" s="33"/>
      <c r="AB309" s="27"/>
      <c r="AC309" s="27"/>
      <c r="AD309" s="33"/>
      <c r="AH309" s="33"/>
    </row>
    <row r="310" spans="3:34" s="41" customFormat="1">
      <c r="C310" s="133"/>
      <c r="K310" s="134"/>
      <c r="P310" s="27"/>
      <c r="Q310" s="27"/>
      <c r="R310" s="33"/>
      <c r="V310" s="27"/>
      <c r="W310" s="27"/>
      <c r="X310" s="33"/>
      <c r="AB310" s="27"/>
      <c r="AC310" s="27"/>
      <c r="AD310" s="33"/>
      <c r="AH310" s="33"/>
    </row>
    <row r="311" spans="3:34" s="41" customFormat="1">
      <c r="C311" s="133"/>
      <c r="K311" s="134"/>
      <c r="P311" s="27"/>
      <c r="Q311" s="27"/>
      <c r="R311" s="33"/>
      <c r="V311" s="27"/>
      <c r="W311" s="27"/>
      <c r="X311" s="33"/>
      <c r="AB311" s="27"/>
      <c r="AC311" s="27"/>
      <c r="AD311" s="33"/>
      <c r="AH311" s="33"/>
    </row>
    <row r="312" spans="3:34" s="41" customFormat="1">
      <c r="C312" s="133"/>
      <c r="K312" s="134"/>
      <c r="P312" s="27"/>
      <c r="Q312" s="27"/>
      <c r="R312" s="33"/>
      <c r="V312" s="27"/>
      <c r="W312" s="27"/>
      <c r="X312" s="33"/>
      <c r="AB312" s="27"/>
      <c r="AC312" s="27"/>
      <c r="AD312" s="33"/>
      <c r="AH312" s="33"/>
    </row>
    <row r="313" spans="3:34" s="41" customFormat="1">
      <c r="C313" s="133"/>
      <c r="K313" s="134"/>
      <c r="P313" s="27"/>
      <c r="Q313" s="27"/>
      <c r="R313" s="33"/>
      <c r="V313" s="27"/>
      <c r="W313" s="27"/>
      <c r="X313" s="33"/>
      <c r="AB313" s="27"/>
      <c r="AC313" s="27"/>
      <c r="AD313" s="33"/>
      <c r="AH313" s="33"/>
    </row>
    <row r="314" spans="3:34" s="41" customFormat="1">
      <c r="C314" s="133"/>
      <c r="K314" s="134"/>
      <c r="P314" s="27"/>
      <c r="Q314" s="27"/>
      <c r="R314" s="33"/>
      <c r="V314" s="27"/>
      <c r="W314" s="27"/>
      <c r="X314" s="33"/>
      <c r="AB314" s="27"/>
      <c r="AC314" s="27"/>
      <c r="AD314" s="33"/>
      <c r="AH314" s="33"/>
    </row>
    <row r="315" spans="3:34" s="41" customFormat="1">
      <c r="C315" s="133"/>
      <c r="K315" s="134"/>
      <c r="P315" s="27"/>
      <c r="Q315" s="27"/>
      <c r="R315" s="33"/>
      <c r="V315" s="27"/>
      <c r="W315" s="27"/>
      <c r="X315" s="33"/>
      <c r="AB315" s="27"/>
      <c r="AC315" s="27"/>
      <c r="AD315" s="33"/>
      <c r="AH315" s="33"/>
    </row>
    <row r="316" spans="3:34" s="41" customFormat="1">
      <c r="C316" s="133"/>
      <c r="K316" s="134"/>
      <c r="P316" s="27"/>
      <c r="Q316" s="27"/>
      <c r="R316" s="33"/>
      <c r="V316" s="27"/>
      <c r="W316" s="27"/>
      <c r="X316" s="33"/>
      <c r="AB316" s="27"/>
      <c r="AC316" s="27"/>
      <c r="AD316" s="33"/>
      <c r="AH316" s="33"/>
    </row>
  </sheetData>
  <phoneticPr fontId="4"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44605-1FCC-CF48-A2F9-60E2DAA8644A}">
  <dimension ref="A1:AR58"/>
  <sheetViews>
    <sheetView zoomScale="80" zoomScaleNormal="80" workbookViewId="0">
      <selection activeCell="A37" sqref="A37:XFD38"/>
    </sheetView>
  </sheetViews>
  <sheetFormatPr baseColWidth="10" defaultRowHeight="15"/>
  <cols>
    <col min="2" max="3" width="7.5" customWidth="1"/>
    <col min="4" max="4" width="11.5" customWidth="1"/>
    <col min="5" max="5" width="10.6640625" customWidth="1"/>
    <col min="6" max="6" width="9.1640625" customWidth="1"/>
    <col min="7" max="7" width="8.33203125" customWidth="1"/>
    <col min="8" max="9" width="8.83203125" customWidth="1"/>
    <col min="10" max="10" width="6.1640625" customWidth="1"/>
    <col min="16" max="16" width="8.6640625" customWidth="1"/>
    <col min="17" max="17" width="6.33203125" customWidth="1"/>
  </cols>
  <sheetData>
    <row r="1" spans="1:44">
      <c r="B1" s="1" t="s">
        <v>590</v>
      </c>
      <c r="C1" s="1" t="s">
        <v>591</v>
      </c>
      <c r="D1" s="1" t="s">
        <v>592</v>
      </c>
      <c r="E1" s="1" t="s">
        <v>655</v>
      </c>
      <c r="F1" s="1" t="s">
        <v>520</v>
      </c>
    </row>
    <row r="2" spans="1:44">
      <c r="A2" s="1" t="s">
        <v>589</v>
      </c>
      <c r="B2" s="46">
        <f>AVERAGE(Results_exp1_0shot!R3:R231)</f>
        <v>0.77722222669430541</v>
      </c>
      <c r="C2" s="46">
        <f>AVERAGE(Results_exp1_0shot!X3:X231)</f>
        <v>0.69038469092477361</v>
      </c>
      <c r="D2" s="46">
        <f>AVERAGE(Results_exp1_0shot!AD3:AD231)</f>
        <v>0.70028732937414873</v>
      </c>
      <c r="E2" s="46">
        <f>AVERAGE(Results_exp1_0shot!AH3:AH231)</f>
        <v>0.2681461070828311</v>
      </c>
      <c r="F2" s="46">
        <f>AVERAGE(Results_exp1_0shot!AI3:AI231)</f>
        <v>0.69354737854737847</v>
      </c>
    </row>
    <row r="5" spans="1:44" s="182" customFormat="1">
      <c r="D5" s="330" t="s">
        <v>590</v>
      </c>
      <c r="E5" s="330"/>
      <c r="F5" s="330"/>
      <c r="G5" s="330"/>
      <c r="H5" s="330"/>
      <c r="I5" s="190"/>
      <c r="K5" s="330" t="s">
        <v>591</v>
      </c>
      <c r="L5" s="330"/>
      <c r="M5" s="330"/>
      <c r="N5" s="330"/>
      <c r="O5" s="330"/>
      <c r="P5" s="190"/>
      <c r="R5" s="330" t="s">
        <v>592</v>
      </c>
      <c r="S5" s="330"/>
      <c r="T5" s="330"/>
      <c r="U5" s="330"/>
      <c r="V5" s="330"/>
      <c r="W5" s="190"/>
      <c r="Y5" s="330" t="s">
        <v>655</v>
      </c>
      <c r="Z5" s="330"/>
      <c r="AA5" s="330"/>
      <c r="AB5" s="330"/>
      <c r="AC5" s="330"/>
      <c r="AD5" s="190"/>
      <c r="AF5" s="330" t="s">
        <v>520</v>
      </c>
      <c r="AG5" s="330"/>
      <c r="AH5" s="330"/>
      <c r="AI5" s="330"/>
      <c r="AJ5" s="330"/>
      <c r="AK5" s="190"/>
      <c r="AM5" s="330" t="s">
        <v>773</v>
      </c>
      <c r="AN5" s="330"/>
      <c r="AO5" s="330"/>
      <c r="AP5" s="330"/>
      <c r="AQ5" s="330"/>
    </row>
    <row r="6" spans="1:44">
      <c r="A6" s="1" t="s">
        <v>654</v>
      </c>
      <c r="B6" s="1" t="s">
        <v>303</v>
      </c>
      <c r="C6" s="1" t="s">
        <v>798</v>
      </c>
      <c r="D6" s="79" t="s">
        <v>305</v>
      </c>
      <c r="E6" s="79" t="s">
        <v>306</v>
      </c>
      <c r="F6" s="79" t="s">
        <v>307</v>
      </c>
      <c r="G6" s="79" t="s">
        <v>308</v>
      </c>
      <c r="H6" s="79" t="s">
        <v>309</v>
      </c>
      <c r="I6" s="300" t="s">
        <v>797</v>
      </c>
      <c r="K6" s="79" t="s">
        <v>305</v>
      </c>
      <c r="L6" s="79" t="s">
        <v>306</v>
      </c>
      <c r="M6" s="79" t="s">
        <v>307</v>
      </c>
      <c r="N6" s="79" t="s">
        <v>308</v>
      </c>
      <c r="O6" s="79" t="s">
        <v>309</v>
      </c>
      <c r="P6" s="300" t="s">
        <v>797</v>
      </c>
      <c r="R6" s="79" t="s">
        <v>305</v>
      </c>
      <c r="S6" s="79" t="s">
        <v>306</v>
      </c>
      <c r="T6" s="79" t="s">
        <v>307</v>
      </c>
      <c r="U6" s="79" t="s">
        <v>308</v>
      </c>
      <c r="V6" s="79" t="s">
        <v>309</v>
      </c>
      <c r="W6" s="300" t="s">
        <v>797</v>
      </c>
      <c r="Y6" s="79" t="s">
        <v>305</v>
      </c>
      <c r="Z6" s="79" t="s">
        <v>306</v>
      </c>
      <c r="AA6" s="79" t="s">
        <v>307</v>
      </c>
      <c r="AB6" s="79" t="s">
        <v>308</v>
      </c>
      <c r="AC6" s="79" t="s">
        <v>309</v>
      </c>
      <c r="AD6" s="300" t="s">
        <v>797</v>
      </c>
      <c r="AE6" s="79"/>
      <c r="AF6" s="79" t="s">
        <v>305</v>
      </c>
      <c r="AG6" s="79" t="s">
        <v>306</v>
      </c>
      <c r="AH6" s="79" t="s">
        <v>307</v>
      </c>
      <c r="AI6" s="79" t="s">
        <v>308</v>
      </c>
      <c r="AJ6" s="79" t="s">
        <v>309</v>
      </c>
      <c r="AK6" s="300" t="s">
        <v>797</v>
      </c>
      <c r="AM6" s="79" t="s">
        <v>305</v>
      </c>
      <c r="AN6" s="79" t="s">
        <v>306</v>
      </c>
      <c r="AO6" s="79" t="s">
        <v>307</v>
      </c>
      <c r="AP6" s="79" t="s">
        <v>308</v>
      </c>
      <c r="AQ6" s="79" t="s">
        <v>309</v>
      </c>
      <c r="AR6" s="300" t="s">
        <v>797</v>
      </c>
    </row>
    <row r="7" spans="1:44" s="24" customFormat="1">
      <c r="A7" s="4" t="s">
        <v>656</v>
      </c>
      <c r="B7" s="4"/>
      <c r="C7" s="4"/>
      <c r="D7" s="175"/>
      <c r="E7" s="175"/>
      <c r="F7" s="175"/>
      <c r="G7" s="175"/>
      <c r="H7" s="175"/>
      <c r="I7" s="301"/>
      <c r="P7" s="301"/>
      <c r="R7" s="175"/>
      <c r="S7" s="175"/>
      <c r="T7" s="175"/>
      <c r="U7" s="175"/>
      <c r="V7" s="175"/>
      <c r="W7" s="301"/>
      <c r="Y7" s="175"/>
      <c r="Z7" s="175"/>
      <c r="AA7" s="175"/>
      <c r="AB7" s="175"/>
      <c r="AC7" s="175"/>
      <c r="AD7" s="301"/>
      <c r="AE7" s="175"/>
      <c r="AF7" s="175"/>
      <c r="AG7" s="175"/>
      <c r="AH7" s="175"/>
      <c r="AI7" s="175"/>
      <c r="AJ7" s="175"/>
      <c r="AK7" s="301"/>
      <c r="AM7" s="179"/>
      <c r="AN7" s="179"/>
      <c r="AO7" s="179"/>
      <c r="AP7" s="179"/>
      <c r="AQ7" s="179"/>
      <c r="AR7" s="301"/>
    </row>
    <row r="8" spans="1:44">
      <c r="A8" t="s">
        <v>312</v>
      </c>
      <c r="B8" t="str">
        <f>VLOOKUP(A8,Results_exp1_0shot!$A$2:$C$255,3,FALSE)</f>
        <v>6-2</v>
      </c>
      <c r="C8">
        <f>VLOOKUP(A8,Results_exp1_0shot!$A$2:$D$255,4,FALSE)</f>
        <v>0.12287169416637536</v>
      </c>
      <c r="D8" s="147">
        <f>Results_exp1_0shot!R3</f>
        <v>1</v>
      </c>
      <c r="E8" s="147">
        <f>Results_exp1_0shot!R4</f>
        <v>0.88888888888888895</v>
      </c>
      <c r="F8" s="147">
        <f>Results_exp1_0shot!R5</f>
        <v>0.88888888888888895</v>
      </c>
      <c r="G8" s="147">
        <f>Results_exp1_0shot!R6</f>
        <v>0.88888888888888895</v>
      </c>
      <c r="H8" s="147">
        <f>Results_exp1_0shot!R7</f>
        <v>0.88888888888888895</v>
      </c>
      <c r="I8" s="302">
        <f>AVERAGE(D8:H8)</f>
        <v>0.91111111111111109</v>
      </c>
      <c r="J8" s="14"/>
      <c r="K8" s="147">
        <f>Results_exp1_0shot!X3</f>
        <v>1</v>
      </c>
      <c r="L8" s="147">
        <f>Results_exp1_0shot!X4</f>
        <v>0.83333333333333337</v>
      </c>
      <c r="M8" s="147">
        <f>Results_exp1_0shot!X5</f>
        <v>0.83333333333333337</v>
      </c>
      <c r="N8" s="147">
        <f>Results_exp1_0shot!X6</f>
        <v>0.83333333333333337</v>
      </c>
      <c r="O8" s="147">
        <f>Results_exp1_0shot!X7</f>
        <v>0.83333333333333337</v>
      </c>
      <c r="P8" s="302">
        <f>AVERAGE(K8:O8)</f>
        <v>0.86666666666666681</v>
      </c>
      <c r="R8" s="147">
        <f>Results_exp1_0shot!AD3</f>
        <v>0.58333333333333337</v>
      </c>
      <c r="S8" s="147">
        <f>Results_exp1_0shot!AD4</f>
        <v>0.95652173913043481</v>
      </c>
      <c r="T8" s="147">
        <f>Results_exp1_0shot!AD5</f>
        <v>0.95652173913043481</v>
      </c>
      <c r="U8" s="147">
        <f>Results_exp1_0shot!AD6</f>
        <v>0.95652173913043481</v>
      </c>
      <c r="V8" s="147">
        <f>Results_exp1_0shot!AD7</f>
        <v>0.95652173913043481</v>
      </c>
      <c r="W8" s="302">
        <f>AVERAGE(R8:V8)</f>
        <v>0.88188405797101443</v>
      </c>
      <c r="Y8" s="147">
        <f>Results_exp1_0shot!AH3</f>
        <v>0.83333333333333337</v>
      </c>
      <c r="Z8" s="147">
        <f>Results_exp1_0shot!AH4</f>
        <v>1.1666666666666667</v>
      </c>
      <c r="AA8" s="147">
        <f>Results_exp1_0shot!AH5</f>
        <v>1.3333333333333333</v>
      </c>
      <c r="AB8" s="147">
        <f>Results_exp1_0shot!AH6</f>
        <v>0.33333333333333331</v>
      </c>
      <c r="AC8" s="147">
        <f>Results_exp1_0shot!AH7</f>
        <v>0.33333333333333331</v>
      </c>
      <c r="AD8" s="302">
        <f>AVERAGE(Y8:AC8)</f>
        <v>0.8</v>
      </c>
      <c r="AE8" s="147"/>
      <c r="AF8" s="147">
        <f>Results_exp1_0shot!AI3</f>
        <v>1</v>
      </c>
      <c r="AG8" s="147">
        <f>Results_exp1_0shot!AI4</f>
        <v>1</v>
      </c>
      <c r="AH8" s="147">
        <f>Results_exp1_0shot!AI5</f>
        <v>0.88888888888888884</v>
      </c>
      <c r="AI8" s="147">
        <f>Results_exp1_0shot!AI6</f>
        <v>1</v>
      </c>
      <c r="AJ8" s="147">
        <f>Results_exp1_0shot!AI7</f>
        <v>1</v>
      </c>
      <c r="AK8" s="302">
        <f>AVERAGE(AF8:AJ8)</f>
        <v>0.97777777777777786</v>
      </c>
      <c r="AM8" s="147">
        <v>264</v>
      </c>
      <c r="AN8" s="147">
        <v>268</v>
      </c>
      <c r="AO8" s="147">
        <v>310</v>
      </c>
      <c r="AP8" s="147">
        <v>178</v>
      </c>
      <c r="AQ8" s="147">
        <v>220</v>
      </c>
      <c r="AR8" s="302">
        <f>AVERAGE(AM8:AQ8)</f>
        <v>248</v>
      </c>
    </row>
    <row r="9" spans="1:44">
      <c r="A9" t="s">
        <v>313</v>
      </c>
      <c r="B9" t="str">
        <f>VLOOKUP(A9,Results_exp1_0shot!$A$2:$C$255,3,FALSE)</f>
        <v>5-1</v>
      </c>
      <c r="C9">
        <f>VLOOKUP(A9,Results_exp1_0shot!$A$2:$D$255,4,FALSE)</f>
        <v>0.13115245937088071</v>
      </c>
      <c r="D9" s="147">
        <f>Results_exp1_0shot!R10</f>
        <v>0.61538461538461542</v>
      </c>
      <c r="E9" s="147">
        <f>Results_exp1_0shot!R11</f>
        <v>0.61538461538461542</v>
      </c>
      <c r="F9" s="147">
        <f>Results_exp1_0shot!R12</f>
        <v>0.61538461538461542</v>
      </c>
      <c r="G9" s="147">
        <f>Results_exp1_0shot!R13</f>
        <v>0.61538461538461542</v>
      </c>
      <c r="H9" s="147">
        <f>Results_exp1_0shot!R14</f>
        <v>0.61538461538461542</v>
      </c>
      <c r="I9" s="302">
        <f t="shared" ref="I9:I22" si="0">AVERAGE(D9:H9)</f>
        <v>0.61538461538461542</v>
      </c>
      <c r="J9" s="14"/>
      <c r="K9" s="147">
        <f>Results_exp1_0shot!X10</f>
        <v>0.54545454545454541</v>
      </c>
      <c r="L9" s="147">
        <f>Results_exp1_0shot!X11</f>
        <v>0.54545454545454541</v>
      </c>
      <c r="M9" s="147">
        <f>Results_exp1_0shot!X12</f>
        <v>0.54545454545454541</v>
      </c>
      <c r="N9" s="147">
        <f>Results_exp1_0shot!X13</f>
        <v>0.54545454545454541</v>
      </c>
      <c r="O9" s="147">
        <f>Results_exp1_0shot!X14</f>
        <v>0.54545454545454541</v>
      </c>
      <c r="P9" s="302">
        <f t="shared" ref="P9:P22" si="1">AVERAGE(K9:O9)</f>
        <v>0.54545454545454541</v>
      </c>
      <c r="R9" s="147">
        <f>Results_exp1_0shot!AD10</f>
        <v>0.84615384615384615</v>
      </c>
      <c r="S9" s="147">
        <f>Results_exp1_0shot!AD11</f>
        <v>0.69230769230769229</v>
      </c>
      <c r="T9" s="147">
        <f>Results_exp1_0shot!AD12</f>
        <v>0.69230769230769229</v>
      </c>
      <c r="U9" s="147">
        <f>Results_exp1_0shot!AD13</f>
        <v>0.69230769230769229</v>
      </c>
      <c r="V9" s="147">
        <f>Results_exp1_0shot!AD14</f>
        <v>0.69230769230769229</v>
      </c>
      <c r="W9" s="302">
        <f t="shared" ref="W9:W22" si="2">AVERAGE(R9:V9)</f>
        <v>0.72307692307692317</v>
      </c>
      <c r="Y9" s="147">
        <f>Results_exp1_0shot!AH10</f>
        <v>0.5714285714285714</v>
      </c>
      <c r="Z9" s="147">
        <f>Results_exp1_0shot!AH11</f>
        <v>1</v>
      </c>
      <c r="AA9" s="147">
        <f>Results_exp1_0shot!AH12</f>
        <v>0.8571428571428571</v>
      </c>
      <c r="AB9" s="147">
        <f>Results_exp1_0shot!AH13</f>
        <v>1.4285714285714286</v>
      </c>
      <c r="AC9" s="147">
        <f>Results_exp1_0shot!AH14</f>
        <v>1</v>
      </c>
      <c r="AD9" s="302">
        <f t="shared" ref="AD9:AD22" si="3">AVERAGE(Y9:AC9)</f>
        <v>0.97142857142857131</v>
      </c>
      <c r="AE9" s="147"/>
      <c r="AF9" s="147">
        <f>Results_exp1_0shot!AI10</f>
        <v>1</v>
      </c>
      <c r="AG9" s="147">
        <f>Results_exp1_0shot!AI11</f>
        <v>1</v>
      </c>
      <c r="AH9" s="147">
        <f>Results_exp1_0shot!AI12</f>
        <v>1</v>
      </c>
      <c r="AI9" s="147">
        <f>Results_exp1_0shot!AI13</f>
        <v>1</v>
      </c>
      <c r="AJ9" s="147">
        <f>Results_exp1_0shot!AI14</f>
        <v>1</v>
      </c>
      <c r="AK9" s="302">
        <f t="shared" ref="AK9:AK22" si="4">AVERAGE(AF9:AJ9)</f>
        <v>1</v>
      </c>
      <c r="AM9" s="147">
        <v>280</v>
      </c>
      <c r="AN9" s="147">
        <v>331</v>
      </c>
      <c r="AO9" s="147">
        <v>259</v>
      </c>
      <c r="AP9" s="147">
        <v>308</v>
      </c>
      <c r="AQ9" s="147">
        <v>327</v>
      </c>
      <c r="AR9" s="302">
        <f t="shared" ref="AR9:AR22" si="5">AVERAGE(AM9:AQ9)</f>
        <v>301</v>
      </c>
    </row>
    <row r="10" spans="1:44">
      <c r="A10" t="s">
        <v>314</v>
      </c>
      <c r="B10" t="str">
        <f>VLOOKUP(A10,Results_exp1_0shot!$A$2:$C$255,3,FALSE)</f>
        <v>3-4</v>
      </c>
      <c r="C10">
        <f>VLOOKUP(A10,Results_exp1_0shot!$A$2:$D$255,4,FALSE)</f>
        <v>0.15253833769305328</v>
      </c>
      <c r="D10" s="147">
        <f>Results_exp1_0shot!R17</f>
        <v>0.7857142857142857</v>
      </c>
      <c r="E10" s="147">
        <f>Results_exp1_0shot!R18</f>
        <v>0.7857142857142857</v>
      </c>
      <c r="F10" s="147">
        <f>Results_exp1_0shot!R19</f>
        <v>0.8571428571428571</v>
      </c>
      <c r="G10" s="147">
        <f>Results_exp1_0shot!R20</f>
        <v>0.8571428571428571</v>
      </c>
      <c r="H10" s="147">
        <f>Results_exp1_0shot!R21</f>
        <v>0.8571428571428571</v>
      </c>
      <c r="I10" s="302">
        <f t="shared" si="0"/>
        <v>0.82857142857142851</v>
      </c>
      <c r="J10" s="14"/>
      <c r="K10" s="147">
        <f>Results_exp1_0shot!X17</f>
        <v>0.61538461538461531</v>
      </c>
      <c r="L10" s="147">
        <f>Results_exp1_0shot!X18</f>
        <v>0.61538461538461531</v>
      </c>
      <c r="M10" s="147">
        <f>Results_exp1_0shot!X19</f>
        <v>0.76923076923076916</v>
      </c>
      <c r="N10" s="147">
        <f>Results_exp1_0shot!X20</f>
        <v>0.76923076923076916</v>
      </c>
      <c r="O10" s="147">
        <f>Results_exp1_0shot!X21</f>
        <v>0.76923076923076916</v>
      </c>
      <c r="P10" s="302">
        <f t="shared" si="1"/>
        <v>0.70769230769230762</v>
      </c>
      <c r="R10" s="147">
        <f>Results_exp1_0shot!AD17</f>
        <v>0.8571428571428571</v>
      </c>
      <c r="S10" s="147">
        <f>Results_exp1_0shot!AD18</f>
        <v>0.8571428571428571</v>
      </c>
      <c r="T10" s="147">
        <f>Results_exp1_0shot!AD19</f>
        <v>0.8571428571428571</v>
      </c>
      <c r="U10" s="147">
        <f>Results_exp1_0shot!AD20</f>
        <v>0.6428571428571429</v>
      </c>
      <c r="V10" s="147">
        <f>Results_exp1_0shot!AD21</f>
        <v>0.8571428571428571</v>
      </c>
      <c r="W10" s="302">
        <f t="shared" si="2"/>
        <v>0.81428571428571428</v>
      </c>
      <c r="Y10" s="147">
        <f>Results_exp1_0shot!AH17</f>
        <v>0</v>
      </c>
      <c r="Z10" s="147">
        <f>Results_exp1_0shot!AH18</f>
        <v>1.2857142857142858</v>
      </c>
      <c r="AA10" s="147">
        <f>Results_exp1_0shot!AH19</f>
        <v>0.8571428571428571</v>
      </c>
      <c r="AB10" s="147">
        <f>Results_exp1_0shot!AH20</f>
        <v>0.42857142857142855</v>
      </c>
      <c r="AC10" s="147">
        <f>Results_exp1_0shot!AH21</f>
        <v>0.42857142857142855</v>
      </c>
      <c r="AD10" s="302">
        <f t="shared" si="3"/>
        <v>0.59999999999999987</v>
      </c>
      <c r="AE10" s="147"/>
      <c r="AF10" s="147">
        <f>Results_exp1_0shot!AI17</f>
        <v>0</v>
      </c>
      <c r="AG10" s="147">
        <f>Results_exp1_0shot!AI18</f>
        <v>1</v>
      </c>
      <c r="AH10" s="147">
        <f>Results_exp1_0shot!AI19</f>
        <v>1</v>
      </c>
      <c r="AI10" s="147">
        <f>Results_exp1_0shot!AI20</f>
        <v>1</v>
      </c>
      <c r="AJ10" s="147">
        <f>Results_exp1_0shot!AI21</f>
        <v>1</v>
      </c>
      <c r="AK10" s="302">
        <f>AVERAGE(AG10:AJ10)</f>
        <v>1</v>
      </c>
      <c r="AM10" s="147">
        <v>194</v>
      </c>
      <c r="AN10" s="147">
        <v>361</v>
      </c>
      <c r="AO10" s="147">
        <v>249</v>
      </c>
      <c r="AP10" s="147">
        <v>278</v>
      </c>
      <c r="AQ10" s="147">
        <v>214</v>
      </c>
      <c r="AR10" s="302">
        <f t="shared" si="5"/>
        <v>259.2</v>
      </c>
    </row>
    <row r="11" spans="1:44">
      <c r="A11" t="s">
        <v>315</v>
      </c>
      <c r="B11" t="str">
        <f>VLOOKUP(A11,Results_exp1_0shot!$A$2:$C$255,3,FALSE)</f>
        <v>3-2</v>
      </c>
      <c r="C11">
        <f>VLOOKUP(A11,Results_exp1_0shot!$A$2:$D$255,4,FALSE)</f>
        <v>0.22130077615194707</v>
      </c>
      <c r="D11" s="147">
        <f>Results_exp1_0shot!R24</f>
        <v>1</v>
      </c>
      <c r="E11" s="147">
        <f>Results_exp1_0shot!R25</f>
        <v>1</v>
      </c>
      <c r="F11" s="147">
        <f>Results_exp1_0shot!R26</f>
        <v>1</v>
      </c>
      <c r="G11" s="147">
        <f>Results_exp1_0shot!R27</f>
        <v>1</v>
      </c>
      <c r="H11" s="147">
        <f>Results_exp1_0shot!R28</f>
        <v>1</v>
      </c>
      <c r="I11" s="302">
        <f t="shared" si="0"/>
        <v>1</v>
      </c>
      <c r="J11" s="14"/>
      <c r="K11" s="147">
        <f>Results_exp1_0shot!X24</f>
        <v>1</v>
      </c>
      <c r="L11" s="147">
        <f>Results_exp1_0shot!X25</f>
        <v>1</v>
      </c>
      <c r="M11" s="147">
        <f>Results_exp1_0shot!X26</f>
        <v>1</v>
      </c>
      <c r="N11" s="147">
        <f>Results_exp1_0shot!X27</f>
        <v>1</v>
      </c>
      <c r="O11" s="147">
        <f>Results_exp1_0shot!X28</f>
        <v>1</v>
      </c>
      <c r="P11" s="302">
        <f t="shared" si="1"/>
        <v>1</v>
      </c>
      <c r="R11" s="147">
        <f>Results_exp1_0shot!AD24</f>
        <v>1</v>
      </c>
      <c r="S11" s="147">
        <f>Results_exp1_0shot!AD25</f>
        <v>1</v>
      </c>
      <c r="T11" s="147">
        <f>Results_exp1_0shot!AD26</f>
        <v>1</v>
      </c>
      <c r="U11" s="147">
        <f>Results_exp1_0shot!AD27</f>
        <v>1</v>
      </c>
      <c r="V11" s="147">
        <f>Results_exp1_0shot!AD28</f>
        <v>1</v>
      </c>
      <c r="W11" s="302">
        <f t="shared" si="2"/>
        <v>1</v>
      </c>
      <c r="Y11" s="147">
        <f>Results_exp1_0shot!AH24</f>
        <v>0</v>
      </c>
      <c r="Z11" s="147">
        <f>Results_exp1_0shot!AH25</f>
        <v>1</v>
      </c>
      <c r="AA11" s="147">
        <f>Results_exp1_0shot!AH26</f>
        <v>0.3</v>
      </c>
      <c r="AB11" s="147">
        <f>Results_exp1_0shot!AH27</f>
        <v>0.2</v>
      </c>
      <c r="AC11" s="147">
        <f>Results_exp1_0shot!AH28</f>
        <v>0.4</v>
      </c>
      <c r="AD11" s="302">
        <f t="shared" si="3"/>
        <v>0.38</v>
      </c>
      <c r="AE11" s="147"/>
      <c r="AF11" s="147">
        <f>Results_exp1_0shot!AI24</f>
        <v>0</v>
      </c>
      <c r="AG11" s="147">
        <f>Results_exp1_0shot!AI25</f>
        <v>1</v>
      </c>
      <c r="AH11" s="147">
        <f>Results_exp1_0shot!AI26</f>
        <v>1</v>
      </c>
      <c r="AI11" s="147">
        <f>Results_exp1_0shot!AI27</f>
        <v>1</v>
      </c>
      <c r="AJ11" s="147">
        <f>Results_exp1_0shot!AI28</f>
        <v>0.8</v>
      </c>
      <c r="AK11" s="302">
        <f>AVERAGE(AG11:AJ11)</f>
        <v>0.95</v>
      </c>
      <c r="AM11" s="147">
        <v>203</v>
      </c>
      <c r="AN11" s="147">
        <v>397</v>
      </c>
      <c r="AO11" s="147">
        <v>221</v>
      </c>
      <c r="AP11" s="147">
        <v>221</v>
      </c>
      <c r="AQ11" s="147">
        <v>298</v>
      </c>
      <c r="AR11" s="302">
        <f t="shared" si="5"/>
        <v>268</v>
      </c>
    </row>
    <row r="12" spans="1:44">
      <c r="A12" t="s">
        <v>316</v>
      </c>
      <c r="B12" t="str">
        <f>VLOOKUP(A12,Results_exp1_0shot!$A$2:$C$255,3,FALSE)</f>
        <v>10-5</v>
      </c>
      <c r="C12">
        <f>VLOOKUP(A12,Results_exp1_0shot!$A$2:$D$255,4,FALSE)</f>
        <v>0.22869210498506434</v>
      </c>
      <c r="D12" s="147">
        <f>Results_exp1_0shot!R31</f>
        <v>0.89473684210526316</v>
      </c>
      <c r="E12" s="147">
        <f>Results_exp1_0shot!R32</f>
        <v>0.68421052631578949</v>
      </c>
      <c r="F12" s="147">
        <f>Results_exp1_0shot!R33</f>
        <v>0.89473684210526316</v>
      </c>
      <c r="G12" s="147">
        <f>Results_exp1_0shot!R34</f>
        <v>0.88888888888888884</v>
      </c>
      <c r="H12" s="147">
        <f>Results_exp1_0shot!R35</f>
        <v>0.89473684210526316</v>
      </c>
      <c r="I12" s="302">
        <f t="shared" si="0"/>
        <v>0.85146198830409359</v>
      </c>
      <c r="J12" s="14"/>
      <c r="K12" s="147">
        <f>Results_exp1_0shot!X31</f>
        <v>0.87500000000000011</v>
      </c>
      <c r="L12" s="147">
        <f>Results_exp1_0shot!X32</f>
        <v>0.7142857142857143</v>
      </c>
      <c r="M12" s="147">
        <f>Results_exp1_0shot!X33</f>
        <v>0.87500000000000011</v>
      </c>
      <c r="N12" s="147">
        <f>Results_exp1_0shot!X34</f>
        <v>0.94117647058823528</v>
      </c>
      <c r="O12" s="147">
        <f>Results_exp1_0shot!X35</f>
        <v>0.87500000000000011</v>
      </c>
      <c r="P12" s="302">
        <f t="shared" si="1"/>
        <v>0.85609243697478998</v>
      </c>
      <c r="R12" s="147">
        <f>Results_exp1_0shot!AD31</f>
        <v>0.70588235294117652</v>
      </c>
      <c r="S12" s="147">
        <f>Results_exp1_0shot!AD32</f>
        <v>0.52941176470588236</v>
      </c>
      <c r="T12" s="147">
        <f>Results_exp1_0shot!AD33</f>
        <v>0.52941176470588236</v>
      </c>
      <c r="U12" s="147">
        <f>Results_exp1_0shot!AD34</f>
        <v>0.9375</v>
      </c>
      <c r="V12" s="147">
        <f>Results_exp1_0shot!AD35</f>
        <v>0.52941176470588236</v>
      </c>
      <c r="W12" s="302">
        <f t="shared" si="2"/>
        <v>0.64632352941176463</v>
      </c>
      <c r="Y12" s="147">
        <f>Results_exp1_0shot!AH31</f>
        <v>0.25</v>
      </c>
      <c r="Z12" s="147">
        <f>Results_exp1_0shot!AH32</f>
        <v>0.625</v>
      </c>
      <c r="AA12" s="147">
        <f>Results_exp1_0shot!AH33</f>
        <v>0.75</v>
      </c>
      <c r="AB12" s="147">
        <f>Results_exp1_0shot!AH34</f>
        <v>0.875</v>
      </c>
      <c r="AC12" s="147">
        <f>Results_exp1_0shot!AH35</f>
        <v>1</v>
      </c>
      <c r="AD12" s="302">
        <f t="shared" si="3"/>
        <v>0.7</v>
      </c>
      <c r="AE12" s="147"/>
      <c r="AF12" s="147">
        <f>Results_exp1_0shot!AI31</f>
        <v>1</v>
      </c>
      <c r="AG12" s="147">
        <f>Results_exp1_0shot!AI32</f>
        <v>1</v>
      </c>
      <c r="AH12" s="147">
        <f>Results_exp1_0shot!AI33</f>
        <v>1</v>
      </c>
      <c r="AI12" s="147">
        <f>Results_exp1_0shot!AI34</f>
        <v>1</v>
      </c>
      <c r="AJ12" s="147">
        <f>Results_exp1_0shot!AI35</f>
        <v>1</v>
      </c>
      <c r="AK12" s="302">
        <f t="shared" si="4"/>
        <v>1</v>
      </c>
      <c r="AM12" s="147">
        <v>300</v>
      </c>
      <c r="AN12" s="147">
        <v>318</v>
      </c>
      <c r="AO12" s="147">
        <v>372</v>
      </c>
      <c r="AP12" s="147">
        <v>370</v>
      </c>
      <c r="AQ12" s="147">
        <v>379</v>
      </c>
      <c r="AR12" s="302">
        <f t="shared" si="5"/>
        <v>347.8</v>
      </c>
    </row>
    <row r="13" spans="1:44">
      <c r="A13" t="s">
        <v>319</v>
      </c>
      <c r="B13" t="str">
        <f>VLOOKUP(A13,Results_exp1_0shot!$A$2:$C$255,3,FALSE)</f>
        <v>5-2</v>
      </c>
      <c r="C13">
        <f>VLOOKUP(A13,Results_exp1_0shot!$A$2:$D$255,4,FALSE)</f>
        <v>0.27921546848638013</v>
      </c>
      <c r="D13" s="147">
        <f>Results_exp1_0shot!R38</f>
        <v>0.97435897435897434</v>
      </c>
      <c r="E13" s="147">
        <f>Results_exp1_0shot!R39</f>
        <v>0.97435897435897434</v>
      </c>
      <c r="F13" s="147">
        <f>Results_exp1_0shot!R40</f>
        <v>0.92307692307692313</v>
      </c>
      <c r="G13" s="147">
        <f>Results_exp1_0shot!R41</f>
        <v>0.97435897435897434</v>
      </c>
      <c r="H13" s="147">
        <f>Results_exp1_0shot!R42</f>
        <v>0.97435897435897434</v>
      </c>
      <c r="I13" s="302">
        <f t="shared" si="0"/>
        <v>0.96410256410256401</v>
      </c>
      <c r="J13" s="14"/>
      <c r="K13" s="147">
        <f>Results_exp1_0shot!X38</f>
        <v>0.93333333333333335</v>
      </c>
      <c r="L13" s="147">
        <f>Results_exp1_0shot!X39</f>
        <v>0.93333333333333335</v>
      </c>
      <c r="M13" s="147">
        <f>Results_exp1_0shot!X40</f>
        <v>0.79999999999999993</v>
      </c>
      <c r="N13" s="147">
        <f>Results_exp1_0shot!X41</f>
        <v>0.93333333333333335</v>
      </c>
      <c r="O13" s="147">
        <f>Results_exp1_0shot!X42</f>
        <v>0.93333333333333335</v>
      </c>
      <c r="P13" s="302">
        <f t="shared" si="1"/>
        <v>0.90666666666666662</v>
      </c>
      <c r="R13" s="147">
        <f>Results_exp1_0shot!AD38</f>
        <v>0.8125</v>
      </c>
      <c r="S13" s="147">
        <f>Results_exp1_0shot!AD39</f>
        <v>0.875</v>
      </c>
      <c r="T13" s="147">
        <f>Results_exp1_0shot!AD40</f>
        <v>0.8125</v>
      </c>
      <c r="U13" s="147">
        <f>Results_exp1_0shot!AD41</f>
        <v>0.8125</v>
      </c>
      <c r="V13" s="147">
        <f>Results_exp1_0shot!AD42</f>
        <v>0.875</v>
      </c>
      <c r="W13" s="302">
        <f t="shared" si="2"/>
        <v>0.83750000000000002</v>
      </c>
      <c r="Y13" s="147">
        <f>Results_exp1_0shot!AH38</f>
        <v>0.5</v>
      </c>
      <c r="Z13" s="147">
        <f>Results_exp1_0shot!AH39</f>
        <v>0.5</v>
      </c>
      <c r="AA13" s="147">
        <f>Results_exp1_0shot!AH40</f>
        <v>0.5</v>
      </c>
      <c r="AB13" s="147">
        <f>Results_exp1_0shot!AH41</f>
        <v>0.25</v>
      </c>
      <c r="AC13" s="147">
        <f>Results_exp1_0shot!AH42</f>
        <v>0.5</v>
      </c>
      <c r="AD13" s="302">
        <f t="shared" si="3"/>
        <v>0.45</v>
      </c>
      <c r="AE13" s="147"/>
      <c r="AF13" s="147">
        <f>Results_exp1_0shot!AI38</f>
        <v>1</v>
      </c>
      <c r="AG13" s="147">
        <f>Results_exp1_0shot!AI39</f>
        <v>1</v>
      </c>
      <c r="AH13" s="147">
        <f>Results_exp1_0shot!AI40</f>
        <v>1</v>
      </c>
      <c r="AI13" s="147">
        <f>Results_exp1_0shot!AI41</f>
        <v>1</v>
      </c>
      <c r="AJ13" s="147">
        <f>Results_exp1_0shot!AI42</f>
        <v>1</v>
      </c>
      <c r="AK13" s="302">
        <f t="shared" si="4"/>
        <v>1</v>
      </c>
      <c r="AM13" s="147">
        <v>246</v>
      </c>
      <c r="AN13" s="147">
        <v>251</v>
      </c>
      <c r="AO13" s="147">
        <v>323</v>
      </c>
      <c r="AP13" s="147">
        <v>264</v>
      </c>
      <c r="AQ13" s="147">
        <v>275</v>
      </c>
      <c r="AR13" s="302">
        <f t="shared" si="5"/>
        <v>271.8</v>
      </c>
    </row>
    <row r="14" spans="1:44">
      <c r="A14" t="s">
        <v>318</v>
      </c>
      <c r="B14" t="str">
        <f>VLOOKUP(A14,Results_exp1_0shot!$A$2:$C$255,3,FALSE)</f>
        <v>3-6</v>
      </c>
      <c r="C14">
        <f>VLOOKUP(A14,Results_exp1_0shot!$A$2:$D$255,4,FALSE)</f>
        <v>0.27964048396764468</v>
      </c>
      <c r="D14" s="147">
        <f>Results_exp1_0shot!R45</f>
        <v>1</v>
      </c>
      <c r="E14" s="147">
        <f>Results_exp1_0shot!R46</f>
        <v>1</v>
      </c>
      <c r="F14" s="147">
        <f>Results_exp1_0shot!R47</f>
        <v>1</v>
      </c>
      <c r="G14" s="147">
        <f>Results_exp1_0shot!R48</f>
        <v>1</v>
      </c>
      <c r="H14" s="147">
        <f>Results_exp1_0shot!R49</f>
        <v>1</v>
      </c>
      <c r="I14" s="302">
        <f t="shared" si="0"/>
        <v>1</v>
      </c>
      <c r="J14" s="14"/>
      <c r="K14" s="147">
        <f>Results_exp1_0shot!X45</f>
        <v>1</v>
      </c>
      <c r="L14" s="147">
        <f>Results_exp1_0shot!X46</f>
        <v>1</v>
      </c>
      <c r="M14" s="147">
        <f>Results_exp1_0shot!X47</f>
        <v>1</v>
      </c>
      <c r="N14" s="147">
        <f>Results_exp1_0shot!X48</f>
        <v>1</v>
      </c>
      <c r="O14" s="147">
        <f>Results_exp1_0shot!X49</f>
        <v>1</v>
      </c>
      <c r="P14" s="302">
        <f t="shared" si="1"/>
        <v>1</v>
      </c>
      <c r="R14" s="147">
        <f>Results_exp1_0shot!AD45</f>
        <v>0.66666666666666663</v>
      </c>
      <c r="S14" s="147">
        <f>Results_exp1_0shot!AD46</f>
        <v>0.66666666666666663</v>
      </c>
      <c r="T14" s="147">
        <f>Results_exp1_0shot!AD47</f>
        <v>0.70833333333333337</v>
      </c>
      <c r="U14" s="147">
        <f>Results_exp1_0shot!AD48</f>
        <v>0.875</v>
      </c>
      <c r="V14" s="147">
        <f>Results_exp1_0shot!AD49</f>
        <v>0.66666666666666663</v>
      </c>
      <c r="W14" s="302">
        <f t="shared" si="2"/>
        <v>0.71666666666666656</v>
      </c>
      <c r="Y14" s="147">
        <f>Results_exp1_0shot!AH45</f>
        <v>0</v>
      </c>
      <c r="Z14" s="147">
        <f>Results_exp1_0shot!AH46</f>
        <v>0.33333333333333331</v>
      </c>
      <c r="AA14" s="147">
        <f>Results_exp1_0shot!AH47</f>
        <v>0.25</v>
      </c>
      <c r="AB14" s="147">
        <f>Results_exp1_0shot!AH48</f>
        <v>0.25</v>
      </c>
      <c r="AC14" s="147">
        <f>Results_exp1_0shot!AH49</f>
        <v>0.58333333333333337</v>
      </c>
      <c r="AD14" s="302">
        <f t="shared" si="3"/>
        <v>0.28333333333333333</v>
      </c>
      <c r="AE14" s="147"/>
      <c r="AF14" s="147">
        <f>Results_exp1_0shot!AI45</f>
        <v>0</v>
      </c>
      <c r="AG14" s="147">
        <f>Results_exp1_0shot!AI46</f>
        <v>0.5714285714285714</v>
      </c>
      <c r="AH14" s="147">
        <f>Results_exp1_0shot!AI47</f>
        <v>1</v>
      </c>
      <c r="AI14" s="147">
        <f>Results_exp1_0shot!AI48</f>
        <v>1</v>
      </c>
      <c r="AJ14" s="147">
        <f>Results_exp1_0shot!AI49</f>
        <v>0.77777777777777779</v>
      </c>
      <c r="AK14" s="302">
        <f>AVERAGE(AG14:AJ14)</f>
        <v>0.83730158730158721</v>
      </c>
      <c r="AM14" s="147">
        <v>291</v>
      </c>
      <c r="AN14" s="147">
        <v>362</v>
      </c>
      <c r="AO14" s="147">
        <v>248</v>
      </c>
      <c r="AP14" s="147">
        <v>327</v>
      </c>
      <c r="AQ14" s="147">
        <v>356</v>
      </c>
      <c r="AR14" s="302">
        <f t="shared" si="5"/>
        <v>316.8</v>
      </c>
    </row>
    <row r="15" spans="1:44">
      <c r="A15" t="s">
        <v>317</v>
      </c>
      <c r="B15" t="str">
        <f>VLOOKUP(A15,Results_exp1_0shot!$A$2:$C$255,3,FALSE)</f>
        <v>8-1</v>
      </c>
      <c r="C15">
        <f>VLOOKUP(A15,Results_exp1_0shot!$A$2:$D$255,4,FALSE)</f>
        <v>0.30047187189373031</v>
      </c>
      <c r="D15" s="147">
        <f>Results_exp1_0shot!R52</f>
        <v>0.92307692307692313</v>
      </c>
      <c r="E15" s="147">
        <f>Results_exp1_0shot!R53</f>
        <v>0.92307692307692313</v>
      </c>
      <c r="F15" s="147">
        <f>Results_exp1_0shot!R54</f>
        <v>0.92307692307692313</v>
      </c>
      <c r="G15" s="147">
        <f>Results_exp1_0shot!R55</f>
        <v>0.92307692307692313</v>
      </c>
      <c r="H15" s="147">
        <f>Results_exp1_0shot!R56</f>
        <v>0.92307692307692313</v>
      </c>
      <c r="I15" s="302">
        <f t="shared" si="0"/>
        <v>0.92307692307692313</v>
      </c>
      <c r="J15" s="14"/>
      <c r="K15" s="147">
        <f>Results_exp1_0shot!X52</f>
        <v>0.79999999999999993</v>
      </c>
      <c r="L15" s="147">
        <f>Results_exp1_0shot!X53</f>
        <v>0.79999999999999993</v>
      </c>
      <c r="M15" s="147">
        <f>Results_exp1_0shot!X54</f>
        <v>0.79999999999999993</v>
      </c>
      <c r="N15" s="147">
        <f>Results_exp1_0shot!X55</f>
        <v>0.79999999999999993</v>
      </c>
      <c r="O15" s="147">
        <f>Results_exp1_0shot!X56</f>
        <v>0.79999999999999993</v>
      </c>
      <c r="P15" s="302">
        <f t="shared" si="1"/>
        <v>0.79999999999999993</v>
      </c>
      <c r="R15" s="147">
        <f>Results_exp1_0shot!AD52</f>
        <v>0.80000000000000016</v>
      </c>
      <c r="S15" s="147">
        <f>Results_exp1_0shot!AD53</f>
        <v>0.66666666666666663</v>
      </c>
      <c r="T15" s="147">
        <f>Results_exp1_0shot!AD54</f>
        <v>0.80000000000000016</v>
      </c>
      <c r="U15" s="147">
        <f>Results_exp1_0shot!AD55</f>
        <v>0.80000000000000016</v>
      </c>
      <c r="V15" s="147">
        <f>Results_exp1_0shot!AD56</f>
        <v>0.80000000000000016</v>
      </c>
      <c r="W15" s="302">
        <f t="shared" si="2"/>
        <v>0.77333333333333354</v>
      </c>
      <c r="Y15" s="147">
        <f>Results_exp1_0shot!AH52</f>
        <v>0.7142857142857143</v>
      </c>
      <c r="Z15" s="147">
        <f>Results_exp1_0shot!AH53</f>
        <v>1</v>
      </c>
      <c r="AA15" s="147">
        <f>Results_exp1_0shot!AH54</f>
        <v>0.7142857142857143</v>
      </c>
      <c r="AB15" s="147">
        <f>Results_exp1_0shot!AH55</f>
        <v>0.8571428571428571</v>
      </c>
      <c r="AC15" s="147">
        <f>Results_exp1_0shot!AH56</f>
        <v>0.7142857142857143</v>
      </c>
      <c r="AD15" s="302">
        <f t="shared" si="3"/>
        <v>0.8</v>
      </c>
      <c r="AE15" s="147"/>
      <c r="AF15" s="147">
        <f>Results_exp1_0shot!AI52</f>
        <v>1</v>
      </c>
      <c r="AG15" s="147">
        <f>Results_exp1_0shot!AI53</f>
        <v>1</v>
      </c>
      <c r="AH15" s="147">
        <f>Results_exp1_0shot!AI54</f>
        <v>1</v>
      </c>
      <c r="AI15" s="147">
        <f>Results_exp1_0shot!AI55</f>
        <v>1</v>
      </c>
      <c r="AJ15" s="147">
        <f>Results_exp1_0shot!AI56</f>
        <v>1</v>
      </c>
      <c r="AK15" s="302">
        <f t="shared" si="4"/>
        <v>1</v>
      </c>
      <c r="AM15" s="147">
        <v>287</v>
      </c>
      <c r="AN15" s="147">
        <v>307</v>
      </c>
      <c r="AO15" s="147">
        <v>283</v>
      </c>
      <c r="AP15" s="147">
        <v>300</v>
      </c>
      <c r="AQ15" s="147">
        <v>285</v>
      </c>
      <c r="AR15" s="302">
        <f t="shared" si="5"/>
        <v>292.39999999999998</v>
      </c>
    </row>
    <row r="16" spans="1:44">
      <c r="A16" t="s">
        <v>321</v>
      </c>
      <c r="B16" t="str">
        <f>VLOOKUP(A16,Results_exp1_0shot!$A$2:$C$255,3,FALSE)</f>
        <v>7-1</v>
      </c>
      <c r="C16">
        <f>VLOOKUP(A16,Results_exp1_0shot!$A$2:$D$255,4,FALSE)</f>
        <v>0.33132630703029992</v>
      </c>
      <c r="D16" s="147">
        <f>Results_exp1_0shot!R59</f>
        <v>0.87179487179487181</v>
      </c>
      <c r="E16" s="147">
        <f>Results_exp1_0shot!R60</f>
        <v>0.87804878048780477</v>
      </c>
      <c r="F16" s="147">
        <f>Results_exp1_0shot!R61</f>
        <v>0.92682926829268286</v>
      </c>
      <c r="G16" s="147">
        <f>Results_exp1_0shot!R62</f>
        <v>0.92682926829268286</v>
      </c>
      <c r="H16" s="147">
        <f>Results_exp1_0shot!R63</f>
        <v>0.92682926829268286</v>
      </c>
      <c r="I16" s="302">
        <f t="shared" si="0"/>
        <v>0.90606629143214512</v>
      </c>
      <c r="J16" s="14"/>
      <c r="K16" s="147">
        <f>Results_exp1_0shot!X59</f>
        <v>0.66666666666666674</v>
      </c>
      <c r="L16" s="147">
        <f>Results_exp1_0shot!X60</f>
        <v>0.70588235294117652</v>
      </c>
      <c r="M16" s="147">
        <f>Results_exp1_0shot!X61</f>
        <v>0.82352941176470595</v>
      </c>
      <c r="N16" s="147">
        <f>Results_exp1_0shot!X62</f>
        <v>0.82352941176470595</v>
      </c>
      <c r="O16" s="147">
        <f>Results_exp1_0shot!X63</f>
        <v>0.70588235294117652</v>
      </c>
      <c r="P16" s="302">
        <f t="shared" si="1"/>
        <v>0.7450980392156864</v>
      </c>
      <c r="R16" s="147">
        <f>Results_exp1_0shot!AD59</f>
        <v>0.70588235294117652</v>
      </c>
      <c r="S16" s="147">
        <f>Results_exp1_0shot!AD60</f>
        <v>0.77777777777777779</v>
      </c>
      <c r="T16" s="147">
        <f>Results_exp1_0shot!AD61</f>
        <v>0.88888888888888884</v>
      </c>
      <c r="U16" s="147">
        <f>Results_exp1_0shot!AD62</f>
        <v>0.94444444444444442</v>
      </c>
      <c r="V16" s="147">
        <f>Results_exp1_0shot!AD63</f>
        <v>0.77777777777777779</v>
      </c>
      <c r="W16" s="302">
        <f t="shared" si="2"/>
        <v>0.81895424836601305</v>
      </c>
      <c r="Y16" s="147">
        <f>Results_exp1_0shot!AH59</f>
        <v>0.125</v>
      </c>
      <c r="Z16" s="147">
        <f>Results_exp1_0shot!AH60</f>
        <v>0.375</v>
      </c>
      <c r="AA16" s="147">
        <f>Results_exp1_0shot!AH61</f>
        <v>0.5</v>
      </c>
      <c r="AB16" s="147">
        <f>Results_exp1_0shot!AH62</f>
        <v>0.5</v>
      </c>
      <c r="AC16" s="147">
        <f>Results_exp1_0shot!AH63</f>
        <v>0.25</v>
      </c>
      <c r="AD16" s="302">
        <f t="shared" si="3"/>
        <v>0.35</v>
      </c>
      <c r="AE16" s="147"/>
      <c r="AF16" s="147">
        <f>Results_exp1_0shot!AI59</f>
        <v>1</v>
      </c>
      <c r="AG16" s="147">
        <f>Results_exp1_0shot!AI60</f>
        <v>1</v>
      </c>
      <c r="AH16" s="147">
        <f>Results_exp1_0shot!AI61</f>
        <v>1</v>
      </c>
      <c r="AI16" s="147">
        <f>Results_exp1_0shot!AI62</f>
        <v>1</v>
      </c>
      <c r="AJ16" s="147">
        <f>Results_exp1_0shot!AI63</f>
        <v>1</v>
      </c>
      <c r="AK16" s="302">
        <f t="shared" si="4"/>
        <v>1</v>
      </c>
      <c r="AM16" s="147">
        <v>156</v>
      </c>
      <c r="AN16" s="147">
        <v>266</v>
      </c>
      <c r="AO16" s="147">
        <v>268</v>
      </c>
      <c r="AP16" s="147">
        <v>274</v>
      </c>
      <c r="AQ16" s="147">
        <v>249</v>
      </c>
      <c r="AR16" s="302">
        <f t="shared" si="5"/>
        <v>242.6</v>
      </c>
    </row>
    <row r="17" spans="1:44">
      <c r="A17" t="s">
        <v>320</v>
      </c>
      <c r="B17" t="str">
        <f>VLOOKUP(A17,Results_exp1_0shot!$A$2:$C$255,3,FALSE)</f>
        <v>6-3</v>
      </c>
      <c r="C17">
        <f>VLOOKUP(A17,Results_exp1_0shot!$A$2:$D$255,4,FALSE)</f>
        <v>0.37572494412610796</v>
      </c>
      <c r="D17" s="147">
        <f>Results_exp1_0shot!R66</f>
        <v>1</v>
      </c>
      <c r="E17" s="147">
        <f>Results_exp1_0shot!R67</f>
        <v>0.95833333333333337</v>
      </c>
      <c r="F17" s="147">
        <f>Results_exp1_0shot!R68</f>
        <v>1</v>
      </c>
      <c r="G17" s="147">
        <f>Results_exp1_0shot!R69</f>
        <v>0.97872340425531912</v>
      </c>
      <c r="H17" s="147">
        <f>Results_exp1_0shot!R70</f>
        <v>0.90909090909090906</v>
      </c>
      <c r="I17" s="302">
        <f t="shared" si="0"/>
        <v>0.96922952933591233</v>
      </c>
      <c r="J17" s="14"/>
      <c r="K17" s="147">
        <f>Results_exp1_0shot!X66</f>
        <v>1</v>
      </c>
      <c r="L17" s="147">
        <f>Results_exp1_0shot!X67</f>
        <v>0.875</v>
      </c>
      <c r="M17" s="147">
        <f>Results_exp1_0shot!X68</f>
        <v>1</v>
      </c>
      <c r="N17" s="147">
        <f>Results_exp1_0shot!X69</f>
        <v>0.93333333333333335</v>
      </c>
      <c r="O17" s="147">
        <f>Results_exp1_0shot!X70</f>
        <v>0.8571428571428571</v>
      </c>
      <c r="P17" s="302">
        <f t="shared" si="1"/>
        <v>0.93309523809523809</v>
      </c>
      <c r="R17" s="147">
        <f>Results_exp1_0shot!AD66</f>
        <v>1</v>
      </c>
      <c r="S17" s="147">
        <f>Results_exp1_0shot!AD67</f>
        <v>1</v>
      </c>
      <c r="T17" s="147">
        <f>Results_exp1_0shot!AD68</f>
        <v>0.95000000000000007</v>
      </c>
      <c r="U17" s="147">
        <f>Results_exp1_0shot!AD69</f>
        <v>0.95000000000000007</v>
      </c>
      <c r="V17" s="147">
        <f>Results_exp1_0shot!AD70</f>
        <v>0.95000000000000007</v>
      </c>
      <c r="W17" s="302">
        <f t="shared" si="2"/>
        <v>0.97000000000000008</v>
      </c>
      <c r="Y17" s="147">
        <f>Results_exp1_0shot!AH66</f>
        <v>0.2</v>
      </c>
      <c r="Z17" s="147">
        <f>Results_exp1_0shot!AH67</f>
        <v>0.8</v>
      </c>
      <c r="AA17" s="147">
        <f>Results_exp1_0shot!AH68</f>
        <v>0.6</v>
      </c>
      <c r="AB17" s="147">
        <f>Results_exp1_0shot!AH69</f>
        <v>0.7</v>
      </c>
      <c r="AC17" s="147">
        <f>Results_exp1_0shot!AH70</f>
        <v>0.5</v>
      </c>
      <c r="AD17" s="302">
        <f t="shared" si="3"/>
        <v>0.55999999999999994</v>
      </c>
      <c r="AE17" s="147"/>
      <c r="AF17" s="147">
        <f>Results_exp1_0shot!AI66</f>
        <v>1</v>
      </c>
      <c r="AG17" s="147">
        <f>Results_exp1_0shot!AI67</f>
        <v>0.88888888888888884</v>
      </c>
      <c r="AH17" s="147">
        <f>Results_exp1_0shot!AI68</f>
        <v>1</v>
      </c>
      <c r="AI17" s="147">
        <f>Results_exp1_0shot!AI69</f>
        <v>0.875</v>
      </c>
      <c r="AJ17" s="147">
        <f>Results_exp1_0shot!AI70</f>
        <v>0.83333333333333337</v>
      </c>
      <c r="AK17" s="302">
        <f t="shared" si="4"/>
        <v>0.91944444444444451</v>
      </c>
      <c r="AM17" s="147">
        <v>231</v>
      </c>
      <c r="AN17" s="147">
        <v>313</v>
      </c>
      <c r="AO17" s="147">
        <v>316</v>
      </c>
      <c r="AP17" s="147">
        <v>345</v>
      </c>
      <c r="AQ17" s="147">
        <v>280</v>
      </c>
      <c r="AR17" s="302">
        <f t="shared" si="5"/>
        <v>297</v>
      </c>
    </row>
    <row r="18" spans="1:44">
      <c r="A18" t="s">
        <v>322</v>
      </c>
      <c r="B18" t="str">
        <f>VLOOKUP(A18,Results_exp1_0shot!$A$2:$C$255,3,FALSE)</f>
        <v>10-1</v>
      </c>
      <c r="C18">
        <f>VLOOKUP(A18,Results_exp1_0shot!$A$2:$D$255,4,FALSE)</f>
        <v>0.42192215666912153</v>
      </c>
      <c r="D18" s="147">
        <f>Results_exp1_0shot!R73</f>
        <v>0.79999999999999993</v>
      </c>
      <c r="E18" s="147">
        <f>Results_exp1_0shot!R74</f>
        <v>0.65217391304347827</v>
      </c>
      <c r="F18" s="147">
        <f>Results_exp1_0shot!R75</f>
        <v>0.72</v>
      </c>
      <c r="G18" s="147">
        <f>Results_exp1_0shot!R76</f>
        <v>0.79999999999999993</v>
      </c>
      <c r="H18" s="147">
        <f>Results_exp1_0shot!R77</f>
        <v>0.75471698113207542</v>
      </c>
      <c r="I18" s="302">
        <f t="shared" si="0"/>
        <v>0.74537817883511059</v>
      </c>
      <c r="J18" s="14"/>
      <c r="K18" s="147">
        <f>Results_exp1_0shot!X73</f>
        <v>0.70000000000000007</v>
      </c>
      <c r="L18" s="147">
        <f>Results_exp1_0shot!X74</f>
        <v>0.63157894736842102</v>
      </c>
      <c r="M18" s="147">
        <f>Results_exp1_0shot!X75</f>
        <v>0.63157894736842102</v>
      </c>
      <c r="N18" s="147">
        <f>Results_exp1_0shot!X76</f>
        <v>0.70000000000000007</v>
      </c>
      <c r="O18" s="147">
        <f>Results_exp1_0shot!X77</f>
        <v>0.66666666666666663</v>
      </c>
      <c r="P18" s="302">
        <f t="shared" si="1"/>
        <v>0.66596491228070165</v>
      </c>
      <c r="R18" s="147">
        <f>Results_exp1_0shot!AD73</f>
        <v>0.91304347826086962</v>
      </c>
      <c r="S18" s="147">
        <f>Results_exp1_0shot!AD74</f>
        <v>0.61904761904761907</v>
      </c>
      <c r="T18" s="147">
        <f>Results_exp1_0shot!AD75</f>
        <v>0.91304347826086962</v>
      </c>
      <c r="U18" s="147">
        <f>Results_exp1_0shot!AD76</f>
        <v>0.91304347826086962</v>
      </c>
      <c r="V18" s="147">
        <f>Results_exp1_0shot!AD77</f>
        <v>0.93877551020408168</v>
      </c>
      <c r="W18" s="302">
        <f t="shared" si="2"/>
        <v>0.85939071280686186</v>
      </c>
      <c r="Y18" s="147">
        <f>Results_exp1_0shot!AH73</f>
        <v>0.25</v>
      </c>
      <c r="Z18" s="147">
        <f>Results_exp1_0shot!AH74</f>
        <v>0.25</v>
      </c>
      <c r="AA18" s="147">
        <f>Results_exp1_0shot!AH75</f>
        <v>0.5</v>
      </c>
      <c r="AB18" s="147">
        <f>Results_exp1_0shot!AH76</f>
        <v>0.33333333333333331</v>
      </c>
      <c r="AC18" s="147">
        <f>Results_exp1_0shot!AH77</f>
        <v>0.33333333333333331</v>
      </c>
      <c r="AD18" s="302">
        <f t="shared" si="3"/>
        <v>0.33333333333333331</v>
      </c>
      <c r="AE18" s="147"/>
      <c r="AF18" s="147">
        <f>Results_exp1_0shot!AI73</f>
        <v>1</v>
      </c>
      <c r="AG18" s="147">
        <f>Results_exp1_0shot!AI74</f>
        <v>1</v>
      </c>
      <c r="AH18" s="147">
        <f>Results_exp1_0shot!AI75</f>
        <v>1</v>
      </c>
      <c r="AI18" s="147">
        <f>Results_exp1_0shot!AI76</f>
        <v>1</v>
      </c>
      <c r="AJ18" s="147">
        <f>Results_exp1_0shot!AI77</f>
        <v>1</v>
      </c>
      <c r="AK18" s="302">
        <f t="shared" si="4"/>
        <v>1</v>
      </c>
      <c r="AM18" s="147">
        <v>289</v>
      </c>
      <c r="AN18" s="147">
        <v>271</v>
      </c>
      <c r="AO18" s="147">
        <v>278</v>
      </c>
      <c r="AP18" s="147">
        <v>278</v>
      </c>
      <c r="AQ18" s="147">
        <v>278</v>
      </c>
      <c r="AR18" s="302">
        <f t="shared" si="5"/>
        <v>278.8</v>
      </c>
    </row>
    <row r="19" spans="1:44">
      <c r="A19" t="s">
        <v>323</v>
      </c>
      <c r="B19" t="str">
        <f>VLOOKUP(A19,Results_exp1_0shot!$A$2:$C$255,3,FALSE)</f>
        <v>8-3</v>
      </c>
      <c r="C19">
        <f>VLOOKUP(A19,Results_exp1_0shot!$A$2:$D$255,4,FALSE)</f>
        <v>0.50627224900379741</v>
      </c>
      <c r="D19" s="147">
        <f>Results_exp1_0shot!R80</f>
        <v>0.72727272727272718</v>
      </c>
      <c r="E19" s="147">
        <f>Results_exp1_0shot!R81</f>
        <v>0.77192982456140358</v>
      </c>
      <c r="F19" s="147">
        <f>Results_exp1_0shot!R82</f>
        <v>0.73684210526315785</v>
      </c>
      <c r="G19" s="147">
        <f>Results_exp1_0shot!R83</f>
        <v>0.72413793103448276</v>
      </c>
      <c r="H19" s="147">
        <f>Results_exp1_0shot!R84</f>
        <v>0.71186440677966112</v>
      </c>
      <c r="I19" s="302">
        <f t="shared" si="0"/>
        <v>0.73440939898228641</v>
      </c>
      <c r="J19" s="14"/>
      <c r="K19" s="147">
        <f>Results_exp1_0shot!X80</f>
        <v>0.58823529411764708</v>
      </c>
      <c r="L19" s="147">
        <f>Results_exp1_0shot!X81</f>
        <v>0.66666666666666663</v>
      </c>
      <c r="M19" s="147">
        <f>Results_exp1_0shot!X82</f>
        <v>0.66666666666666663</v>
      </c>
      <c r="N19" s="147">
        <f>Results_exp1_0shot!X83</f>
        <v>0.77777777777777779</v>
      </c>
      <c r="O19" s="147">
        <f>Results_exp1_0shot!X84</f>
        <v>0.77777777777777779</v>
      </c>
      <c r="P19" s="302">
        <f t="shared" si="1"/>
        <v>0.69542483660130716</v>
      </c>
      <c r="R19" s="147">
        <f>Results_exp1_0shot!AD80</f>
        <v>0.679245283018868</v>
      </c>
      <c r="S19" s="147">
        <f>Results_exp1_0shot!AD81</f>
        <v>0.679245283018868</v>
      </c>
      <c r="T19" s="147">
        <f>Results_exp1_0shot!AD82</f>
        <v>0.45283018867924529</v>
      </c>
      <c r="U19" s="147">
        <f>Results_exp1_0shot!AD83</f>
        <v>0.74074074074074081</v>
      </c>
      <c r="V19" s="147">
        <f>Results_exp1_0shot!AD84</f>
        <v>0.4</v>
      </c>
      <c r="W19" s="302">
        <f t="shared" si="2"/>
        <v>0.59041229909154436</v>
      </c>
      <c r="Y19" s="147">
        <f>Results_exp1_0shot!AH80</f>
        <v>0</v>
      </c>
      <c r="Z19" s="147">
        <f>Results_exp1_0shot!AH81</f>
        <v>0.18181818181818182</v>
      </c>
      <c r="AA19" s="147">
        <f>Results_exp1_0shot!AH82</f>
        <v>0.18181818181818182</v>
      </c>
      <c r="AB19" s="147">
        <f>Results_exp1_0shot!AH83</f>
        <v>0.18181818181818182</v>
      </c>
      <c r="AC19" s="147">
        <f>Results_exp1_0shot!AH84</f>
        <v>0.18181818181818182</v>
      </c>
      <c r="AD19" s="302">
        <f t="shared" si="3"/>
        <v>0.14545454545454545</v>
      </c>
      <c r="AE19" s="147"/>
      <c r="AF19" s="147">
        <f>Results_exp1_0shot!AI80</f>
        <v>0</v>
      </c>
      <c r="AG19" s="147">
        <f>Results_exp1_0shot!AI81</f>
        <v>1</v>
      </c>
      <c r="AH19" s="147">
        <f>Results_exp1_0shot!AI82</f>
        <v>1</v>
      </c>
      <c r="AI19" s="147">
        <f>Results_exp1_0shot!AI83</f>
        <v>1</v>
      </c>
      <c r="AJ19" s="147">
        <f>Results_exp1_0shot!AI84</f>
        <v>1</v>
      </c>
      <c r="AK19" s="302">
        <f>AVERAGE(AG19:AJ19)</f>
        <v>1</v>
      </c>
      <c r="AM19" s="147">
        <v>272</v>
      </c>
      <c r="AN19" s="147">
        <v>346</v>
      </c>
      <c r="AO19" s="147">
        <v>282</v>
      </c>
      <c r="AP19" s="147">
        <v>306</v>
      </c>
      <c r="AQ19" s="147">
        <v>308</v>
      </c>
      <c r="AR19" s="302">
        <f t="shared" si="5"/>
        <v>302.8</v>
      </c>
    </row>
    <row r="20" spans="1:44">
      <c r="A20" t="s">
        <v>324</v>
      </c>
      <c r="B20" t="str">
        <f>VLOOKUP(A20,Results_exp1_0shot!$A$2:$C$255,3,FALSE)</f>
        <v>8-2</v>
      </c>
      <c r="C20">
        <f>VLOOKUP(A20,Results_exp1_0shot!$A$2:$D$255,4,FALSE)</f>
        <v>0.52174731599712521</v>
      </c>
      <c r="D20" s="147">
        <f>Results_exp1_0shot!R87</f>
        <v>0.72727272727272729</v>
      </c>
      <c r="E20" s="147">
        <f>Results_exp1_0shot!R88</f>
        <v>0.77192982456140358</v>
      </c>
      <c r="F20" s="147">
        <f>Results_exp1_0shot!R89</f>
        <v>0.72727272727272729</v>
      </c>
      <c r="G20" s="147">
        <f>Results_exp1_0shot!R90</f>
        <v>0.83333333333333337</v>
      </c>
      <c r="H20" s="147">
        <f>Results_exp1_0shot!R91</f>
        <v>0.83333333333333337</v>
      </c>
      <c r="I20" s="302">
        <f t="shared" si="0"/>
        <v>0.778628389154705</v>
      </c>
      <c r="J20" s="14"/>
      <c r="K20" s="147">
        <f>Results_exp1_0shot!X87</f>
        <v>0.62500000000000011</v>
      </c>
      <c r="L20" s="147">
        <f>Results_exp1_0shot!X88</f>
        <v>0.77777777777777779</v>
      </c>
      <c r="M20" s="147">
        <f>Results_exp1_0shot!X89</f>
        <v>0.62500000000000011</v>
      </c>
      <c r="N20" s="147">
        <f>Results_exp1_0shot!X90</f>
        <v>0.77777777777777779</v>
      </c>
      <c r="O20" s="147">
        <f>Results_exp1_0shot!X91</f>
        <v>0.77777777777777779</v>
      </c>
      <c r="P20" s="302">
        <f t="shared" si="1"/>
        <v>0.71666666666666667</v>
      </c>
      <c r="R20" s="147">
        <f>Results_exp1_0shot!AD87</f>
        <v>0.64150943396226412</v>
      </c>
      <c r="S20" s="147">
        <f>Results_exp1_0shot!AD88</f>
        <v>0.67924528301886788</v>
      </c>
      <c r="T20" s="147">
        <f>Results_exp1_0shot!AD89</f>
        <v>0.67924528301886788</v>
      </c>
      <c r="U20" s="147">
        <f>Results_exp1_0shot!AD90</f>
        <v>0.71428571428571419</v>
      </c>
      <c r="V20" s="147">
        <f>Results_exp1_0shot!AD91</f>
        <v>0.6428571428571429</v>
      </c>
      <c r="W20" s="302">
        <f t="shared" si="2"/>
        <v>0.67142857142857149</v>
      </c>
      <c r="Y20" s="147">
        <f>Results_exp1_0shot!AH87</f>
        <v>0</v>
      </c>
      <c r="Z20" s="147">
        <f>Results_exp1_0shot!AH88</f>
        <v>0.27272727272727271</v>
      </c>
      <c r="AA20" s="147">
        <f>Results_exp1_0shot!AH89</f>
        <v>0.27272727272727271</v>
      </c>
      <c r="AB20" s="147">
        <f>Results_exp1_0shot!AH90</f>
        <v>0.54545454545454541</v>
      </c>
      <c r="AC20" s="147">
        <f>Results_exp1_0shot!AH91</f>
        <v>0.81818181818181823</v>
      </c>
      <c r="AD20" s="302">
        <f t="shared" si="3"/>
        <v>0.38181818181818183</v>
      </c>
      <c r="AE20" s="147"/>
      <c r="AF20" s="147">
        <f>Results_exp1_0shot!AI87</f>
        <v>0</v>
      </c>
      <c r="AG20" s="147">
        <f>Results_exp1_0shot!AI88</f>
        <v>1</v>
      </c>
      <c r="AH20" s="147">
        <f>Results_exp1_0shot!AI89</f>
        <v>1</v>
      </c>
      <c r="AI20" s="147">
        <f>Results_exp1_0shot!AI90</f>
        <v>1</v>
      </c>
      <c r="AJ20" s="147">
        <f>Results_exp1_0shot!AI91</f>
        <v>1</v>
      </c>
      <c r="AK20" s="302">
        <f>AVERAGE(AG20:AJ20)</f>
        <v>1</v>
      </c>
      <c r="AM20" s="147">
        <v>225</v>
      </c>
      <c r="AN20" s="147">
        <v>334</v>
      </c>
      <c r="AO20" s="147">
        <v>301</v>
      </c>
      <c r="AP20" s="147">
        <v>366</v>
      </c>
      <c r="AQ20" s="147">
        <v>382</v>
      </c>
      <c r="AR20" s="302">
        <f t="shared" si="5"/>
        <v>321.60000000000002</v>
      </c>
    </row>
    <row r="21" spans="1:44" s="7" customFormat="1">
      <c r="A21" s="7" t="s">
        <v>326</v>
      </c>
      <c r="B21" s="7" t="str">
        <f>VLOOKUP(A21,Results_exp1_0shot!$A$2:$C$255,3,FALSE)</f>
        <v>3-7</v>
      </c>
      <c r="C21">
        <f>VLOOKUP(A21,Results_exp1_0shot!$A$2:$D$255,4,FALSE)</f>
        <v>0.56186483688761291</v>
      </c>
      <c r="D21" s="147">
        <f>Results_exp1_0shot!R94</f>
        <v>0.98461538461538467</v>
      </c>
      <c r="E21" s="147">
        <f>Results_exp1_0shot!R95</f>
        <v>0.95238095238095233</v>
      </c>
      <c r="F21" s="147">
        <f>Results_exp1_0shot!R96</f>
        <v>0.98461538461538467</v>
      </c>
      <c r="G21" s="147">
        <f>Results_exp1_0shot!R97</f>
        <v>0.98461538461538467</v>
      </c>
      <c r="H21" s="147">
        <f>Results_exp1_0shot!R98</f>
        <v>0.98461538461538467</v>
      </c>
      <c r="I21" s="302">
        <f t="shared" si="0"/>
        <v>0.97816849816849827</v>
      </c>
      <c r="J21" s="41"/>
      <c r="K21" s="147">
        <f>Results_exp1_0shot!X94</f>
        <v>0.93333333333333335</v>
      </c>
      <c r="L21" s="147">
        <f>Results_exp1_0shot!X95</f>
        <v>0.8571428571428571</v>
      </c>
      <c r="M21" s="147">
        <f>Results_exp1_0shot!X96</f>
        <v>0.93333333333333335</v>
      </c>
      <c r="N21" s="147">
        <f>Results_exp1_0shot!X97</f>
        <v>0.93333333333333335</v>
      </c>
      <c r="O21" s="147">
        <f>Results_exp1_0shot!X98</f>
        <v>0.93333333333333335</v>
      </c>
      <c r="P21" s="302">
        <f t="shared" si="1"/>
        <v>0.91809523809523819</v>
      </c>
      <c r="R21" s="147">
        <f>Results_exp1_0shot!AD94</f>
        <v>0.86153846153846148</v>
      </c>
      <c r="S21" s="147">
        <f>Results_exp1_0shot!AD95</f>
        <v>0.88888888888888895</v>
      </c>
      <c r="T21" s="147">
        <f>Results_exp1_0shot!AD96</f>
        <v>0.86153846153846148</v>
      </c>
      <c r="U21" s="147">
        <f>Results_exp1_0shot!AD97</f>
        <v>0.98461538461538467</v>
      </c>
      <c r="V21" s="147">
        <f>Results_exp1_0shot!AD98</f>
        <v>0.86153846153846148</v>
      </c>
      <c r="W21" s="302">
        <f t="shared" si="2"/>
        <v>0.89162393162393161</v>
      </c>
      <c r="Y21" s="147">
        <f>Results_exp1_0shot!AH94</f>
        <v>0.25</v>
      </c>
      <c r="Z21" s="147">
        <f>Results_exp1_0shot!AH95</f>
        <v>0.625</v>
      </c>
      <c r="AA21" s="147">
        <f>Results_exp1_0shot!AH96</f>
        <v>0.25</v>
      </c>
      <c r="AB21" s="147">
        <f>Results_exp1_0shot!AH97</f>
        <v>1</v>
      </c>
      <c r="AC21" s="147">
        <f>Results_exp1_0shot!AH98</f>
        <v>0.875</v>
      </c>
      <c r="AD21" s="302">
        <f t="shared" si="3"/>
        <v>0.6</v>
      </c>
      <c r="AE21" s="147"/>
      <c r="AF21" s="147">
        <f>Results_exp1_0shot!AI94</f>
        <v>1</v>
      </c>
      <c r="AG21" s="147">
        <f>Results_exp1_0shot!AI95</f>
        <v>1</v>
      </c>
      <c r="AH21" s="147">
        <f>Results_exp1_0shot!AI96</f>
        <v>1</v>
      </c>
      <c r="AI21" s="147">
        <f>Results_exp1_0shot!AI97</f>
        <v>1</v>
      </c>
      <c r="AJ21" s="147">
        <f>Results_exp1_0shot!AI98</f>
        <v>1</v>
      </c>
      <c r="AK21" s="302">
        <f t="shared" si="4"/>
        <v>1</v>
      </c>
      <c r="AM21" s="147">
        <v>269</v>
      </c>
      <c r="AN21" s="147">
        <v>318</v>
      </c>
      <c r="AO21" s="147">
        <v>339</v>
      </c>
      <c r="AP21" s="147">
        <v>376</v>
      </c>
      <c r="AQ21" s="147">
        <v>356</v>
      </c>
      <c r="AR21" s="302">
        <f t="shared" si="5"/>
        <v>331.6</v>
      </c>
    </row>
    <row r="22" spans="1:44" s="5" customFormat="1">
      <c r="A22" s="5" t="s">
        <v>327</v>
      </c>
      <c r="B22" s="5" t="str">
        <f>VLOOKUP(A22,Results_exp1_0shot!$A$2:$C$255,3,FALSE)</f>
        <v>3-8</v>
      </c>
      <c r="C22">
        <f>VLOOKUP(A22,Results_exp1_0shot!$A$2:$D$255,4,FALSE)</f>
        <v>0.58694356495428268</v>
      </c>
      <c r="D22" s="150">
        <f>Results_exp1_0shot!R101</f>
        <v>0.78688524590163944</v>
      </c>
      <c r="E22" s="150">
        <f>Results_exp1_0shot!R102</f>
        <v>0.78688524590163944</v>
      </c>
      <c r="F22" s="150">
        <f>Results_exp1_0shot!R103</f>
        <v>0.77419354838709675</v>
      </c>
      <c r="G22" s="150">
        <f>Results_exp1_0shot!R104</f>
        <v>0.8125</v>
      </c>
      <c r="H22" s="150">
        <f>Results_exp1_0shot!R105</f>
        <v>0.78688524590163944</v>
      </c>
      <c r="I22" s="302">
        <f t="shared" si="0"/>
        <v>0.78946985721840301</v>
      </c>
      <c r="J22" s="180"/>
      <c r="K22" s="150">
        <f>Results_exp1_0shot!X101</f>
        <v>0.66666666666666663</v>
      </c>
      <c r="L22" s="150">
        <f>Results_exp1_0shot!X102</f>
        <v>0.93333333333333335</v>
      </c>
      <c r="M22" s="150">
        <f>Results_exp1_0shot!X103</f>
        <v>0.66666666666666663</v>
      </c>
      <c r="N22" s="150">
        <f>Results_exp1_0shot!X104</f>
        <v>0.79999999999999993</v>
      </c>
      <c r="O22" s="150">
        <f>Results_exp1_0shot!X105</f>
        <v>0.66666666666666663</v>
      </c>
      <c r="P22" s="302">
        <f t="shared" si="1"/>
        <v>0.74666666666666659</v>
      </c>
      <c r="R22" s="150">
        <f>Results_exp1_0shot!AD101</f>
        <v>0.62745098039215685</v>
      </c>
      <c r="S22" s="150">
        <f>Results_exp1_0shot!AD102</f>
        <v>0.5490196078431373</v>
      </c>
      <c r="T22" s="150">
        <f>Results_exp1_0shot!AD103</f>
        <v>0.57692307692307698</v>
      </c>
      <c r="U22" s="150">
        <f>Results_exp1_0shot!AD104</f>
        <v>0.81481481481481477</v>
      </c>
      <c r="V22" s="150">
        <f>Results_exp1_0shot!AD105</f>
        <v>0.70588235294117652</v>
      </c>
      <c r="W22" s="302">
        <f t="shared" si="2"/>
        <v>0.65481816658287251</v>
      </c>
      <c r="Y22" s="150">
        <f>Results_exp1_0shot!AH101</f>
        <v>8.3333333333333329E-2</v>
      </c>
      <c r="Z22" s="150">
        <f>Results_exp1_0shot!AH102</f>
        <v>0.33333333333333331</v>
      </c>
      <c r="AA22" s="150">
        <f>Results_exp1_0shot!AH103</f>
        <v>0.16666666666666666</v>
      </c>
      <c r="AB22" s="150">
        <f>Results_exp1_0shot!AH104</f>
        <v>0.16666666666666666</v>
      </c>
      <c r="AC22" s="150">
        <f>Results_exp1_0shot!AH105</f>
        <v>0.16666666666666666</v>
      </c>
      <c r="AD22" s="302">
        <f t="shared" si="3"/>
        <v>0.18333333333333329</v>
      </c>
      <c r="AE22" s="150"/>
      <c r="AF22" s="150">
        <f>Results_exp1_0shot!AI101</f>
        <v>1</v>
      </c>
      <c r="AG22" s="150">
        <f>Results_exp1_0shot!AI102</f>
        <v>1</v>
      </c>
      <c r="AH22" s="150">
        <f>Results_exp1_0shot!AI103</f>
        <v>1</v>
      </c>
      <c r="AI22" s="150">
        <f>Results_exp1_0shot!AI104</f>
        <v>1</v>
      </c>
      <c r="AJ22" s="150">
        <f>Results_exp1_0shot!AI105</f>
        <v>0.5</v>
      </c>
      <c r="AK22" s="302">
        <f t="shared" si="4"/>
        <v>0.9</v>
      </c>
      <c r="AM22" s="150">
        <v>181</v>
      </c>
      <c r="AN22" s="150">
        <v>281</v>
      </c>
      <c r="AO22" s="150">
        <v>263</v>
      </c>
      <c r="AP22" s="150">
        <v>230</v>
      </c>
      <c r="AQ22" s="150">
        <v>295</v>
      </c>
      <c r="AR22" s="302">
        <f t="shared" si="5"/>
        <v>250</v>
      </c>
    </row>
    <row r="23" spans="1:44" s="7" customFormat="1">
      <c r="A23" s="1" t="s">
        <v>660</v>
      </c>
      <c r="B23" s="1"/>
      <c r="C23" s="1"/>
      <c r="D23" s="151">
        <f>AVERAGE(D8:D22)</f>
        <v>0.87274083983316086</v>
      </c>
      <c r="E23" s="151">
        <f t="shared" ref="E23:K23" si="6">AVERAGE(E8:E22)</f>
        <v>0.84288773920063298</v>
      </c>
      <c r="F23" s="151">
        <f t="shared" si="6"/>
        <v>0.86480400556710135</v>
      </c>
      <c r="G23" s="196">
        <f t="shared" si="6"/>
        <v>0.88052536461815678</v>
      </c>
      <c r="H23" s="151">
        <f t="shared" si="6"/>
        <v>0.87072830867354722</v>
      </c>
      <c r="I23" s="303"/>
      <c r="J23" s="41"/>
      <c r="K23" s="151">
        <f t="shared" si="6"/>
        <v>0.79660496366378719</v>
      </c>
      <c r="L23" s="151">
        <f>AVERAGE(L8:L22)</f>
        <v>0.79261156513478503</v>
      </c>
      <c r="M23" s="151">
        <f>AVERAGE(M8:M22)</f>
        <v>0.79798624492122938</v>
      </c>
      <c r="N23" s="196">
        <f>AVERAGE(N8:N22)</f>
        <v>0.83788533906180973</v>
      </c>
      <c r="O23" s="151">
        <f>AVERAGE(O8:O22)</f>
        <v>0.80943996091054915</v>
      </c>
      <c r="P23" s="303"/>
      <c r="R23" s="151">
        <f>AVERAGE(R8:R22)</f>
        <v>0.78002326975677849</v>
      </c>
      <c r="S23" s="151">
        <f>AVERAGE(S8:S22)</f>
        <v>0.76246278974769077</v>
      </c>
      <c r="T23" s="151">
        <f>AVERAGE(T8:T22)</f>
        <v>0.77857911759530729</v>
      </c>
      <c r="U23" s="196">
        <f>AVERAGE(U8:U22)</f>
        <v>0.85190874343048251</v>
      </c>
      <c r="V23" s="151">
        <f>AVERAGE(V8:V22)</f>
        <v>0.77692546435147825</v>
      </c>
      <c r="W23" s="303"/>
      <c r="Y23" s="151">
        <f>AVERAGE(Y8:Y22)</f>
        <v>0.25182539682539684</v>
      </c>
      <c r="Z23" s="196">
        <f>AVERAGE(Z8:Z22)</f>
        <v>0.64990620490620499</v>
      </c>
      <c r="AA23" s="151">
        <f>AVERAGE(AA8:AA22)</f>
        <v>0.53554112554112554</v>
      </c>
      <c r="AB23" s="151">
        <f>AVERAGE(AB8:AB22)</f>
        <v>0.53665945165945161</v>
      </c>
      <c r="AC23" s="151">
        <f>AVERAGE(AC8:AC22)</f>
        <v>0.53896825396825387</v>
      </c>
      <c r="AD23" s="303"/>
      <c r="AE23" s="147"/>
      <c r="AF23" s="151">
        <f>AVERAGE(AF8:AF9,AF12:AF13,AF15:AF18,AF21:AF22)</f>
        <v>1</v>
      </c>
      <c r="AG23" s="151">
        <f>AVERAGE(AG8:AG22)</f>
        <v>0.964021164021164</v>
      </c>
      <c r="AH23" s="196">
        <f>AVERAGE(AH8:AH22)</f>
        <v>0.99259259259259258</v>
      </c>
      <c r="AI23" s="151">
        <f>AVERAGE(AI8:AI22)</f>
        <v>0.9916666666666667</v>
      </c>
      <c r="AJ23" s="151">
        <f>AVERAGE(AJ8:AJ22)</f>
        <v>0.92740740740740746</v>
      </c>
      <c r="AK23" s="303"/>
      <c r="AM23" s="188">
        <f>AVERAGE(AM8:AM22)</f>
        <v>245.86666666666667</v>
      </c>
      <c r="AN23" s="209">
        <f>AVERAGE(AN8:AN22)</f>
        <v>314.93333333333334</v>
      </c>
      <c r="AO23" s="188">
        <f>AVERAGE(AO8:AO22)</f>
        <v>287.46666666666664</v>
      </c>
      <c r="AP23" s="216">
        <f>AVERAGE(AP8:AP22)</f>
        <v>294.73333333333335</v>
      </c>
      <c r="AQ23" s="188">
        <f>AVERAGE(AQ8:AQ22)</f>
        <v>300.13333333333333</v>
      </c>
      <c r="AR23" s="303"/>
    </row>
    <row r="24" spans="1:44" s="7" customFormat="1">
      <c r="A24" s="1" t="s">
        <v>659</v>
      </c>
      <c r="B24" s="1"/>
      <c r="C24" s="1"/>
      <c r="D24" s="331">
        <f>AVERAGE(D8:H22)</f>
        <v>0.86633725157851948</v>
      </c>
      <c r="E24" s="331"/>
      <c r="F24" s="331"/>
      <c r="G24" s="331"/>
      <c r="H24" s="331"/>
      <c r="I24" s="303"/>
      <c r="J24" s="41"/>
      <c r="K24" s="331">
        <f>AVERAGE(K8:O22)</f>
        <v>0.80690561473843136</v>
      </c>
      <c r="L24" s="331"/>
      <c r="M24" s="331"/>
      <c r="N24" s="331"/>
      <c r="O24" s="331"/>
      <c r="P24" s="303"/>
      <c r="R24" s="331">
        <f>AVERAGE(R8:V22)</f>
        <v>0.78997987697634731</v>
      </c>
      <c r="S24" s="331"/>
      <c r="T24" s="331"/>
      <c r="U24" s="331"/>
      <c r="V24" s="331"/>
      <c r="W24" s="303"/>
      <c r="Y24" s="331">
        <f>AVERAGE(Y8:AC22)</f>
        <v>0.50258008658008668</v>
      </c>
      <c r="Z24" s="331"/>
      <c r="AA24" s="331"/>
      <c r="AB24" s="331"/>
      <c r="AC24" s="331"/>
      <c r="AD24" s="303"/>
      <c r="AE24" s="147"/>
      <c r="AF24" s="331">
        <f>AVERAGE(AF8:AJ9,AG10:AJ22,AF12:AF13,AF15:AF18,AF21:AF22)</f>
        <v>0.97336167800453499</v>
      </c>
      <c r="AG24" s="331"/>
      <c r="AH24" s="331"/>
      <c r="AI24" s="331"/>
      <c r="AJ24" s="331"/>
      <c r="AK24" s="303"/>
      <c r="AM24" s="331">
        <f>AVERAGE(AM8:AQ22)</f>
        <v>288.62666666666667</v>
      </c>
      <c r="AN24" s="331"/>
      <c r="AO24" s="331"/>
      <c r="AP24" s="331"/>
      <c r="AQ24" s="331"/>
      <c r="AR24" s="303"/>
    </row>
    <row r="25" spans="1:44" s="7" customFormat="1">
      <c r="A25" s="1"/>
      <c r="B25" s="1"/>
      <c r="C25" s="1"/>
      <c r="D25" s="151"/>
      <c r="E25" s="149"/>
      <c r="F25" s="149"/>
      <c r="G25" s="149"/>
      <c r="H25" s="149"/>
      <c r="I25" s="304"/>
      <c r="J25" s="41"/>
      <c r="K25" s="151"/>
      <c r="L25" s="149"/>
      <c r="M25" s="149"/>
      <c r="N25" s="149"/>
      <c r="O25" s="149"/>
      <c r="P25" s="304"/>
      <c r="R25" s="151"/>
      <c r="S25" s="149"/>
      <c r="T25" s="149"/>
      <c r="U25" s="149"/>
      <c r="V25" s="149"/>
      <c r="W25" s="304"/>
      <c r="Y25" s="151"/>
      <c r="Z25" s="151"/>
      <c r="AA25" s="149"/>
      <c r="AB25" s="149"/>
      <c r="AC25" s="149"/>
      <c r="AD25" s="304"/>
      <c r="AE25" s="147"/>
      <c r="AF25" s="151"/>
      <c r="AG25" s="149"/>
      <c r="AH25" s="149"/>
      <c r="AI25" s="151"/>
      <c r="AJ25" s="149"/>
      <c r="AK25" s="304"/>
      <c r="AM25" s="188"/>
      <c r="AN25" s="149"/>
      <c r="AO25" s="149"/>
      <c r="AP25" s="149"/>
      <c r="AQ25" s="149"/>
      <c r="AR25" s="304"/>
    </row>
    <row r="26" spans="1:44" s="24" customFormat="1">
      <c r="A26" s="4" t="s">
        <v>657</v>
      </c>
      <c r="D26" s="183"/>
      <c r="E26" s="183"/>
      <c r="F26" s="183"/>
      <c r="G26" s="183"/>
      <c r="H26" s="183"/>
      <c r="I26" s="305"/>
      <c r="J26" s="184"/>
      <c r="K26" s="185"/>
      <c r="L26" s="185"/>
      <c r="M26" s="185"/>
      <c r="N26" s="185"/>
      <c r="O26" s="185"/>
      <c r="P26" s="305"/>
      <c r="R26" s="183"/>
      <c r="S26" s="183"/>
      <c r="T26" s="183"/>
      <c r="U26" s="183"/>
      <c r="V26" s="183"/>
      <c r="W26" s="305"/>
      <c r="Y26" s="183"/>
      <c r="Z26" s="183"/>
      <c r="AA26" s="183"/>
      <c r="AB26" s="183"/>
      <c r="AC26" s="183"/>
      <c r="AD26" s="305"/>
      <c r="AE26" s="183"/>
      <c r="AF26" s="183"/>
      <c r="AG26" s="183"/>
      <c r="AH26" s="183"/>
      <c r="AI26" s="183"/>
      <c r="AJ26" s="183"/>
      <c r="AK26" s="305"/>
      <c r="AM26" s="183"/>
      <c r="AN26" s="183"/>
      <c r="AO26" s="183"/>
      <c r="AP26" s="183"/>
      <c r="AQ26" s="183"/>
      <c r="AR26" s="305"/>
    </row>
    <row r="27" spans="1:44">
      <c r="A27" t="s">
        <v>328</v>
      </c>
      <c r="B27" t="str">
        <f>VLOOKUP(A27,Results_exp1_0shot!$A$2:$C$255,3,FALSE)</f>
        <v>10-12</v>
      </c>
      <c r="C27">
        <f>VLOOKUP(A27,Results_exp1_0shot!$A$2:$D$255,4,FALSE)</f>
        <v>0.61852981482680436</v>
      </c>
      <c r="D27" s="147">
        <f>Results_exp1_0shot!R108</f>
        <v>0.79411764705882348</v>
      </c>
      <c r="E27" s="147">
        <f>Results_exp1_0shot!R109</f>
        <v>0.78125</v>
      </c>
      <c r="F27" s="147">
        <f>Results_exp1_0shot!R110</f>
        <v>0.78125</v>
      </c>
      <c r="G27" s="147">
        <f>Results_exp1_0shot!R111</f>
        <v>0.71875</v>
      </c>
      <c r="H27" s="147">
        <f>Results_exp1_0shot!R112</f>
        <v>0.78125</v>
      </c>
      <c r="I27" s="302">
        <f t="shared" ref="I27:I38" si="7">AVERAGE(D27:H27)</f>
        <v>0.77132352941176463</v>
      </c>
      <c r="J27" s="14"/>
      <c r="K27" s="147">
        <f>Results_exp1_0shot!X108</f>
        <v>0.57142857142857151</v>
      </c>
      <c r="L27" s="147">
        <f>Results_exp1_0shot!X109</f>
        <v>0.63636363636363646</v>
      </c>
      <c r="M27" s="147">
        <f>Results_exp1_0shot!X110</f>
        <v>0.63636363636363646</v>
      </c>
      <c r="N27" s="147">
        <f>Results_exp1_0shot!X111</f>
        <v>0.6</v>
      </c>
      <c r="O27" s="147">
        <f>Results_exp1_0shot!X112</f>
        <v>0.63636363636363646</v>
      </c>
      <c r="P27" s="302">
        <f t="shared" ref="P27:P38" si="8">AVERAGE(K27:O27)</f>
        <v>0.61610389610389615</v>
      </c>
      <c r="R27" s="147">
        <f>Results_exp1_0shot!AD108</f>
        <v>0.74193548387096775</v>
      </c>
      <c r="S27" s="147">
        <f>Results_exp1_0shot!AD109</f>
        <v>0.72413793103448276</v>
      </c>
      <c r="T27" s="147">
        <f>Results_exp1_0shot!AD110</f>
        <v>0.86206896551724144</v>
      </c>
      <c r="U27" s="147">
        <f>Results_exp1_0shot!AD111</f>
        <v>0.86206896551724144</v>
      </c>
      <c r="V27" s="147">
        <f>Results_exp1_0shot!AD112</f>
        <v>0.86206896551724144</v>
      </c>
      <c r="W27" s="302">
        <f t="shared" ref="W27:W38" si="9">AVERAGE(R27:V27)</f>
        <v>0.81045606229143508</v>
      </c>
      <c r="Y27" s="147">
        <f>Results_exp1_0shot!AH108</f>
        <v>6.6666666666666666E-2</v>
      </c>
      <c r="Z27" s="147">
        <f>Results_exp1_0shot!AH109</f>
        <v>0.33333333333333331</v>
      </c>
      <c r="AA27" s="147">
        <f>Results_exp1_0shot!AH110</f>
        <v>0.13333333333333333</v>
      </c>
      <c r="AB27" s="147">
        <f>Results_exp1_0shot!AH111</f>
        <v>0.2</v>
      </c>
      <c r="AC27" s="147">
        <f>Results_exp1_0shot!AH112</f>
        <v>0.13333333333333333</v>
      </c>
      <c r="AD27" s="302">
        <f t="shared" ref="AD27:AD38" si="10">AVERAGE(Y27:AC27)</f>
        <v>0.17333333333333334</v>
      </c>
      <c r="AE27" s="147"/>
      <c r="AF27" s="147">
        <f>Results_exp1_0shot!AI108</f>
        <v>1</v>
      </c>
      <c r="AG27" s="147">
        <f>Results_exp1_0shot!AI109</f>
        <v>1</v>
      </c>
      <c r="AH27" s="147">
        <f>Results_exp1_0shot!AI110</f>
        <v>1</v>
      </c>
      <c r="AI27" s="147">
        <f>Results_exp1_0shot!AI111</f>
        <v>1</v>
      </c>
      <c r="AJ27" s="147">
        <f>Results_exp1_0shot!AI112</f>
        <v>1</v>
      </c>
      <c r="AK27" s="302">
        <f t="shared" ref="AK27:AK38" si="11">AVERAGE(AF27:AJ27)</f>
        <v>1</v>
      </c>
      <c r="AM27" s="147">
        <v>411</v>
      </c>
      <c r="AN27" s="147">
        <v>296</v>
      </c>
      <c r="AO27" s="147">
        <v>294</v>
      </c>
      <c r="AP27" s="147">
        <v>303</v>
      </c>
      <c r="AQ27" s="147">
        <v>340</v>
      </c>
      <c r="AR27" s="302">
        <f t="shared" ref="AR27:AR38" si="12">AVERAGE(AM27:AQ27)</f>
        <v>328.8</v>
      </c>
    </row>
    <row r="28" spans="1:44">
      <c r="A28" t="s">
        <v>329</v>
      </c>
      <c r="B28" t="str">
        <f>VLOOKUP(A28,Results_exp1_0shot!$A$2:$C$255,3,FALSE)</f>
        <v>3-1</v>
      </c>
      <c r="C28">
        <f>VLOOKUP(A28,Results_exp1_0shot!$A$2:$D$255,4,FALSE)</f>
        <v>0.68692634591772206</v>
      </c>
      <c r="D28" s="147">
        <f>Results_exp1_0shot!R115</f>
        <v>0.58181818181818179</v>
      </c>
      <c r="E28" s="147">
        <f>Results_exp1_0shot!R116</f>
        <v>0.56603773584905659</v>
      </c>
      <c r="F28" s="147">
        <f>Results_exp1_0shot!R117</f>
        <v>0.56603773584905659</v>
      </c>
      <c r="G28" s="147">
        <f>Results_exp1_0shot!R118</f>
        <v>0.64285714285714279</v>
      </c>
      <c r="H28" s="147">
        <f>Results_exp1_0shot!R119</f>
        <v>0.65454545454545454</v>
      </c>
      <c r="I28" s="302">
        <f t="shared" si="7"/>
        <v>0.60225925018377846</v>
      </c>
      <c r="J28" s="14"/>
      <c r="K28" s="147">
        <f>Results_exp1_0shot!X115</f>
        <v>0.82352941176470595</v>
      </c>
      <c r="L28" s="147">
        <f>Results_exp1_0shot!X116</f>
        <v>0.82352941176470595</v>
      </c>
      <c r="M28" s="147">
        <f>Results_exp1_0shot!X117</f>
        <v>0.82352941176470595</v>
      </c>
      <c r="N28" s="147">
        <f>Results_exp1_0shot!X118</f>
        <v>0.75</v>
      </c>
      <c r="O28" s="147">
        <f>Results_exp1_0shot!X119</f>
        <v>0.82352941176470595</v>
      </c>
      <c r="P28" s="302">
        <f t="shared" si="8"/>
        <v>0.80882352941176472</v>
      </c>
      <c r="R28" s="147">
        <f>Results_exp1_0shot!AD115</f>
        <v>0.48888888888888887</v>
      </c>
      <c r="S28" s="147">
        <f>Results_exp1_0shot!AD116</f>
        <v>0.41860465116279066</v>
      </c>
      <c r="T28" s="147">
        <f>Results_exp1_0shot!AD117</f>
        <v>0.41860465116279066</v>
      </c>
      <c r="U28" s="147">
        <f>Results_exp1_0shot!AD118</f>
        <v>0.60869565217391297</v>
      </c>
      <c r="V28" s="147">
        <f>Results_exp1_0shot!AD119</f>
        <v>0.57777777777777783</v>
      </c>
      <c r="W28" s="302">
        <f t="shared" si="9"/>
        <v>0.50251432423323217</v>
      </c>
      <c r="Y28" s="147">
        <f>Results_exp1_0shot!AH115</f>
        <v>0.5</v>
      </c>
      <c r="Z28" s="147">
        <f>Results_exp1_0shot!AH116</f>
        <v>0.5</v>
      </c>
      <c r="AA28" s="147">
        <f>Results_exp1_0shot!AH117</f>
        <v>0.75</v>
      </c>
      <c r="AB28" s="147">
        <f>Results_exp1_0shot!AH118</f>
        <v>0.25</v>
      </c>
      <c r="AC28" s="147">
        <f>Results_exp1_0shot!AH119</f>
        <v>0.375</v>
      </c>
      <c r="AD28" s="302">
        <f t="shared" si="10"/>
        <v>0.47499999999999998</v>
      </c>
      <c r="AE28" s="147"/>
      <c r="AF28" s="147">
        <f>Results_exp1_0shot!AI115</f>
        <v>1</v>
      </c>
      <c r="AG28" s="147">
        <f>Results_exp1_0shot!AI116</f>
        <v>1</v>
      </c>
      <c r="AH28" s="147">
        <f>Results_exp1_0shot!AI117</f>
        <v>1</v>
      </c>
      <c r="AI28" s="147">
        <f>Results_exp1_0shot!AI118</f>
        <v>1</v>
      </c>
      <c r="AJ28" s="147">
        <f>Results_exp1_0shot!AI119</f>
        <v>1</v>
      </c>
      <c r="AK28" s="302">
        <f t="shared" si="11"/>
        <v>1</v>
      </c>
      <c r="AM28" s="147">
        <v>289</v>
      </c>
      <c r="AN28" s="147">
        <v>302</v>
      </c>
      <c r="AO28" s="147">
        <v>337</v>
      </c>
      <c r="AP28" s="147">
        <v>292</v>
      </c>
      <c r="AQ28" s="147">
        <v>311</v>
      </c>
      <c r="AR28" s="302">
        <f t="shared" si="12"/>
        <v>306.2</v>
      </c>
    </row>
    <row r="29" spans="1:44" s="7" customFormat="1">
      <c r="A29" t="s">
        <v>330</v>
      </c>
      <c r="B29" t="str">
        <f>VLOOKUP(A29,Results_exp1_0shot!$A$2:$C$255,3,FALSE)</f>
        <v>5-3</v>
      </c>
      <c r="C29">
        <f>VLOOKUP(A29,Results_exp1_0shot!$A$2:$D$255,4,FALSE)</f>
        <v>0.71688008599465802</v>
      </c>
      <c r="D29" s="147">
        <f>Results_exp1_0shot!R122</f>
        <v>0.89230769230769225</v>
      </c>
      <c r="E29" s="147">
        <f>Results_exp1_0shot!R123</f>
        <v>0.86153846153846148</v>
      </c>
      <c r="F29" s="147">
        <f>Results_exp1_0shot!R124</f>
        <v>0.86153846153846148</v>
      </c>
      <c r="G29" s="147">
        <f>Results_exp1_0shot!R125</f>
        <v>0.89230769230769225</v>
      </c>
      <c r="H29" s="147">
        <f>Results_exp1_0shot!R126</f>
        <v>0.86153846153846148</v>
      </c>
      <c r="I29" s="302">
        <f t="shared" si="7"/>
        <v>0.87384615384615372</v>
      </c>
      <c r="J29" s="41"/>
      <c r="K29" s="147">
        <f>Results_exp1_0shot!X122</f>
        <v>0.72727272727272718</v>
      </c>
      <c r="L29" s="147">
        <f>Results_exp1_0shot!X123</f>
        <v>0.63636363636363646</v>
      </c>
      <c r="M29" s="147">
        <f>Results_exp1_0shot!X124</f>
        <v>0.63636363636363646</v>
      </c>
      <c r="N29" s="147">
        <f>Results_exp1_0shot!X125</f>
        <v>0.72727272727272718</v>
      </c>
      <c r="O29" s="147">
        <f>Results_exp1_0shot!X126</f>
        <v>0.63636363636363646</v>
      </c>
      <c r="P29" s="302">
        <f t="shared" si="8"/>
        <v>0.67272727272727262</v>
      </c>
      <c r="R29" s="147">
        <f>Results_exp1_0shot!AD122</f>
        <v>0.86206896551724133</v>
      </c>
      <c r="S29" s="147">
        <f>Results_exp1_0shot!AD123</f>
        <v>0.86206896551724133</v>
      </c>
      <c r="T29" s="147">
        <f>Results_exp1_0shot!AD124</f>
        <v>0.86206896551724133</v>
      </c>
      <c r="U29" s="147">
        <f>Results_exp1_0shot!AD125</f>
        <v>0.86206896551724133</v>
      </c>
      <c r="V29" s="147">
        <f>Results_exp1_0shot!AD126</f>
        <v>0.86206896551724133</v>
      </c>
      <c r="W29" s="302">
        <f t="shared" si="9"/>
        <v>0.86206896551724133</v>
      </c>
      <c r="Y29" s="147">
        <f>Results_exp1_0shot!AH122</f>
        <v>0</v>
      </c>
      <c r="Z29" s="147">
        <f>Results_exp1_0shot!AH123</f>
        <v>6.6666666666666666E-2</v>
      </c>
      <c r="AA29" s="147">
        <f>Results_exp1_0shot!AH124</f>
        <v>0</v>
      </c>
      <c r="AB29" s="147">
        <f>Results_exp1_0shot!AH125</f>
        <v>0</v>
      </c>
      <c r="AC29" s="147">
        <f>Results_exp1_0shot!AH126</f>
        <v>0.2</v>
      </c>
      <c r="AD29" s="302">
        <f t="shared" si="10"/>
        <v>5.333333333333333E-2</v>
      </c>
      <c r="AE29" s="147"/>
      <c r="AF29" s="147">
        <f>Results_exp1_0shot!AI122</f>
        <v>0</v>
      </c>
      <c r="AG29" s="147">
        <f>Results_exp1_0shot!AI123</f>
        <v>1</v>
      </c>
      <c r="AH29" s="147">
        <f>Results_exp1_0shot!AI124</f>
        <v>0</v>
      </c>
      <c r="AI29" s="147">
        <f>Results_exp1_0shot!AI125</f>
        <v>0</v>
      </c>
      <c r="AJ29" s="147">
        <f>Results_exp1_0shot!AI126</f>
        <v>1</v>
      </c>
      <c r="AK29" s="302">
        <f>AVERAGE(AJ29,AG29)</f>
        <v>1</v>
      </c>
      <c r="AM29" s="147">
        <v>328</v>
      </c>
      <c r="AN29" s="147">
        <v>355</v>
      </c>
      <c r="AO29" s="147">
        <v>294</v>
      </c>
      <c r="AP29" s="147">
        <v>316</v>
      </c>
      <c r="AQ29" s="147">
        <v>348</v>
      </c>
      <c r="AR29" s="302">
        <f t="shared" si="12"/>
        <v>328.2</v>
      </c>
    </row>
    <row r="30" spans="1:44">
      <c r="A30" s="7" t="s">
        <v>325</v>
      </c>
      <c r="B30" t="str">
        <f>VLOOKUP(A30,Results_exp1_0shot!$A$2:$C$255,3,FALSE)</f>
        <v>9-3</v>
      </c>
      <c r="C30">
        <f>VLOOKUP(A30,Results_exp1_0shot!$A$2:$D$255,4,FALSE)</f>
        <v>0.76840547274981619</v>
      </c>
      <c r="D30" s="147">
        <f>Results_exp1_0shot!R129</f>
        <v>0.66666666666666663</v>
      </c>
      <c r="E30" s="147">
        <f>Results_exp1_0shot!R130</f>
        <v>0.65624999999999989</v>
      </c>
      <c r="F30" s="147">
        <f>Results_exp1_0shot!R131</f>
        <v>0.68750000000000011</v>
      </c>
      <c r="G30" s="147">
        <f>Results_exp1_0shot!R132</f>
        <v>0.74626865671641796</v>
      </c>
      <c r="H30" s="147">
        <f>Results_exp1_0shot!R133</f>
        <v>0.79999999999999993</v>
      </c>
      <c r="I30" s="302">
        <f t="shared" si="7"/>
        <v>0.71133706467661684</v>
      </c>
      <c r="J30" s="14"/>
      <c r="K30" s="147">
        <f>Results_exp1_0shot!X129</f>
        <v>0.5</v>
      </c>
      <c r="L30" s="147">
        <f>Results_exp1_0shot!X130</f>
        <v>0.57142857142857129</v>
      </c>
      <c r="M30" s="147">
        <f>Results_exp1_0shot!X131</f>
        <v>0.6</v>
      </c>
      <c r="N30" s="147">
        <f>Results_exp1_0shot!X132</f>
        <v>0.66666666666666663</v>
      </c>
      <c r="O30" s="147">
        <f>Results_exp1_0shot!X133</f>
        <v>0.72727272727272729</v>
      </c>
      <c r="P30" s="302">
        <f t="shared" si="8"/>
        <v>0.6130735930735931</v>
      </c>
      <c r="R30" s="147">
        <f>Results_exp1_0shot!AD129</f>
        <v>0.51851851851851849</v>
      </c>
      <c r="S30" s="147">
        <f>Results_exp1_0shot!AD130</f>
        <v>0.57142857142857151</v>
      </c>
      <c r="T30" s="147">
        <f>Results_exp1_0shot!AD131</f>
        <v>0.6428571428571429</v>
      </c>
      <c r="U30" s="147">
        <f>Results_exp1_0shot!AD132</f>
        <v>0.84745762711864403</v>
      </c>
      <c r="V30" s="147">
        <f>Results_exp1_0shot!AD133</f>
        <v>0.93548387096774188</v>
      </c>
      <c r="W30" s="302">
        <f t="shared" si="9"/>
        <v>0.70314914617812385</v>
      </c>
      <c r="Y30" s="147">
        <f>Results_exp1_0shot!AH129</f>
        <v>0.125</v>
      </c>
      <c r="Z30" s="147">
        <f>Results_exp1_0shot!AH130</f>
        <v>0.25</v>
      </c>
      <c r="AA30" s="147">
        <f>Results_exp1_0shot!AH131</f>
        <v>0.25</v>
      </c>
      <c r="AB30" s="147">
        <f>Results_exp1_0shot!AH132</f>
        <v>6.25E-2</v>
      </c>
      <c r="AC30" s="147">
        <f>Results_exp1_0shot!AH133</f>
        <v>6.25E-2</v>
      </c>
      <c r="AD30" s="302">
        <f t="shared" si="10"/>
        <v>0.15</v>
      </c>
      <c r="AE30" s="147"/>
      <c r="AF30" s="147">
        <f>Results_exp1_0shot!AI129</f>
        <v>1</v>
      </c>
      <c r="AG30" s="147">
        <f>Results_exp1_0shot!AI130</f>
        <v>0.8</v>
      </c>
      <c r="AH30" s="147">
        <f>Results_exp1_0shot!AI131</f>
        <v>1</v>
      </c>
      <c r="AI30" s="147">
        <f>Results_exp1_0shot!AI132</f>
        <v>1</v>
      </c>
      <c r="AJ30" s="147">
        <f>Results_exp1_0shot!AI133</f>
        <v>1</v>
      </c>
      <c r="AK30" s="302">
        <f>AVERAGE(AF30:AJ30)</f>
        <v>0.96</v>
      </c>
      <c r="AM30" s="147">
        <v>202</v>
      </c>
      <c r="AN30" s="147">
        <v>271</v>
      </c>
      <c r="AO30" s="147">
        <v>297</v>
      </c>
      <c r="AP30" s="147">
        <v>352</v>
      </c>
      <c r="AQ30" s="147">
        <v>459</v>
      </c>
      <c r="AR30" s="302">
        <f t="shared" si="12"/>
        <v>316.2</v>
      </c>
    </row>
    <row r="31" spans="1:44">
      <c r="A31" t="s">
        <v>331</v>
      </c>
      <c r="B31" t="str">
        <f>VLOOKUP(A31,Results_exp1_0shot!$A$2:$C$255,3,FALSE)</f>
        <v>1-1</v>
      </c>
      <c r="C31">
        <f>VLOOKUP(A31,Results_exp1_0shot!$A$2:$D$255,4,FALSE)</f>
        <v>0.95238369736820083</v>
      </c>
      <c r="D31" s="147">
        <f>Results_exp1_0shot!R136</f>
        <v>0.78873239436619713</v>
      </c>
      <c r="E31" s="147">
        <f>Results_exp1_0shot!R137</f>
        <v>0.76712328767123283</v>
      </c>
      <c r="F31" s="147">
        <f>Results_exp1_0shot!R138</f>
        <v>0.78947368421052622</v>
      </c>
      <c r="G31" s="147">
        <f>Results_exp1_0shot!R146</f>
        <v>0.8</v>
      </c>
      <c r="H31" s="147">
        <f>Results_exp1_0shot!R140</f>
        <v>0.76315789473684226</v>
      </c>
      <c r="I31" s="302">
        <f t="shared" si="7"/>
        <v>0.78169745219695963</v>
      </c>
      <c r="J31" s="14"/>
      <c r="K31" s="147">
        <f>Results_exp1_0shot!X136</f>
        <v>0.61538461538461542</v>
      </c>
      <c r="L31" s="147">
        <f>Results_exp1_0shot!X137</f>
        <v>0.57142857142857151</v>
      </c>
      <c r="M31" s="147">
        <f>Results_exp1_0shot!X138</f>
        <v>0.57142857142857151</v>
      </c>
      <c r="N31" s="147">
        <f>Results_exp1_0shot!X146</f>
        <v>0.58333333333333337</v>
      </c>
      <c r="O31" s="147">
        <f>Results_exp1_0shot!X140</f>
        <v>0.57142857142857151</v>
      </c>
      <c r="P31" s="302">
        <f t="shared" si="8"/>
        <v>0.58260073260073275</v>
      </c>
      <c r="R31" s="147">
        <f>Results_exp1_0shot!AD136</f>
        <v>0.53125</v>
      </c>
      <c r="S31" s="147">
        <f>Results_exp1_0shot!AD137</f>
        <v>0.60606060606060608</v>
      </c>
      <c r="T31" s="147">
        <f>Results_exp1_0shot!AD138</f>
        <v>0.66666666666666663</v>
      </c>
      <c r="U31" s="147">
        <f>Results_exp1_0shot!AD146</f>
        <v>0.89552238805970141</v>
      </c>
      <c r="V31" s="147">
        <f>Results_exp1_0shot!AD140</f>
        <v>0.66666666666666663</v>
      </c>
      <c r="W31" s="302">
        <f t="shared" si="9"/>
        <v>0.67323326549072804</v>
      </c>
      <c r="Y31" s="147">
        <f>Results_exp1_0shot!AH136</f>
        <v>0</v>
      </c>
      <c r="Z31" s="147">
        <f>Results_exp1_0shot!AH137</f>
        <v>0.1111111111111111</v>
      </c>
      <c r="AA31" s="147">
        <f>Results_exp1_0shot!AH138</f>
        <v>0</v>
      </c>
      <c r="AB31" s="147">
        <f>Results_exp1_0shot!AH146</f>
        <v>5.8823529411764705E-2</v>
      </c>
      <c r="AC31" s="147">
        <f>Results_exp1_0shot!AH140</f>
        <v>0.1111111111111111</v>
      </c>
      <c r="AD31" s="302">
        <f t="shared" si="10"/>
        <v>5.6209150326797387E-2</v>
      </c>
      <c r="AE31" s="147"/>
      <c r="AF31" s="147">
        <f>Results_exp1_0shot!AI136</f>
        <v>0</v>
      </c>
      <c r="AG31" s="147">
        <f>Results_exp1_0shot!AI137</f>
        <v>1</v>
      </c>
      <c r="AH31" s="147">
        <f>Results_exp1_0shot!AI138</f>
        <v>0</v>
      </c>
      <c r="AI31" s="147">
        <f>Results_exp1_0shot!AI146</f>
        <v>0.5</v>
      </c>
      <c r="AJ31" s="147">
        <f>Results_exp1_0shot!AI140</f>
        <v>1</v>
      </c>
      <c r="AK31" s="302">
        <f>AVERAGE(AG31,AI31:AJ31)</f>
        <v>0.83333333333333337</v>
      </c>
      <c r="AM31" s="147">
        <v>165</v>
      </c>
      <c r="AN31" s="147">
        <v>237</v>
      </c>
      <c r="AO31" s="147">
        <v>312</v>
      </c>
      <c r="AP31" s="147">
        <v>94</v>
      </c>
      <c r="AQ31" s="147">
        <v>327</v>
      </c>
      <c r="AR31" s="302">
        <f t="shared" si="12"/>
        <v>227</v>
      </c>
    </row>
    <row r="32" spans="1:44">
      <c r="A32" t="s">
        <v>332</v>
      </c>
      <c r="B32" t="str">
        <f>VLOOKUP(A32,Results_exp1_0shot!$A$2:$C$255,3,FALSE)</f>
        <v>9-4</v>
      </c>
      <c r="C32">
        <f>VLOOKUP(A32,Results_exp1_0shot!$A$2:$D$255,4,FALSE)</f>
        <v>0.97510654491951687</v>
      </c>
      <c r="D32" s="147">
        <f>Results_exp1_0shot!R143</f>
        <v>0.74666666666666659</v>
      </c>
      <c r="E32" s="147">
        <f>Results_exp1_0shot!R144</f>
        <v>0.82666666666666666</v>
      </c>
      <c r="F32" s="147">
        <f>Results_exp1_0shot!R145</f>
        <v>0.74666666666666659</v>
      </c>
      <c r="G32" s="147">
        <f>Results_exp1_0shot!R146</f>
        <v>0.8</v>
      </c>
      <c r="H32" s="147">
        <f>Results_exp1_0shot!R147</f>
        <v>0.74666666666666659</v>
      </c>
      <c r="I32" s="302">
        <f t="shared" si="7"/>
        <v>0.77333333333333332</v>
      </c>
      <c r="J32" s="14"/>
      <c r="K32" s="147">
        <f>Results_exp1_0shot!X143</f>
        <v>0.41666666666666663</v>
      </c>
      <c r="L32" s="147">
        <f>Results_exp1_0shot!X144</f>
        <v>0.66666666666666674</v>
      </c>
      <c r="M32" s="147">
        <f>Results_exp1_0shot!X145</f>
        <v>0.41666666666666663</v>
      </c>
      <c r="N32" s="147">
        <f>Results_exp1_0shot!X146</f>
        <v>0.58333333333333337</v>
      </c>
      <c r="O32" s="147">
        <f>Results_exp1_0shot!X147</f>
        <v>0.41666666666666663</v>
      </c>
      <c r="P32" s="302">
        <f t="shared" si="8"/>
        <v>0.5</v>
      </c>
      <c r="R32" s="147">
        <f>Results_exp1_0shot!AD143</f>
        <v>0.83582089552238814</v>
      </c>
      <c r="S32" s="147">
        <f>Results_exp1_0shot!AD144</f>
        <v>0.86567164179104472</v>
      </c>
      <c r="T32" s="147">
        <f>Results_exp1_0shot!AD145</f>
        <v>0.89552238805970141</v>
      </c>
      <c r="U32" s="147">
        <f>Results_exp1_0shot!AD146</f>
        <v>0.89552238805970141</v>
      </c>
      <c r="V32" s="147">
        <f>Results_exp1_0shot!AD147</f>
        <v>0.83582089552238814</v>
      </c>
      <c r="W32" s="302">
        <f t="shared" si="9"/>
        <v>0.86567164179104472</v>
      </c>
      <c r="Y32" s="147">
        <f>Results_exp1_0shot!AH143</f>
        <v>0</v>
      </c>
      <c r="Z32" s="147">
        <f>Results_exp1_0shot!AH144</f>
        <v>5.8823529411764705E-2</v>
      </c>
      <c r="AA32" s="147">
        <f>Results_exp1_0shot!AH145</f>
        <v>5.8823529411764705E-2</v>
      </c>
      <c r="AB32" s="147">
        <f>Results_exp1_0shot!AH146</f>
        <v>5.8823529411764705E-2</v>
      </c>
      <c r="AC32" s="147">
        <f>Results_exp1_0shot!AH147</f>
        <v>5.8823529411764705E-2</v>
      </c>
      <c r="AD32" s="302">
        <f t="shared" si="10"/>
        <v>4.7058823529411764E-2</v>
      </c>
      <c r="AE32" s="147"/>
      <c r="AF32" s="147">
        <f>Results_exp1_0shot!AI143</f>
        <v>0</v>
      </c>
      <c r="AG32" s="147">
        <f>Results_exp1_0shot!AI144</f>
        <v>0.5</v>
      </c>
      <c r="AH32" s="147">
        <f>Results_exp1_0shot!AI145</f>
        <v>0.5</v>
      </c>
      <c r="AI32" s="147">
        <f>Results_exp1_0shot!AI146</f>
        <v>0.5</v>
      </c>
      <c r="AJ32" s="147">
        <f>Results_exp1_0shot!AI147</f>
        <v>0.5</v>
      </c>
      <c r="AK32" s="302">
        <f>AVERAGE(AG32:AJ32)</f>
        <v>0.5</v>
      </c>
      <c r="AM32" s="147">
        <v>200</v>
      </c>
      <c r="AN32" s="147">
        <v>362</v>
      </c>
      <c r="AO32" s="147">
        <v>292</v>
      </c>
      <c r="AP32" s="147">
        <v>394</v>
      </c>
      <c r="AQ32" s="147">
        <v>358</v>
      </c>
      <c r="AR32" s="302">
        <f t="shared" si="12"/>
        <v>321.2</v>
      </c>
    </row>
    <row r="33" spans="1:44">
      <c r="A33" t="s">
        <v>333</v>
      </c>
      <c r="B33" t="str">
        <f>VLOOKUP(A33,Results_exp1_0shot!$A$2:$C$255,3,FALSE)</f>
        <v>9-2</v>
      </c>
      <c r="C33">
        <f>VLOOKUP(A33,Results_exp1_0shot!$A$2:$D$255,4,FALSE)</f>
        <v>1.0040864084632239</v>
      </c>
      <c r="D33" s="147">
        <f>Results_exp1_0shot!R150</f>
        <v>0.89855072463768126</v>
      </c>
      <c r="E33" s="147">
        <f>Results_exp1_0shot!R151</f>
        <v>0.84507042253521125</v>
      </c>
      <c r="F33" s="147">
        <f>Results_exp1_0shot!R152</f>
        <v>0.87323943661971837</v>
      </c>
      <c r="G33" s="147">
        <f>Results_exp1_0shot!R153</f>
        <v>0.78873239436619713</v>
      </c>
      <c r="H33" s="147">
        <f>Results_exp1_0shot!R154</f>
        <v>0.90140845070422537</v>
      </c>
      <c r="I33" s="302">
        <f t="shared" si="7"/>
        <v>0.86140028577260674</v>
      </c>
      <c r="J33" s="14"/>
      <c r="K33" s="147">
        <f>Results_exp1_0shot!X150</f>
        <v>0.8571428571428571</v>
      </c>
      <c r="L33" s="147">
        <f>Results_exp1_0shot!X151</f>
        <v>0.75862068965517238</v>
      </c>
      <c r="M33" s="147">
        <f>Results_exp1_0shot!X152</f>
        <v>0.81481481481481477</v>
      </c>
      <c r="N33" s="147">
        <f>Results_exp1_0shot!X153</f>
        <v>0.66666666666666652</v>
      </c>
      <c r="O33" s="147">
        <f>Results_exp1_0shot!X154</f>
        <v>0.81481481481481477</v>
      </c>
      <c r="P33" s="302">
        <f t="shared" si="8"/>
        <v>0.78241196861886508</v>
      </c>
      <c r="R33" s="147">
        <f>Results_exp1_0shot!AD150</f>
        <v>0.86153846153846148</v>
      </c>
      <c r="S33" s="147">
        <f>Results_exp1_0shot!AD151</f>
        <v>0.89230769230769225</v>
      </c>
      <c r="T33" s="147">
        <f>Results_exp1_0shot!AD152</f>
        <v>0.67692307692307696</v>
      </c>
      <c r="U33" s="147">
        <f>Results_exp1_0shot!AD153</f>
        <v>0.92307692307692302</v>
      </c>
      <c r="V33" s="147">
        <f>Results_exp1_0shot!AD154</f>
        <v>0.87878787878787878</v>
      </c>
      <c r="W33" s="302">
        <f t="shared" si="9"/>
        <v>0.84652680652680645</v>
      </c>
      <c r="Y33" s="147">
        <f>Results_exp1_0shot!AH150</f>
        <v>0</v>
      </c>
      <c r="Z33" s="147">
        <f>Results_exp1_0shot!AH151</f>
        <v>6.25E-2</v>
      </c>
      <c r="AA33" s="147">
        <f>Results_exp1_0shot!AH152</f>
        <v>6.25E-2</v>
      </c>
      <c r="AB33" s="147">
        <f>Results_exp1_0shot!AH153</f>
        <v>0</v>
      </c>
      <c r="AC33" s="147">
        <f>Results_exp1_0shot!AH154</f>
        <v>6.25E-2</v>
      </c>
      <c r="AD33" s="302">
        <f t="shared" si="10"/>
        <v>3.7499999999999999E-2</v>
      </c>
      <c r="AE33" s="147"/>
      <c r="AF33" s="147">
        <f>Results_exp1_0shot!AI150</f>
        <v>0</v>
      </c>
      <c r="AG33" s="147">
        <f>Results_exp1_0shot!AI151</f>
        <v>1</v>
      </c>
      <c r="AH33" s="147">
        <f>Results_exp1_0shot!AI152</f>
        <v>1</v>
      </c>
      <c r="AI33" s="147">
        <f>Results_exp1_0shot!AI153</f>
        <v>0</v>
      </c>
      <c r="AJ33" s="147">
        <f>Results_exp1_0shot!AI154</f>
        <v>0</v>
      </c>
      <c r="AK33" s="302">
        <f>AVERAGE(AG33:AH33)</f>
        <v>1</v>
      </c>
      <c r="AM33" s="147">
        <v>347</v>
      </c>
      <c r="AN33" s="147">
        <v>312</v>
      </c>
      <c r="AO33" s="147">
        <v>339</v>
      </c>
      <c r="AP33" s="147">
        <v>330</v>
      </c>
      <c r="AQ33" s="147">
        <v>361</v>
      </c>
      <c r="AR33" s="302">
        <f t="shared" si="12"/>
        <v>337.8</v>
      </c>
    </row>
    <row r="34" spans="1:44">
      <c r="A34" t="s">
        <v>334</v>
      </c>
      <c r="B34" t="str">
        <f>VLOOKUP(A34,Results_exp1_0shot!$A$2:$C$255,3,FALSE)</f>
        <v>1-2</v>
      </c>
      <c r="C34">
        <f>VLOOKUP(A34,Results_exp1_0shot!$A$2:$D$255,4,FALSE)</f>
        <v>1.1042071083576701</v>
      </c>
      <c r="D34" s="147">
        <f>Results_exp1_0shot!R157</f>
        <v>0.61971830985915499</v>
      </c>
      <c r="E34" s="147">
        <f>Results_exp1_0shot!R158</f>
        <v>0.59154929577464788</v>
      </c>
      <c r="F34" s="147">
        <f>Results_exp1_0shot!R159</f>
        <v>0.55882352941176472</v>
      </c>
      <c r="G34" s="147">
        <f>Results_exp1_0shot!R160</f>
        <v>0.61111111111111105</v>
      </c>
      <c r="H34" s="147">
        <f>Results_exp1_0shot!R161</f>
        <v>0.68354430379746833</v>
      </c>
      <c r="I34" s="302">
        <f t="shared" si="7"/>
        <v>0.61294930999082942</v>
      </c>
      <c r="J34" s="14"/>
      <c r="K34" s="147">
        <f>Results_exp1_0shot!X157</f>
        <v>0.70000000000000007</v>
      </c>
      <c r="L34" s="147">
        <f>Results_exp1_0shot!X158</f>
        <v>0.6</v>
      </c>
      <c r="M34" s="147">
        <f>Results_exp1_0shot!X159</f>
        <v>0.63157894736842102</v>
      </c>
      <c r="N34" s="147">
        <f>Results_exp1_0shot!X160</f>
        <v>0.6</v>
      </c>
      <c r="O34" s="147">
        <f>Results_exp1_0shot!X161</f>
        <v>0.63636363636363646</v>
      </c>
      <c r="P34" s="302">
        <f t="shared" si="8"/>
        <v>0.63358851674641148</v>
      </c>
      <c r="R34" s="147">
        <f>Results_exp1_0shot!AD157</f>
        <v>0.44776119402985071</v>
      </c>
      <c r="S34" s="147">
        <f>Results_exp1_0shot!AD158</f>
        <v>0.38805970149253732</v>
      </c>
      <c r="T34" s="147">
        <f>Results_exp1_0shot!AD159</f>
        <v>0.37500000000000006</v>
      </c>
      <c r="U34" s="147">
        <f>Results_exp1_0shot!AD160</f>
        <v>0.47058823529411759</v>
      </c>
      <c r="V34" s="147">
        <f>Results_exp1_0shot!AD161</f>
        <v>0.55999999999999994</v>
      </c>
      <c r="W34" s="302">
        <f t="shared" si="9"/>
        <v>0.44828182616330114</v>
      </c>
      <c r="Y34" s="147">
        <f>Results_exp1_0shot!AH157</f>
        <v>0</v>
      </c>
      <c r="Z34" s="147">
        <f>Results_exp1_0shot!AH158</f>
        <v>4.5454545454545456E-2</v>
      </c>
      <c r="AA34" s="147">
        <f>Results_exp1_0shot!AH159</f>
        <v>4.5454545454545456E-2</v>
      </c>
      <c r="AB34" s="147">
        <f>Results_exp1_0shot!AH160</f>
        <v>0</v>
      </c>
      <c r="AC34" s="147">
        <f>Results_exp1_0shot!AH161</f>
        <v>9.0909090909090912E-2</v>
      </c>
      <c r="AD34" s="302">
        <f t="shared" si="10"/>
        <v>3.6363636363636362E-2</v>
      </c>
      <c r="AE34" s="147"/>
      <c r="AF34" s="147">
        <f>Results_exp1_0shot!AI157</f>
        <v>0</v>
      </c>
      <c r="AG34" s="147">
        <f>Results_exp1_0shot!AI158</f>
        <v>1</v>
      </c>
      <c r="AH34" s="147">
        <f>Results_exp1_0shot!AI159</f>
        <v>1</v>
      </c>
      <c r="AI34" s="147">
        <f>Results_exp1_0shot!AI160</f>
        <v>0</v>
      </c>
      <c r="AJ34" s="147">
        <f>Results_exp1_0shot!AI161</f>
        <v>1</v>
      </c>
      <c r="AK34" s="302">
        <f>AVERAGE(AJ34,AG34:AH34)</f>
        <v>1</v>
      </c>
      <c r="AM34" s="147">
        <v>282</v>
      </c>
      <c r="AN34" s="147">
        <v>298</v>
      </c>
      <c r="AO34" s="147">
        <v>332</v>
      </c>
      <c r="AP34" s="147">
        <v>322</v>
      </c>
      <c r="AQ34" s="147">
        <v>396</v>
      </c>
      <c r="AR34" s="302">
        <f t="shared" si="12"/>
        <v>326</v>
      </c>
    </row>
    <row r="35" spans="1:44">
      <c r="A35" t="s">
        <v>335</v>
      </c>
      <c r="B35" t="str">
        <f>VLOOKUP(A35,Results_exp1_0shot!$A$2:$C$255,3,FALSE)</f>
        <v>1-4</v>
      </c>
      <c r="C35">
        <f>VLOOKUP(A35,Results_exp1_0shot!$A$2:$D$255,4,FALSE)</f>
        <v>1.1679763185797205</v>
      </c>
      <c r="D35" s="147">
        <f>Results_exp1_0shot!R164</f>
        <v>0.84444444444444444</v>
      </c>
      <c r="E35" s="147">
        <f>Results_exp1_0shot!R165</f>
        <v>0.91304347826086951</v>
      </c>
      <c r="F35" s="147">
        <f>Results_exp1_0shot!R166</f>
        <v>0.88172043010752688</v>
      </c>
      <c r="G35" s="147">
        <f>Results_exp1_0shot!R167</f>
        <v>0.88172043010752688</v>
      </c>
      <c r="H35" s="147">
        <f>Results_exp1_0shot!R168</f>
        <v>0.86956521739130443</v>
      </c>
      <c r="I35" s="302">
        <f t="shared" si="7"/>
        <v>0.87809880006233443</v>
      </c>
      <c r="J35" s="14"/>
      <c r="K35" s="147">
        <f>Results_exp1_0shot!X164</f>
        <v>0.55999999999999994</v>
      </c>
      <c r="L35" s="147">
        <f>Results_exp1_0shot!X165</f>
        <v>0.87999999999999989</v>
      </c>
      <c r="M35" s="147">
        <f>Results_exp1_0shot!X166</f>
        <v>0.71999999999999986</v>
      </c>
      <c r="N35" s="147">
        <f>Results_exp1_0shot!X167</f>
        <v>0.75000000000000011</v>
      </c>
      <c r="O35" s="147">
        <f>Results_exp1_0shot!X168</f>
        <v>0.60869565217391297</v>
      </c>
      <c r="P35" s="302">
        <f t="shared" si="8"/>
        <v>0.70373913043478253</v>
      </c>
      <c r="R35" s="147">
        <f>Results_exp1_0shot!AD164</f>
        <v>0.92134831460674171</v>
      </c>
      <c r="S35" s="147">
        <f>Results_exp1_0shot!AD165</f>
        <v>0.42222222222222222</v>
      </c>
      <c r="T35" s="147">
        <f>Results_exp1_0shot!AD166</f>
        <v>0.94505494505494503</v>
      </c>
      <c r="U35" s="147">
        <f>Results_exp1_0shot!AD167</f>
        <v>0.94505494505494503</v>
      </c>
      <c r="V35" s="147">
        <f>Results_exp1_0shot!AD168</f>
        <v>0.94505494505494503</v>
      </c>
      <c r="W35" s="302">
        <f t="shared" si="9"/>
        <v>0.83574707439875984</v>
      </c>
      <c r="Y35" s="147">
        <f>Results_exp1_0shot!AH164</f>
        <v>0.17391304347826086</v>
      </c>
      <c r="Z35" s="147">
        <f>Results_exp1_0shot!AH165</f>
        <v>0</v>
      </c>
      <c r="AA35" s="147">
        <f>Results_exp1_0shot!AH166</f>
        <v>0</v>
      </c>
      <c r="AB35" s="147">
        <f>Results_exp1_0shot!AH167</f>
        <v>4.3478260869565216E-2</v>
      </c>
      <c r="AC35" s="147">
        <f>Results_exp1_0shot!AH168</f>
        <v>0.13043478260869565</v>
      </c>
      <c r="AD35" s="302">
        <f t="shared" si="10"/>
        <v>6.9565217391304349E-2</v>
      </c>
      <c r="AE35" s="147"/>
      <c r="AF35" s="147">
        <f>Results_exp1_0shot!AI164</f>
        <v>1</v>
      </c>
      <c r="AG35" s="147">
        <f>Results_exp1_0shot!AI165</f>
        <v>0</v>
      </c>
      <c r="AH35" s="147">
        <f>Results_exp1_0shot!AI166</f>
        <v>0</v>
      </c>
      <c r="AI35" s="147">
        <f>Results_exp1_0shot!AI167</f>
        <v>0</v>
      </c>
      <c r="AJ35" s="147">
        <f>Results_exp1_0shot!AI168</f>
        <v>1</v>
      </c>
      <c r="AK35" s="302">
        <f>AVERAGE(AF35,AJ35)</f>
        <v>1</v>
      </c>
      <c r="AM35" s="147">
        <v>401</v>
      </c>
      <c r="AN35" s="147">
        <v>331</v>
      </c>
      <c r="AO35" s="147">
        <v>317</v>
      </c>
      <c r="AP35" s="147">
        <v>363</v>
      </c>
      <c r="AQ35" s="147">
        <v>380</v>
      </c>
      <c r="AR35" s="302">
        <f t="shared" si="12"/>
        <v>358.4</v>
      </c>
    </row>
    <row r="36" spans="1:44">
      <c r="A36" t="s">
        <v>336</v>
      </c>
      <c r="B36" t="str">
        <f>VLOOKUP(A36,Results_exp1_0shot!$A$2:$C$255,3,FALSE)</f>
        <v>9-1</v>
      </c>
      <c r="C36">
        <f>VLOOKUP(A36,Results_exp1_0shot!$A$2:$D$255,4,FALSE)</f>
        <v>1.3319028194330147</v>
      </c>
      <c r="D36" s="147">
        <f>Results_exp1_0shot!R171</f>
        <v>0.6741573033707865</v>
      </c>
      <c r="E36" s="147">
        <f>Results_exp1_0shot!R172</f>
        <v>0.80851063829787229</v>
      </c>
      <c r="F36" s="147">
        <f>Results_exp1_0shot!R173</f>
        <v>0.71739130434782616</v>
      </c>
      <c r="G36" s="147">
        <f>Results_exp1_0shot!R174</f>
        <v>0.88888888888888884</v>
      </c>
      <c r="H36" s="147">
        <f>Results_exp1_0shot!R175</f>
        <v>0.8867924528301887</v>
      </c>
      <c r="I36" s="302">
        <f t="shared" si="7"/>
        <v>0.79514811754711245</v>
      </c>
      <c r="J36" s="14"/>
      <c r="K36" s="147">
        <f>Results_exp1_0shot!X171</f>
        <v>0.70588235294117641</v>
      </c>
      <c r="L36" s="147">
        <f>Results_exp1_0shot!X172</f>
        <v>0.88888888888888895</v>
      </c>
      <c r="M36" s="147">
        <f>Results_exp1_0shot!X173</f>
        <v>0.73684210526315774</v>
      </c>
      <c r="N36" s="147">
        <f>Results_exp1_0shot!X174</f>
        <v>0.55555555555555558</v>
      </c>
      <c r="O36" s="147">
        <f>Results_exp1_0shot!X175</f>
        <v>0.66666666666666652</v>
      </c>
      <c r="P36" s="302">
        <f t="shared" si="8"/>
        <v>0.71076711386308911</v>
      </c>
      <c r="R36" s="147">
        <f>Results_exp1_0shot!AD171</f>
        <v>0.6741573033707865</v>
      </c>
      <c r="S36" s="147">
        <f>Results_exp1_0shot!AD172</f>
        <v>0.8421052631578948</v>
      </c>
      <c r="T36" s="147">
        <f>Results_exp1_0shot!AD173</f>
        <v>0.63043478260869557</v>
      </c>
      <c r="U36" s="147">
        <f>Results_exp1_0shot!AD174</f>
        <v>0.88888888888888884</v>
      </c>
      <c r="V36" s="147">
        <f>Results_exp1_0shot!AD175</f>
        <v>0.79245283018867929</v>
      </c>
      <c r="W36" s="302">
        <f t="shared" si="9"/>
        <v>0.76560781364298902</v>
      </c>
      <c r="Y36" s="147">
        <f>Results_exp1_0shot!AH171</f>
        <v>0</v>
      </c>
      <c r="Z36" s="147">
        <f>Results_exp1_0shot!AH172</f>
        <v>0</v>
      </c>
      <c r="AA36" s="147">
        <f>Results_exp1_0shot!AH173</f>
        <v>0</v>
      </c>
      <c r="AB36" s="147">
        <f>Results_exp1_0shot!AH174</f>
        <v>0</v>
      </c>
      <c r="AC36" s="147">
        <f>Results_exp1_0shot!AH175</f>
        <v>3.3333333333333333E-2</v>
      </c>
      <c r="AD36" s="302">
        <f t="shared" si="10"/>
        <v>6.6666666666666662E-3</v>
      </c>
      <c r="AE36" s="147"/>
      <c r="AF36" s="147">
        <f>Results_exp1_0shot!AI171</f>
        <v>0</v>
      </c>
      <c r="AG36" s="147">
        <f>Results_exp1_0shot!AI172</f>
        <v>0</v>
      </c>
      <c r="AH36" s="147">
        <f>Results_exp1_0shot!AI173</f>
        <v>0</v>
      </c>
      <c r="AI36" s="147">
        <f>Results_exp1_0shot!AI174</f>
        <v>0</v>
      </c>
      <c r="AJ36" s="147">
        <f>Results_exp1_0shot!AI175</f>
        <v>1</v>
      </c>
      <c r="AK36" s="302">
        <f>AVERAGE(AJ36)</f>
        <v>1</v>
      </c>
      <c r="AM36" s="147">
        <v>279</v>
      </c>
      <c r="AN36" s="147">
        <v>345</v>
      </c>
      <c r="AO36" s="147">
        <v>374</v>
      </c>
      <c r="AP36" s="147">
        <v>438</v>
      </c>
      <c r="AQ36" s="147">
        <v>412</v>
      </c>
      <c r="AR36" s="302">
        <f t="shared" si="12"/>
        <v>369.6</v>
      </c>
    </row>
    <row r="37" spans="1:44">
      <c r="A37" t="s">
        <v>337</v>
      </c>
      <c r="B37" t="str">
        <f>VLOOKUP(A37,Results_exp1_0shot!$A$2:$C$255,3,FALSE)</f>
        <v>1-3</v>
      </c>
      <c r="C37">
        <f>VLOOKUP(A37,Results_exp1_0shot!$A$2:$D$255,4,FALSE)</f>
        <v>1.762299953678875</v>
      </c>
      <c r="D37" s="147">
        <f>Results_exp1_0shot!R178</f>
        <v>0.7599999999999999</v>
      </c>
      <c r="E37" s="147">
        <f>Results_exp1_0shot!R179</f>
        <v>0.83168316831683164</v>
      </c>
      <c r="F37" s="147">
        <f>Results_exp1_0shot!R180</f>
        <v>0.7722772277227723</v>
      </c>
      <c r="G37" s="147">
        <f>Results_exp1_0shot!R181</f>
        <v>0.79611650485436891</v>
      </c>
      <c r="H37" s="147">
        <f>Results_exp1_0shot!R182</f>
        <v>0.87619047619047619</v>
      </c>
      <c r="I37" s="302">
        <f t="shared" si="7"/>
        <v>0.80725347541688985</v>
      </c>
      <c r="J37" s="14"/>
      <c r="K37" s="147">
        <f>Results_exp1_0shot!X178</f>
        <v>0.44444444444444448</v>
      </c>
      <c r="L37" s="147">
        <f>Results_exp1_0shot!X179</f>
        <v>0.44444444444444448</v>
      </c>
      <c r="M37" s="147">
        <f>Results_exp1_0shot!X180</f>
        <v>0.52631578947368418</v>
      </c>
      <c r="N37" s="147">
        <f>Results_exp1_0shot!X181</f>
        <v>0.5</v>
      </c>
      <c r="O37" s="147">
        <f>Results_exp1_0shot!X182</f>
        <v>0.8421052631578948</v>
      </c>
      <c r="P37" s="302">
        <f t="shared" si="8"/>
        <v>0.55146198830409365</v>
      </c>
      <c r="R37" s="147">
        <f>Results_exp1_0shot!AD178</f>
        <v>0.60869565217391297</v>
      </c>
      <c r="S37" s="147">
        <f>Results_exp1_0shot!AD179</f>
        <v>0.60869565217391297</v>
      </c>
      <c r="T37" s="147">
        <f>Results_exp1_0shot!AD180</f>
        <v>0.76086956521739135</v>
      </c>
      <c r="U37" s="147">
        <f>Results_exp1_0shot!AD181</f>
        <v>0.77419354838709664</v>
      </c>
      <c r="V37" s="147">
        <f>Results_exp1_0shot!AD182</f>
        <v>0.79166666666666663</v>
      </c>
      <c r="W37" s="302">
        <f t="shared" si="9"/>
        <v>0.70882421692379605</v>
      </c>
      <c r="Y37" s="147">
        <f>Results_exp1_0shot!AH178</f>
        <v>0</v>
      </c>
      <c r="Z37" s="147">
        <f>Results_exp1_0shot!AH179</f>
        <v>0</v>
      </c>
      <c r="AA37" s="147">
        <f>Results_exp1_0shot!AH180</f>
        <v>0</v>
      </c>
      <c r="AB37" s="147">
        <f>Results_exp1_0shot!AH181</f>
        <v>0</v>
      </c>
      <c r="AC37" s="147">
        <f>Results_exp1_0shot!AH182</f>
        <v>0</v>
      </c>
      <c r="AD37" s="302">
        <f t="shared" si="10"/>
        <v>0</v>
      </c>
      <c r="AE37" s="147"/>
      <c r="AF37" s="147">
        <f>Results_exp1_0shot!AI178</f>
        <v>0</v>
      </c>
      <c r="AG37" s="147">
        <f>Results_exp1_0shot!AI179</f>
        <v>0</v>
      </c>
      <c r="AH37" s="147">
        <f>Results_exp1_0shot!AI180</f>
        <v>0</v>
      </c>
      <c r="AI37" s="147">
        <f>Results_exp1_0shot!AI181</f>
        <v>0</v>
      </c>
      <c r="AJ37" s="147">
        <f>Results_exp1_0shot!AI182</f>
        <v>0</v>
      </c>
      <c r="AK37" s="302">
        <f t="shared" si="11"/>
        <v>0</v>
      </c>
      <c r="AM37" s="147">
        <v>296</v>
      </c>
      <c r="AN37" s="147">
        <v>365</v>
      </c>
      <c r="AO37" s="147">
        <v>295</v>
      </c>
      <c r="AP37" s="147">
        <v>321</v>
      </c>
      <c r="AQ37" s="147">
        <v>495</v>
      </c>
      <c r="AR37" s="302">
        <f t="shared" si="12"/>
        <v>354.4</v>
      </c>
    </row>
    <row r="38" spans="1:44" s="5" customFormat="1">
      <c r="A38" s="5" t="s">
        <v>338</v>
      </c>
      <c r="B38" s="5" t="str">
        <f>VLOOKUP(A38,Results_exp1_0shot!$A$2:$C$255,3,FALSE)</f>
        <v>10-3</v>
      </c>
      <c r="C38">
        <f>VLOOKUP(A38,Results_exp1_0shot!$A$2:$D$255,4,FALSE)</f>
        <v>1.790108913645059</v>
      </c>
      <c r="D38" s="150">
        <f>Results_exp1_0shot!R185</f>
        <v>0.58585858585858575</v>
      </c>
      <c r="E38" s="150">
        <f>Results_exp1_0shot!R186</f>
        <v>0.60606060606060597</v>
      </c>
      <c r="F38" s="150">
        <f>Results_exp1_0shot!R187</f>
        <v>0.57425742574257421</v>
      </c>
      <c r="G38" s="150">
        <f>Results_exp1_0shot!R188</f>
        <v>0.55445544554455439</v>
      </c>
      <c r="H38" s="150">
        <f>Results_exp1_0shot!R189</f>
        <v>0.57425742574257421</v>
      </c>
      <c r="I38" s="302">
        <f t="shared" si="7"/>
        <v>0.57897789778977893</v>
      </c>
      <c r="J38" s="180"/>
      <c r="K38" s="150">
        <f>Results_exp1_0shot!X185</f>
        <v>0.52631578947368418</v>
      </c>
      <c r="L38" s="150">
        <f>Results_exp1_0shot!X186</f>
        <v>0.52631578947368418</v>
      </c>
      <c r="M38" s="150">
        <f>Results_exp1_0shot!X187</f>
        <v>0.5</v>
      </c>
      <c r="N38" s="150">
        <f>Results_exp1_0shot!X188</f>
        <v>0.4</v>
      </c>
      <c r="O38" s="150">
        <f>Results_exp1_0shot!X189</f>
        <v>0.4210526315789474</v>
      </c>
      <c r="P38" s="302">
        <f t="shared" si="8"/>
        <v>0.47473684210526318</v>
      </c>
      <c r="R38" s="150">
        <f>Results_exp1_0shot!AD185</f>
        <v>0.37362637362637363</v>
      </c>
      <c r="S38" s="150">
        <f>Results_exp1_0shot!AD186</f>
        <v>0.37362637362637363</v>
      </c>
      <c r="T38" s="150">
        <f>Results_exp1_0shot!AD187</f>
        <v>0.45161290322580644</v>
      </c>
      <c r="U38" s="150">
        <f>Results_exp1_0shot!AD188</f>
        <v>0.43010752688172038</v>
      </c>
      <c r="V38" s="150">
        <f>Results_exp1_0shot!AD189</f>
        <v>0.34408602150537637</v>
      </c>
      <c r="W38" s="302">
        <f t="shared" si="9"/>
        <v>0.39461183977313014</v>
      </c>
      <c r="Y38" s="150">
        <f>Results_exp1_0shot!AH185</f>
        <v>3.7037037037037035E-2</v>
      </c>
      <c r="Z38" s="150">
        <f>Results_exp1_0shot!AH186</f>
        <v>3.7037037037037035E-2</v>
      </c>
      <c r="AA38" s="150">
        <f>Results_exp1_0shot!AH187</f>
        <v>3.7037037037037035E-2</v>
      </c>
      <c r="AB38" s="150">
        <f>Results_exp1_0shot!AH188</f>
        <v>3.7037037037037035E-2</v>
      </c>
      <c r="AC38" s="150">
        <f>Results_exp1_0shot!AH189</f>
        <v>3.7037037037037035E-2</v>
      </c>
      <c r="AD38" s="302">
        <f t="shared" si="10"/>
        <v>3.7037037037037035E-2</v>
      </c>
      <c r="AE38" s="150"/>
      <c r="AF38" s="150">
        <f>Results_exp1_0shot!AI185</f>
        <v>1</v>
      </c>
      <c r="AG38" s="150">
        <f>Results_exp1_0shot!AI186</f>
        <v>1</v>
      </c>
      <c r="AH38" s="150">
        <f>Results_exp1_0shot!AI187</f>
        <v>1</v>
      </c>
      <c r="AI38" s="150">
        <f>Results_exp1_0shot!AI188</f>
        <v>1</v>
      </c>
      <c r="AJ38" s="150">
        <f>Results_exp1_0shot!AI189</f>
        <v>1</v>
      </c>
      <c r="AK38" s="302">
        <f t="shared" si="11"/>
        <v>1</v>
      </c>
      <c r="AM38" s="150">
        <v>224</v>
      </c>
      <c r="AN38" s="150">
        <v>266</v>
      </c>
      <c r="AO38" s="150">
        <v>328</v>
      </c>
      <c r="AP38" s="150">
        <v>317</v>
      </c>
      <c r="AQ38" s="150">
        <v>281</v>
      </c>
      <c r="AR38" s="302">
        <f t="shared" si="12"/>
        <v>283.2</v>
      </c>
    </row>
    <row r="39" spans="1:44" s="7" customFormat="1">
      <c r="A39" s="1" t="s">
        <v>660</v>
      </c>
      <c r="B39" s="1"/>
      <c r="C39" s="1"/>
      <c r="D39" s="151">
        <f>AVERAGE(D27:D38)</f>
        <v>0.73775321808790684</v>
      </c>
      <c r="E39" s="151">
        <f>AVERAGE(E27:E38)</f>
        <v>0.7545653134142879</v>
      </c>
      <c r="F39" s="151">
        <f>AVERAGE(F27:F38)</f>
        <v>0.73418132518474122</v>
      </c>
      <c r="G39" s="151">
        <f>AVERAGE(G27:G38)</f>
        <v>0.76010068889615834</v>
      </c>
      <c r="H39" s="196">
        <f>AVERAGE(H27:H38)</f>
        <v>0.78324306701197177</v>
      </c>
      <c r="I39" s="303"/>
      <c r="J39" s="41"/>
      <c r="K39" s="151">
        <f>AVERAGE(K27:K38)</f>
        <v>0.62067228637662075</v>
      </c>
      <c r="L39" s="196">
        <f>AVERAGE(L27:L38)</f>
        <v>0.6670041922064982</v>
      </c>
      <c r="M39" s="151">
        <f>AVERAGE(M27:M38)</f>
        <v>0.63449196495894122</v>
      </c>
      <c r="N39" s="151">
        <f>AVERAGE(N27:N38)</f>
        <v>0.61523569023569025</v>
      </c>
      <c r="O39" s="151">
        <f>AVERAGE(O27:O38)</f>
        <v>0.65011027621798478</v>
      </c>
      <c r="P39" s="303"/>
      <c r="R39" s="151">
        <f>AVERAGE(R27:R38)</f>
        <v>0.65546750430534428</v>
      </c>
      <c r="S39" s="151">
        <f>AVERAGE(S27:S38)</f>
        <v>0.63124910599794759</v>
      </c>
      <c r="T39" s="151">
        <f>AVERAGE(T27:T38)</f>
        <v>0.68230700440089176</v>
      </c>
      <c r="U39" s="196">
        <f>AVERAGE(U27:U38)</f>
        <v>0.78360383783584453</v>
      </c>
      <c r="V39" s="151">
        <f>AVERAGE(V27:V38)</f>
        <v>0.7543279570143836</v>
      </c>
      <c r="W39" s="303"/>
      <c r="Y39" s="151">
        <f>AVERAGE(Y27:Y38)</f>
        <v>7.5218062265163713E-2</v>
      </c>
      <c r="Z39" s="196">
        <f>AVERAGE(Z27:Z38)</f>
        <v>0.12207718525120485</v>
      </c>
      <c r="AA39" s="151">
        <f>AVERAGE(AA27:AA38)</f>
        <v>0.1114290371030567</v>
      </c>
      <c r="AB39" s="151">
        <f>AVERAGE(AB27:AB38)</f>
        <v>5.9221863060844294E-2</v>
      </c>
      <c r="AC39" s="151">
        <f>AVERAGE(AC27:AC38)</f>
        <v>0.1079151848120305</v>
      </c>
      <c r="AD39" s="303"/>
      <c r="AE39" s="147"/>
      <c r="AF39" s="151">
        <f>AVERAGE(AF27:AF28,AF30,AF35,AF38)</f>
        <v>1</v>
      </c>
      <c r="AG39" s="151">
        <f>AVERAGE(AG27:AG34,AG38)</f>
        <v>0.92222222222222228</v>
      </c>
      <c r="AH39" s="151">
        <f>AVERAGE(AH27:AH28,AH30,AH32:AH34,AH38)</f>
        <v>0.9285714285714286</v>
      </c>
      <c r="AI39" s="151">
        <f>AVERAGE(AI27:AI28,AI30:AI32,AI38)</f>
        <v>0.83333333333333337</v>
      </c>
      <c r="AJ39" s="196">
        <f>AVERAGE(AJ27:AJ32,AJ34:AJ36,AJ38)</f>
        <v>0.95</v>
      </c>
      <c r="AK39" s="303"/>
      <c r="AM39" s="188">
        <f>AVERAGE(AM27:AM38)</f>
        <v>285.33333333333331</v>
      </c>
      <c r="AN39" s="188">
        <f>AVERAGE(AN27:AN38)</f>
        <v>311.66666666666669</v>
      </c>
      <c r="AO39" s="188">
        <f>AVERAGE(AO27:AO38)</f>
        <v>317.58333333333331</v>
      </c>
      <c r="AP39" s="216">
        <f>AVERAGE(AP27:AP38)</f>
        <v>320.16666666666669</v>
      </c>
      <c r="AQ39" s="209">
        <f>AVERAGE(AQ27:AQ38)</f>
        <v>372.33333333333331</v>
      </c>
      <c r="AR39" s="303"/>
    </row>
    <row r="40" spans="1:44" s="7" customFormat="1">
      <c r="A40" s="1" t="s">
        <v>659</v>
      </c>
      <c r="B40" s="1"/>
      <c r="C40" s="1"/>
      <c r="D40" s="331">
        <f>AVERAGE(D27:H38)</f>
        <v>0.75396872251901326</v>
      </c>
      <c r="E40" s="331"/>
      <c r="F40" s="331"/>
      <c r="G40" s="331"/>
      <c r="H40" s="331"/>
      <c r="I40" s="303"/>
      <c r="J40" s="41"/>
      <c r="K40" s="331">
        <f>AVERAGE(K27:O38)</f>
        <v>0.63750288199914695</v>
      </c>
      <c r="L40" s="331"/>
      <c r="M40" s="331"/>
      <c r="N40" s="331"/>
      <c r="O40" s="331"/>
      <c r="P40" s="303"/>
      <c r="R40" s="331">
        <f>AVERAGE(R27:V38)</f>
        <v>0.70139108191088229</v>
      </c>
      <c r="S40" s="331"/>
      <c r="T40" s="331"/>
      <c r="U40" s="331"/>
      <c r="V40" s="331"/>
      <c r="W40" s="303"/>
      <c r="Y40" s="331">
        <f>AVERAGE(Y27:AC38)</f>
        <v>9.5172266498460015E-2</v>
      </c>
      <c r="Z40" s="331"/>
      <c r="AA40" s="331"/>
      <c r="AB40" s="331"/>
      <c r="AC40" s="331"/>
      <c r="AD40" s="303"/>
      <c r="AE40" s="147"/>
      <c r="AF40" s="331">
        <f>AVERAGE(AF27:AJ28,AG29,AJ29,AF30:AJ30,AG31,AI31:AJ31,AG32:AJ32,AG33:AH34,AF35,AJ35,AJ36,AJ38,AI38,AH38,AG38,AF38,AJ34)</f>
        <v>0.927027027027027</v>
      </c>
      <c r="AG40" s="331"/>
      <c r="AH40" s="331"/>
      <c r="AI40" s="331"/>
      <c r="AJ40" s="331"/>
      <c r="AK40" s="303"/>
      <c r="AM40" s="331">
        <f>AVERAGE(AM27:AQ38)</f>
        <v>321.41666666666669</v>
      </c>
      <c r="AN40" s="331"/>
      <c r="AO40" s="331"/>
      <c r="AP40" s="331"/>
      <c r="AQ40" s="331"/>
      <c r="AR40" s="303"/>
    </row>
    <row r="41" spans="1:44" s="7" customFormat="1">
      <c r="A41" s="1"/>
      <c r="B41" s="1"/>
      <c r="C41" s="1"/>
      <c r="D41" s="151"/>
      <c r="E41" s="149"/>
      <c r="F41" s="149"/>
      <c r="G41" s="149"/>
      <c r="H41" s="151"/>
      <c r="I41" s="303"/>
      <c r="J41" s="41"/>
      <c r="K41" s="151"/>
      <c r="L41" s="151"/>
      <c r="M41" s="149"/>
      <c r="N41" s="149"/>
      <c r="O41" s="149"/>
      <c r="P41" s="303"/>
      <c r="R41" s="151"/>
      <c r="S41" s="149"/>
      <c r="T41" s="149"/>
      <c r="U41" s="151"/>
      <c r="V41" s="149"/>
      <c r="W41" s="303"/>
      <c r="Y41" s="151"/>
      <c r="Z41" s="151"/>
      <c r="AA41" s="149"/>
      <c r="AB41" s="149"/>
      <c r="AC41" s="149"/>
      <c r="AD41" s="303"/>
      <c r="AE41" s="147"/>
      <c r="AF41" s="151"/>
      <c r="AG41" s="151"/>
      <c r="AH41" s="149"/>
      <c r="AI41" s="149"/>
      <c r="AJ41" s="149"/>
      <c r="AK41" s="303"/>
      <c r="AM41" s="188"/>
      <c r="AN41" s="149"/>
      <c r="AO41" s="149"/>
      <c r="AP41" s="188"/>
      <c r="AQ41" s="149"/>
      <c r="AR41" s="303"/>
    </row>
    <row r="42" spans="1:44" s="24" customFormat="1">
      <c r="A42" s="4" t="s">
        <v>658</v>
      </c>
      <c r="B42" s="4"/>
      <c r="C42" s="4"/>
      <c r="D42" s="186"/>
      <c r="E42" s="186"/>
      <c r="F42" s="186"/>
      <c r="G42" s="186"/>
      <c r="H42" s="187"/>
      <c r="I42" s="306"/>
      <c r="J42" s="184"/>
      <c r="K42" s="186"/>
      <c r="L42" s="187"/>
      <c r="M42" s="186"/>
      <c r="N42" s="186"/>
      <c r="O42" s="186"/>
      <c r="P42" s="306"/>
      <c r="R42" s="186"/>
      <c r="S42" s="186"/>
      <c r="T42" s="186"/>
      <c r="U42" s="187"/>
      <c r="V42" s="186"/>
      <c r="W42" s="306"/>
      <c r="Y42" s="186"/>
      <c r="Z42" s="187"/>
      <c r="AA42" s="186"/>
      <c r="AB42" s="186"/>
      <c r="AC42" s="186"/>
      <c r="AD42" s="306"/>
      <c r="AE42" s="183"/>
      <c r="AF42" s="186"/>
      <c r="AG42" s="187"/>
      <c r="AH42" s="186"/>
      <c r="AI42" s="186"/>
      <c r="AJ42" s="186"/>
      <c r="AK42" s="306"/>
      <c r="AM42" s="186"/>
      <c r="AN42" s="186"/>
      <c r="AO42" s="186"/>
      <c r="AP42" s="187"/>
      <c r="AQ42" s="186"/>
      <c r="AR42" s="306"/>
    </row>
    <row r="43" spans="1:44">
      <c r="A43" t="s">
        <v>340</v>
      </c>
      <c r="B43" t="str">
        <f>VLOOKUP(A43,Results_exp1_0shot!$A$2:$C$255,3,FALSE)</f>
        <v>6-4</v>
      </c>
      <c r="C43">
        <f>VLOOKUP(A43,Results_exp1_0shot!$A$2:$D$255,4,FALSE)</f>
        <v>2.4606876442304331</v>
      </c>
      <c r="D43" s="147">
        <f>Results_exp1_0shot!R192</f>
        <v>0.53448275862068972</v>
      </c>
      <c r="E43" s="147">
        <f>Results_exp1_0shot!R193</f>
        <v>0.54700854700854706</v>
      </c>
      <c r="F43" s="147">
        <f>Results_exp1_0shot!R194</f>
        <v>0.63247863247863245</v>
      </c>
      <c r="G43" s="147">
        <f>Results_exp1_0shot!R195</f>
        <v>0.66666666666666663</v>
      </c>
      <c r="H43" s="147">
        <f>Results_exp1_0shot!R196</f>
        <v>0.59999999999999987</v>
      </c>
      <c r="I43" s="302">
        <f t="shared" ref="I43:I48" si="13">AVERAGE(D43:H43)</f>
        <v>0.59612732095490717</v>
      </c>
      <c r="J43" s="14"/>
      <c r="K43" s="147">
        <f>Results_exp1_0shot!X192</f>
        <v>0.28571428571428575</v>
      </c>
      <c r="L43" s="147">
        <f>Results_exp1_0shot!X193</f>
        <v>0.28571428571428575</v>
      </c>
      <c r="M43" s="147">
        <f>Results_exp1_0shot!X194</f>
        <v>0.64</v>
      </c>
      <c r="N43" s="147">
        <f>Results_exp1_0shot!X195</f>
        <v>0.69565217391304357</v>
      </c>
      <c r="O43" s="147">
        <f>Results_exp1_0shot!X196</f>
        <v>0.52173913043478271</v>
      </c>
      <c r="P43" s="302">
        <f t="shared" ref="P43:P48" si="14">AVERAGE(K43:O43)</f>
        <v>0.48576397515527958</v>
      </c>
      <c r="R43" s="147">
        <f>Results_exp1_0shot!AD192</f>
        <v>0.55769230769230771</v>
      </c>
      <c r="S43" s="147">
        <f>Results_exp1_0shot!AD193</f>
        <v>0.58490566037735847</v>
      </c>
      <c r="T43" s="147">
        <f>Results_exp1_0shot!AD194</f>
        <v>0.56603773584905659</v>
      </c>
      <c r="U43" s="147">
        <f>Results_exp1_0shot!AD195</f>
        <v>0.55045871559633019</v>
      </c>
      <c r="V43" s="147">
        <f>Results_exp1_0shot!AD196</f>
        <v>0.58715596330275233</v>
      </c>
      <c r="W43" s="302">
        <f t="shared" ref="W43:W48" si="15">AVERAGE(R43:V43)</f>
        <v>0.56925007656356097</v>
      </c>
      <c r="Y43" s="147">
        <f>Results_exp1_0shot!AH192</f>
        <v>0</v>
      </c>
      <c r="Z43" s="147">
        <f>Results_exp1_0shot!AH193</f>
        <v>3.3333333333333333E-2</v>
      </c>
      <c r="AA43" s="147">
        <f>Results_exp1_0shot!AH194</f>
        <v>0</v>
      </c>
      <c r="AB43" s="147">
        <f>Results_exp1_0shot!AH195</f>
        <v>0</v>
      </c>
      <c r="AC43" s="147">
        <f>Results_exp1_0shot!AH196</f>
        <v>0</v>
      </c>
      <c r="AD43" s="302">
        <f t="shared" ref="AD43:AD48" si="16">AVERAGE(Y43:AC43)</f>
        <v>6.6666666666666662E-3</v>
      </c>
      <c r="AE43" s="147"/>
      <c r="AF43" s="147">
        <f>Results_exp1_0shot!AI192</f>
        <v>0</v>
      </c>
      <c r="AG43" s="147">
        <f>Results_exp1_0shot!AI193</f>
        <v>1</v>
      </c>
      <c r="AH43" s="147">
        <f>Results_exp1_0shot!AI194</f>
        <v>0</v>
      </c>
      <c r="AI43" s="147">
        <f>Results_exp1_0shot!AI195</f>
        <v>0</v>
      </c>
      <c r="AJ43" s="147">
        <f>Results_exp1_0shot!AI196</f>
        <v>0</v>
      </c>
      <c r="AK43" s="302">
        <f>AVERAGE(AG43)</f>
        <v>1</v>
      </c>
      <c r="AM43" s="147">
        <v>410</v>
      </c>
      <c r="AN43" s="147">
        <v>348</v>
      </c>
      <c r="AO43" s="147">
        <v>499</v>
      </c>
      <c r="AP43" s="147">
        <v>411</v>
      </c>
      <c r="AQ43" s="147">
        <v>381</v>
      </c>
      <c r="AR43" s="302">
        <f t="shared" ref="AR43:AR48" si="17">AVERAGE(AM43:AQ43)</f>
        <v>409.8</v>
      </c>
    </row>
    <row r="44" spans="1:44" s="7" customFormat="1">
      <c r="A44" s="7" t="s">
        <v>339</v>
      </c>
      <c r="B44" s="7" t="str">
        <f>VLOOKUP(A44,Results_exp1_0shot!$A$2:$C$255,3,FALSE)</f>
        <v>6-1</v>
      </c>
      <c r="C44">
        <f>VLOOKUP(A44,Results_exp1_0shot!$A$2:$D$255,4,FALSE)</f>
        <v>2.4974613347120318</v>
      </c>
      <c r="D44" s="147">
        <f>Results_exp1_0shot!R199</f>
        <v>0.70588235294117652</v>
      </c>
      <c r="E44" s="147">
        <f>Results_exp1_0shot!R200</f>
        <v>0.6495726495726496</v>
      </c>
      <c r="F44" s="147">
        <f>Results_exp1_0shot!R201</f>
        <v>0.74380165289256206</v>
      </c>
      <c r="G44" s="147">
        <f>Results_exp1_0shot!R202</f>
        <v>0.69491525423728817</v>
      </c>
      <c r="H44" s="147">
        <f>Results_exp1_0shot!R203</f>
        <v>0.71666666666666667</v>
      </c>
      <c r="I44" s="302">
        <f t="shared" si="13"/>
        <v>0.70216771526206867</v>
      </c>
      <c r="J44" s="41"/>
      <c r="K44" s="147">
        <f>Results_exp1_0shot!X199</f>
        <v>0.50000000000000011</v>
      </c>
      <c r="L44" s="147">
        <f>Results_exp1_0shot!X200</f>
        <v>0.55555555555555558</v>
      </c>
      <c r="M44" s="147">
        <f>Results_exp1_0shot!X201</f>
        <v>0.63157894736842102</v>
      </c>
      <c r="N44" s="147">
        <f>Results_exp1_0shot!X202</f>
        <v>0.6</v>
      </c>
      <c r="O44" s="147">
        <f>Results_exp1_0shot!X203</f>
        <v>0.52631578947368418</v>
      </c>
      <c r="P44" s="302">
        <f t="shared" si="14"/>
        <v>0.56269005847953213</v>
      </c>
      <c r="R44" s="147">
        <f>Results_exp1_0shot!AD199</f>
        <v>0.45454545454545459</v>
      </c>
      <c r="S44" s="147">
        <f>Results_exp1_0shot!AD200</f>
        <v>0.37999999999999995</v>
      </c>
      <c r="T44" s="147">
        <f>Results_exp1_0shot!AD201</f>
        <v>0.42307692307692307</v>
      </c>
      <c r="U44" s="147">
        <f>Results_exp1_0shot!AD202</f>
        <v>0.46</v>
      </c>
      <c r="V44" s="147">
        <f>Results_exp1_0shot!AD203</f>
        <v>0.52941176470588236</v>
      </c>
      <c r="W44" s="302">
        <f t="shared" si="15"/>
        <v>0.449406828465652</v>
      </c>
      <c r="Y44" s="147">
        <f>Results_exp1_0shot!AH199</f>
        <v>0</v>
      </c>
      <c r="Z44" s="147">
        <f>Results_exp1_0shot!AH200</f>
        <v>0.08</v>
      </c>
      <c r="AA44" s="147">
        <f>Results_exp1_0shot!AH201</f>
        <v>0.08</v>
      </c>
      <c r="AB44" s="147">
        <f>Results_exp1_0shot!AH202</f>
        <v>0.08</v>
      </c>
      <c r="AC44" s="147">
        <f>Results_exp1_0shot!AH203</f>
        <v>0.12</v>
      </c>
      <c r="AD44" s="302">
        <f t="shared" si="16"/>
        <v>7.1999999999999995E-2</v>
      </c>
      <c r="AE44" s="147"/>
      <c r="AF44" s="147">
        <f>Results_exp1_0shot!AI199</f>
        <v>0</v>
      </c>
      <c r="AG44" s="147">
        <f>Results_exp1_0shot!AI200</f>
        <v>1</v>
      </c>
      <c r="AH44" s="147">
        <f>Results_exp1_0shot!AI201</f>
        <v>1</v>
      </c>
      <c r="AI44" s="147">
        <f>Results_exp1_0shot!AI202</f>
        <v>1</v>
      </c>
      <c r="AJ44" s="147">
        <f>Results_exp1_0shot!AI203</f>
        <v>1</v>
      </c>
      <c r="AK44" s="302">
        <f>AVERAGE(AG44:AJ44)</f>
        <v>1</v>
      </c>
      <c r="AM44" s="147">
        <v>546</v>
      </c>
      <c r="AN44" s="147">
        <v>225</v>
      </c>
      <c r="AO44" s="147">
        <v>272</v>
      </c>
      <c r="AP44" s="147">
        <v>282</v>
      </c>
      <c r="AQ44" s="147">
        <v>291</v>
      </c>
      <c r="AR44" s="302">
        <f t="shared" si="17"/>
        <v>323.2</v>
      </c>
    </row>
    <row r="45" spans="1:44">
      <c r="A45" t="s">
        <v>341</v>
      </c>
      <c r="B45" t="str">
        <f>VLOOKUP(A45,Results_exp1_0shot!$A$2:$C$255,3,FALSE)</f>
        <v>4-1</v>
      </c>
      <c r="C45">
        <f>VLOOKUP(A45,Results_exp1_0shot!$A$2:$D$255,4,FALSE)</f>
        <v>2.794074291209645</v>
      </c>
      <c r="D45" s="147">
        <f>Results_exp1_0shot!R206</f>
        <v>0.65573770491803274</v>
      </c>
      <c r="E45" s="147">
        <f>Results_exp1_0shot!R207</f>
        <v>0.75000000000000011</v>
      </c>
      <c r="F45" s="147">
        <f>Results_exp1_0shot!R208</f>
        <v>0.75384615384615383</v>
      </c>
      <c r="G45" s="147">
        <f>Results_exp1_0shot!R209</f>
        <v>0.75000000000000011</v>
      </c>
      <c r="H45" s="147">
        <f>Results_exp1_0shot!R210</f>
        <v>0.69767441860465118</v>
      </c>
      <c r="I45" s="302">
        <f t="shared" si="13"/>
        <v>0.72145165547376755</v>
      </c>
      <c r="J45" s="14"/>
      <c r="K45" s="147">
        <f>Results_exp1_0shot!X206</f>
        <v>0.31578947368421051</v>
      </c>
      <c r="L45" s="147">
        <f>Results_exp1_0shot!X207</f>
        <v>0.47619047619047622</v>
      </c>
      <c r="M45" s="147">
        <f>Results_exp1_0shot!X208</f>
        <v>0.66666666666666663</v>
      </c>
      <c r="N45" s="147">
        <f>Results_exp1_0shot!X209</f>
        <v>0.45454545454545453</v>
      </c>
      <c r="O45" s="147">
        <f>Results_exp1_0shot!X210</f>
        <v>0.54545454545454541</v>
      </c>
      <c r="P45" s="302">
        <f t="shared" si="14"/>
        <v>0.49172932330827068</v>
      </c>
      <c r="R45" s="147">
        <f>Results_exp1_0shot!AD206</f>
        <v>0.4210526315789474</v>
      </c>
      <c r="S45" s="147">
        <f>Results_exp1_0shot!AD207</f>
        <v>0.61290322580645162</v>
      </c>
      <c r="T45" s="147">
        <f>Results_exp1_0shot!AD208</f>
        <v>0.51724137931034486</v>
      </c>
      <c r="U45" s="147">
        <f>Results_exp1_0shot!AD209</f>
        <v>0.65573770491803285</v>
      </c>
      <c r="V45" s="147">
        <f>Results_exp1_0shot!AD210</f>
        <v>0.52100840336134446</v>
      </c>
      <c r="W45" s="302">
        <f t="shared" si="15"/>
        <v>0.54558866899502423</v>
      </c>
      <c r="Y45" s="147">
        <f>Results_exp1_0shot!AH206</f>
        <v>0</v>
      </c>
      <c r="Z45" s="147">
        <f>Results_exp1_0shot!AH207</f>
        <v>0</v>
      </c>
      <c r="AA45" s="147">
        <f>Results_exp1_0shot!AH208</f>
        <v>0</v>
      </c>
      <c r="AB45" s="147">
        <f>Results_exp1_0shot!AH209</f>
        <v>9.6774193548387094E-2</v>
      </c>
      <c r="AC45" s="147">
        <f>Results_exp1_0shot!AH210</f>
        <v>6.4516129032258063E-2</v>
      </c>
      <c r="AD45" s="302">
        <f t="shared" si="16"/>
        <v>3.2258064516129031E-2</v>
      </c>
      <c r="AE45" s="147"/>
      <c r="AF45" s="147">
        <f>Results_exp1_0shot!AI206</f>
        <v>0</v>
      </c>
      <c r="AG45" s="147">
        <f>Results_exp1_0shot!AI207</f>
        <v>0</v>
      </c>
      <c r="AH45" s="147">
        <f>Results_exp1_0shot!AI208</f>
        <v>0</v>
      </c>
      <c r="AI45" s="147">
        <f>Results_exp1_0shot!AI209</f>
        <v>0</v>
      </c>
      <c r="AJ45" s="147">
        <f>Results_exp1_0shot!AI210</f>
        <v>0</v>
      </c>
      <c r="AK45" s="302">
        <f t="shared" ref="AK45" si="18">AVERAGE(AF45:AJ45)</f>
        <v>0</v>
      </c>
      <c r="AM45" s="147">
        <v>311</v>
      </c>
      <c r="AN45" s="147">
        <v>435</v>
      </c>
      <c r="AO45" s="147">
        <v>369</v>
      </c>
      <c r="AP45" s="147">
        <v>295</v>
      </c>
      <c r="AQ45" s="147">
        <v>373</v>
      </c>
      <c r="AR45" s="302">
        <f t="shared" si="17"/>
        <v>356.6</v>
      </c>
    </row>
    <row r="46" spans="1:44">
      <c r="A46" t="s">
        <v>342</v>
      </c>
      <c r="B46" t="str">
        <f>VLOOKUP(A46,Results_exp1_0shot!$A$2:$C$255,3,FALSE)</f>
        <v>8-7</v>
      </c>
      <c r="C46">
        <f>VLOOKUP(A46,Results_exp1_0shot!$A$2:$D$255,4,FALSE)</f>
        <v>3.2133281387646022</v>
      </c>
      <c r="D46" s="147">
        <f>Results_exp1_0shot!R213</f>
        <v>0.62121212121212122</v>
      </c>
      <c r="E46" s="147">
        <f>Results_exp1_0shot!R214</f>
        <v>0.60799999999999987</v>
      </c>
      <c r="F46" s="147">
        <f>Results_exp1_0shot!R215</f>
        <v>0.61068702290076338</v>
      </c>
      <c r="G46" s="147">
        <f>Results_exp1_0shot!R216</f>
        <v>0.65714285714285703</v>
      </c>
      <c r="H46" s="147">
        <f>Results_exp1_0shot!R217</f>
        <v>0.53658536585365857</v>
      </c>
      <c r="I46" s="302">
        <f t="shared" si="13"/>
        <v>0.6067254734218801</v>
      </c>
      <c r="J46" s="14"/>
      <c r="K46" s="147">
        <f>Results_exp1_0shot!X213</f>
        <v>0.55555555555555558</v>
      </c>
      <c r="L46" s="147">
        <f>Results_exp1_0shot!X214</f>
        <v>0.55555555555555558</v>
      </c>
      <c r="M46" s="147">
        <f>Results_exp1_0shot!X215</f>
        <v>0.55555555555555558</v>
      </c>
      <c r="N46" s="147">
        <f>Results_exp1_0shot!X216</f>
        <v>0.55555555555555558</v>
      </c>
      <c r="O46" s="147">
        <f>Results_exp1_0shot!X217</f>
        <v>0.66666666666666652</v>
      </c>
      <c r="P46" s="302">
        <f t="shared" si="14"/>
        <v>0.57777777777777772</v>
      </c>
      <c r="R46" s="147">
        <f>Results_exp1_0shot!AD213</f>
        <v>0.52032520325203246</v>
      </c>
      <c r="S46" s="147">
        <f>Results_exp1_0shot!AD214</f>
        <v>0.44827586206896558</v>
      </c>
      <c r="T46" s="147">
        <f>Results_exp1_0shot!AD215</f>
        <v>0.50819672131147553</v>
      </c>
      <c r="U46" s="147">
        <f>Results_exp1_0shot!AD216</f>
        <v>0.56488549618320594</v>
      </c>
      <c r="V46" s="147">
        <f>Results_exp1_0shot!AD217</f>
        <v>0.57894736842105265</v>
      </c>
      <c r="W46" s="302">
        <f t="shared" si="15"/>
        <v>0.52412613024734633</v>
      </c>
      <c r="Y46" s="147">
        <f>Results_exp1_0shot!AH213</f>
        <v>0</v>
      </c>
      <c r="Z46" s="147">
        <f>Results_exp1_0shot!AH214</f>
        <v>6.0606060606060608E-2</v>
      </c>
      <c r="AA46" s="147">
        <f>Results_exp1_0shot!AH215</f>
        <v>0</v>
      </c>
      <c r="AB46" s="147">
        <f>Results_exp1_0shot!AH216</f>
        <v>0</v>
      </c>
      <c r="AC46" s="147">
        <f>Results_exp1_0shot!AH217</f>
        <v>6.0606060606060608E-2</v>
      </c>
      <c r="AD46" s="302">
        <f t="shared" si="16"/>
        <v>2.4242424242424242E-2</v>
      </c>
      <c r="AE46" s="147"/>
      <c r="AF46" s="147">
        <f>Results_exp1_0shot!AI213</f>
        <v>0</v>
      </c>
      <c r="AG46" s="147">
        <f>Results_exp1_0shot!AI214</f>
        <v>1</v>
      </c>
      <c r="AH46" s="147">
        <f>Results_exp1_0shot!AI215</f>
        <v>0</v>
      </c>
      <c r="AI46" s="147">
        <f>Results_exp1_0shot!AI216</f>
        <v>0</v>
      </c>
      <c r="AJ46" s="147">
        <f>Results_exp1_0shot!AI217</f>
        <v>1</v>
      </c>
      <c r="AK46" s="302">
        <f>AVERAGE(AJ46)</f>
        <v>1</v>
      </c>
      <c r="AM46" s="147">
        <v>317</v>
      </c>
      <c r="AN46" s="147">
        <v>330</v>
      </c>
      <c r="AO46" s="147">
        <v>402</v>
      </c>
      <c r="AP46" s="147">
        <v>365</v>
      </c>
      <c r="AQ46" s="147">
        <v>400</v>
      </c>
      <c r="AR46" s="302">
        <f t="shared" si="17"/>
        <v>362.8</v>
      </c>
    </row>
    <row r="47" spans="1:44">
      <c r="A47" t="s">
        <v>343</v>
      </c>
      <c r="B47" t="str">
        <f>VLOOKUP(A47,Results_exp1_0shot!$A$2:$C$255,3,FALSE)</f>
        <v>8-6</v>
      </c>
      <c r="C47">
        <f>VLOOKUP(A47,Results_exp1_0shot!$A$2:$D$255,4,FALSE)</f>
        <v>3.2868164116145109</v>
      </c>
      <c r="D47" s="147">
        <f>Results_exp1_0shot!R220</f>
        <v>0.71232876712328774</v>
      </c>
      <c r="E47" s="147">
        <f>Results_exp1_0shot!R221</f>
        <v>0.72440944881889757</v>
      </c>
      <c r="F47" s="147">
        <f>Results_exp1_0shot!R222</f>
        <v>0.59701492537313428</v>
      </c>
      <c r="G47" s="147">
        <f>Results_exp1_0shot!R223</f>
        <v>0.65753424657534243</v>
      </c>
      <c r="H47" s="147">
        <f>Results_exp1_0shot!R224</f>
        <v>0.45378151260504201</v>
      </c>
      <c r="I47" s="302">
        <f t="shared" si="13"/>
        <v>0.62901378009914077</v>
      </c>
      <c r="J47" s="14"/>
      <c r="K47" s="147">
        <f>Results_exp1_0shot!X220</f>
        <v>0.63157894736842102</v>
      </c>
      <c r="L47" s="147">
        <f>Results_exp1_0shot!X221</f>
        <v>0.66666666666666663</v>
      </c>
      <c r="M47" s="147">
        <f>Results_exp1_0shot!X222</f>
        <v>0.52631578947368418</v>
      </c>
      <c r="N47" s="147">
        <f>Results_exp1_0shot!X223</f>
        <v>0.47619047619047622</v>
      </c>
      <c r="O47" s="147">
        <f>Results_exp1_0shot!X224</f>
        <v>0.5</v>
      </c>
      <c r="P47" s="302">
        <f t="shared" si="14"/>
        <v>0.56015037593984962</v>
      </c>
      <c r="R47" s="147">
        <f>Results_exp1_0shot!AD220</f>
        <v>0.80281690140845074</v>
      </c>
      <c r="S47" s="147">
        <f>Results_exp1_0shot!AD221</f>
        <v>0.46280991735537191</v>
      </c>
      <c r="T47" s="147">
        <f>Results_exp1_0shot!AD222</f>
        <v>0.45669291338582679</v>
      </c>
      <c r="U47" s="147">
        <f>Results_exp1_0shot!AD223</f>
        <v>0.66197183098591539</v>
      </c>
      <c r="V47" s="147">
        <f>Results_exp1_0shot!AD224</f>
        <v>0.30630630630630629</v>
      </c>
      <c r="W47" s="302">
        <f t="shared" si="15"/>
        <v>0.53811957388837428</v>
      </c>
      <c r="Y47" s="147">
        <f>Results_exp1_0shot!AH220</f>
        <v>0</v>
      </c>
      <c r="Z47" s="147">
        <f>Results_exp1_0shot!AH221</f>
        <v>6.0606060606060608E-2</v>
      </c>
      <c r="AA47" s="147">
        <f>Results_exp1_0shot!AH222</f>
        <v>0</v>
      </c>
      <c r="AB47" s="147">
        <f>Results_exp1_0shot!AH223</f>
        <v>0</v>
      </c>
      <c r="AC47" s="147">
        <f>Results_exp1_0shot!AH224</f>
        <v>6.0606060606060608E-2</v>
      </c>
      <c r="AD47" s="302">
        <f t="shared" si="16"/>
        <v>2.4242424242424242E-2</v>
      </c>
      <c r="AE47" s="147"/>
      <c r="AF47" s="147">
        <f>Results_exp1_0shot!AI220</f>
        <v>0</v>
      </c>
      <c r="AG47" s="147">
        <f>Results_exp1_0shot!AI221</f>
        <v>1</v>
      </c>
      <c r="AH47" s="147">
        <f>Results_exp1_0shot!AI222</f>
        <v>0</v>
      </c>
      <c r="AI47" s="147">
        <f>Results_exp1_0shot!AI223</f>
        <v>0</v>
      </c>
      <c r="AJ47" s="147">
        <f>Results_exp1_0shot!AI224</f>
        <v>1</v>
      </c>
      <c r="AK47" s="302">
        <f>AVERAGE(AJ47)</f>
        <v>1</v>
      </c>
      <c r="AM47" s="147">
        <v>580</v>
      </c>
      <c r="AN47" s="147">
        <v>586</v>
      </c>
      <c r="AO47" s="147">
        <v>385</v>
      </c>
      <c r="AP47" s="147">
        <v>585</v>
      </c>
      <c r="AQ47" s="147">
        <v>299</v>
      </c>
      <c r="AR47" s="302">
        <f t="shared" si="17"/>
        <v>487</v>
      </c>
    </row>
    <row r="48" spans="1:44">
      <c r="A48" t="s">
        <v>344</v>
      </c>
      <c r="B48" t="str">
        <f>VLOOKUP(A48,Results_exp1_0shot!$A$2:$C$255,3,FALSE)</f>
        <v>10-2</v>
      </c>
      <c r="C48">
        <f>VLOOKUP(A48,Results_exp1_0shot!$A$2:$D$255,4,FALSE)</f>
        <v>5.4716830818645583</v>
      </c>
      <c r="D48" s="147">
        <f>Results_exp1_0shot!R227</f>
        <v>0.26470588235294112</v>
      </c>
      <c r="E48" s="147">
        <f>Results_exp1_0shot!R228</f>
        <v>0.42682926829268286</v>
      </c>
      <c r="F48" s="147">
        <f>Results_exp1_0shot!R229</f>
        <v>0.4823529411764706</v>
      </c>
      <c r="G48" s="147">
        <f>Results_exp1_0shot!R230</f>
        <v>0.24637681159420288</v>
      </c>
      <c r="H48" s="147">
        <f>Results_exp1_0shot!R231</f>
        <v>0.30555555555555552</v>
      </c>
      <c r="I48" s="302">
        <f t="shared" si="13"/>
        <v>0.34516409179437063</v>
      </c>
      <c r="J48" s="14"/>
      <c r="K48" s="147">
        <f>Results_exp1_0shot!X227</f>
        <v>0.28571428571428575</v>
      </c>
      <c r="L48" s="147">
        <f>Results_exp1_0shot!X228</f>
        <v>0.38461538461538458</v>
      </c>
      <c r="M48" s="147">
        <f>Results_exp1_0shot!X229</f>
        <v>0.32</v>
      </c>
      <c r="N48" s="147">
        <f>Results_exp1_0shot!X230</f>
        <v>0.33333333333333337</v>
      </c>
      <c r="O48" s="147">
        <f>Results_exp1_0shot!X231</f>
        <v>0.34782608695652178</v>
      </c>
      <c r="P48" s="302">
        <f t="shared" si="14"/>
        <v>0.33429781812390513</v>
      </c>
      <c r="R48" s="147">
        <f>Results_exp1_0shot!AD227</f>
        <v>0.19847328244274809</v>
      </c>
      <c r="S48" s="147">
        <f>Results_exp1_0shot!AD228</f>
        <v>0.19480519480519481</v>
      </c>
      <c r="T48" s="147">
        <f>Results_exp1_0shot!AD229</f>
        <v>0.36363636363636365</v>
      </c>
      <c r="U48" s="147">
        <f>Results_exp1_0shot!AD230</f>
        <v>0.19548872180451127</v>
      </c>
      <c r="V48" s="147">
        <f>Results_exp1_0shot!AD231</f>
        <v>0.25899280575539568</v>
      </c>
      <c r="W48" s="302">
        <f t="shared" si="15"/>
        <v>0.24227927368884269</v>
      </c>
      <c r="Y48" s="147">
        <f>Results_exp1_0shot!AH227</f>
        <v>2.0408163265306121E-2</v>
      </c>
      <c r="Z48" s="147">
        <f>Results_exp1_0shot!AH228</f>
        <v>2.0408163265306121E-2</v>
      </c>
      <c r="AA48" s="147">
        <f>Results_exp1_0shot!AH229</f>
        <v>0</v>
      </c>
      <c r="AB48" s="147">
        <f>Results_exp1_0shot!AH230</f>
        <v>4.0816326530612242E-2</v>
      </c>
      <c r="AC48" s="147">
        <f>Results_exp1_0shot!AH231</f>
        <v>2.0408163265306121E-2</v>
      </c>
      <c r="AD48" s="302">
        <f t="shared" si="16"/>
        <v>2.0408163265306121E-2</v>
      </c>
      <c r="AE48" s="147"/>
      <c r="AF48" s="147">
        <f>Results_exp1_0shot!AI227</f>
        <v>1</v>
      </c>
      <c r="AG48" s="147">
        <f>Results_exp1_0shot!AI228</f>
        <v>0.5</v>
      </c>
      <c r="AH48" s="147">
        <f>Results_exp1_0shot!AI229</f>
        <v>0</v>
      </c>
      <c r="AI48" s="147">
        <f>Results_exp1_0shot!AI230</f>
        <v>1</v>
      </c>
      <c r="AJ48" s="147">
        <f>Results_exp1_0shot!AI231</f>
        <v>1</v>
      </c>
      <c r="AK48" s="302">
        <f>AVERAGE(AF48:AG48,AI48:AJ48)</f>
        <v>0.875</v>
      </c>
      <c r="AM48" s="147">
        <v>234</v>
      </c>
      <c r="AN48" s="147">
        <v>327</v>
      </c>
      <c r="AO48" s="147">
        <v>349</v>
      </c>
      <c r="AP48" s="147">
        <v>275</v>
      </c>
      <c r="AQ48" s="147">
        <v>320</v>
      </c>
      <c r="AR48" s="302">
        <f t="shared" si="17"/>
        <v>301</v>
      </c>
    </row>
    <row r="49" spans="1:43" s="50" customFormat="1">
      <c r="A49" s="50" t="s">
        <v>346</v>
      </c>
      <c r="B49" s="50" t="str">
        <f>VLOOKUP(A49,Results_exp1_0shot!$A$2:$C$255,3,FALSE)</f>
        <v>8-5</v>
      </c>
      <c r="D49" s="148"/>
      <c r="E49" s="148"/>
      <c r="F49" s="148"/>
      <c r="G49" s="148"/>
      <c r="H49" s="148"/>
      <c r="I49" s="148"/>
      <c r="U49" s="49"/>
      <c r="AP49" s="49"/>
    </row>
    <row r="50" spans="1:43" s="50" customFormat="1">
      <c r="A50" s="50" t="s">
        <v>347</v>
      </c>
      <c r="B50" s="50" t="str">
        <f>VLOOKUP(A50,Results_exp1_0shot!$A$2:$C$255,3,FALSE)</f>
        <v>8-4</v>
      </c>
      <c r="D50" s="148"/>
      <c r="E50" s="148"/>
      <c r="F50" s="148"/>
      <c r="G50" s="148"/>
      <c r="H50" s="148"/>
      <c r="I50" s="148"/>
    </row>
    <row r="51" spans="1:43" s="50" customFormat="1">
      <c r="A51" s="50" t="s">
        <v>345</v>
      </c>
      <c r="B51" s="50" t="str">
        <f>VLOOKUP(A51,Results_exp1_0shot!$A$2:$C$255,3,FALSE)</f>
        <v>2-2</v>
      </c>
      <c r="D51" s="148"/>
      <c r="E51" s="148"/>
      <c r="F51" s="148"/>
      <c r="G51" s="148"/>
      <c r="H51" s="148"/>
      <c r="I51" s="148"/>
    </row>
    <row r="52" spans="1:43" s="152" customFormat="1">
      <c r="A52" s="152" t="s">
        <v>400</v>
      </c>
      <c r="B52" s="152" t="str">
        <f>VLOOKUP(A52,Results_exp1_0shot!$A$2:$C$255,3,FALSE)</f>
        <v>2-1</v>
      </c>
      <c r="D52" s="153"/>
      <c r="E52" s="153"/>
      <c r="F52" s="153"/>
      <c r="G52" s="153"/>
      <c r="H52" s="153"/>
      <c r="I52" s="153"/>
    </row>
    <row r="53" spans="1:43" s="14" customFormat="1">
      <c r="A53" s="1" t="s">
        <v>660</v>
      </c>
      <c r="B53" s="1"/>
      <c r="C53" s="1"/>
      <c r="D53" s="151">
        <f>AVERAGE(D43:D48)</f>
        <v>0.58239159786137484</v>
      </c>
      <c r="E53" s="151">
        <f>AVERAGE(E43:E48)</f>
        <v>0.61763665228212949</v>
      </c>
      <c r="F53" s="196">
        <f>AVERAGE(F43:F48)</f>
        <v>0.63669688811128611</v>
      </c>
      <c r="G53" s="151">
        <f>AVERAGE(G43:G48)</f>
        <v>0.61210597270272615</v>
      </c>
      <c r="H53" s="151">
        <f>AVERAGE(H43:H48)</f>
        <v>0.55171058654759564</v>
      </c>
      <c r="I53" s="188"/>
      <c r="J53"/>
      <c r="K53" s="151">
        <f>AVERAGE(K43:K48)</f>
        <v>0.42905875800612642</v>
      </c>
      <c r="L53" s="151">
        <f>AVERAGE(L43:L48)</f>
        <v>0.48738298738298741</v>
      </c>
      <c r="M53" s="196">
        <f>AVERAGE(M43:M48)</f>
        <v>0.55668615984405456</v>
      </c>
      <c r="N53" s="151">
        <f>AVERAGE(N43:N48)</f>
        <v>0.51921283225631065</v>
      </c>
      <c r="O53" s="151">
        <f>AVERAGE(O43:O48)</f>
        <v>0.51800036983103348</v>
      </c>
      <c r="P53" s="188"/>
      <c r="R53" s="151">
        <f>AVERAGE(R43:R48)</f>
        <v>0.49248429681999023</v>
      </c>
      <c r="S53" s="151">
        <f>AVERAGE(S43:S48)</f>
        <v>0.44728331006889038</v>
      </c>
      <c r="T53" s="151">
        <f>AVERAGE(T43:T48)</f>
        <v>0.47248033942833173</v>
      </c>
      <c r="U53" s="196">
        <f>AVERAGE(U43:U48)</f>
        <v>0.51475707824799932</v>
      </c>
      <c r="V53" s="151">
        <f>AVERAGE(V43:V48)</f>
        <v>0.46363710197545566</v>
      </c>
      <c r="W53" s="188"/>
      <c r="Y53" s="151">
        <f>AVERAGE(Y43:Y48)</f>
        <v>3.4013605442176869E-3</v>
      </c>
      <c r="Z53" s="151">
        <f>AVERAGE(Z43:Z48)</f>
        <v>4.2492269635126784E-2</v>
      </c>
      <c r="AA53" s="151">
        <f>AVERAGE(AA43:AA48)</f>
        <v>1.3333333333333334E-2</v>
      </c>
      <c r="AB53" s="151">
        <f>AVERAGE(AB43:AB48)</f>
        <v>3.6265086679833219E-2</v>
      </c>
      <c r="AC53" s="196">
        <f>AVERAGE(AC43:AC48)</f>
        <v>5.4356068918280903E-2</v>
      </c>
      <c r="AD53" s="209"/>
      <c r="AF53" s="151">
        <f>AVERAGE(AF48)</f>
        <v>1</v>
      </c>
      <c r="AG53" s="196">
        <f>AVERAGE(AG43:AG44,AG46:AG48)</f>
        <v>0.9</v>
      </c>
      <c r="AH53" s="151">
        <f>AVERAGE(AH44)</f>
        <v>1</v>
      </c>
      <c r="AI53" s="151">
        <f>AVERAGE(AI44,AI48)</f>
        <v>1</v>
      </c>
      <c r="AJ53" s="151">
        <f>AVERAGE(AJ44,AJ46:AJ48)</f>
        <v>1</v>
      </c>
      <c r="AK53" s="188"/>
      <c r="AM53" s="188">
        <f>AVERAGE(AM43:AM48)</f>
        <v>399.66666666666669</v>
      </c>
      <c r="AN53" s="188">
        <f>AVERAGE(AN43:AN48)</f>
        <v>375.16666666666669</v>
      </c>
      <c r="AO53" s="209">
        <f>AVERAGE(AO43:AO48)</f>
        <v>379.33333333333331</v>
      </c>
      <c r="AP53" s="216">
        <f>AVERAGE(AP43:AP48)</f>
        <v>368.83333333333331</v>
      </c>
      <c r="AQ53" s="188">
        <f>AVERAGE(AQ43:AQ48)</f>
        <v>344</v>
      </c>
    </row>
    <row r="54" spans="1:43" s="14" customFormat="1">
      <c r="A54" s="1" t="s">
        <v>659</v>
      </c>
      <c r="B54" s="1"/>
      <c r="C54" s="1"/>
      <c r="D54" s="331">
        <f>AVERAGE(D43:H48)</f>
        <v>0.60010833950102238</v>
      </c>
      <c r="E54" s="331"/>
      <c r="F54" s="331"/>
      <c r="G54" s="331"/>
      <c r="H54" s="331"/>
      <c r="I54" s="188"/>
      <c r="J54"/>
      <c r="K54" s="331">
        <f>AVERAGE(K43:O48)</f>
        <v>0.50206822146410246</v>
      </c>
      <c r="L54" s="331"/>
      <c r="M54" s="331"/>
      <c r="N54" s="331"/>
      <c r="O54" s="331"/>
      <c r="P54" s="188"/>
      <c r="R54" s="331">
        <f>AVERAGE(R43:V48)</f>
        <v>0.47812842530813343</v>
      </c>
      <c r="S54" s="331"/>
      <c r="T54" s="331"/>
      <c r="U54" s="331"/>
      <c r="V54" s="331"/>
      <c r="W54" s="188"/>
      <c r="Y54" s="331">
        <f>AVERAGE(Y43:AC48)</f>
        <v>2.9969623822158384E-2</v>
      </c>
      <c r="Z54" s="331"/>
      <c r="AA54" s="331"/>
      <c r="AB54" s="331"/>
      <c r="AC54" s="331"/>
      <c r="AD54" s="188"/>
      <c r="AF54" s="331">
        <f>AVERAGE(AG43:AG44,AH44:AJ44,AG46:AG47,AF48:AG48,AI48,AJ46:AJ48)</f>
        <v>0.96153846153846156</v>
      </c>
      <c r="AG54" s="331"/>
      <c r="AH54" s="331"/>
      <c r="AI54" s="331"/>
      <c r="AJ54" s="331"/>
      <c r="AK54" s="188"/>
      <c r="AM54" s="331">
        <f>AVERAGE(AM43:AQ48)</f>
        <v>373.4</v>
      </c>
      <c r="AN54" s="331"/>
      <c r="AO54" s="331"/>
      <c r="AP54" s="331"/>
      <c r="AQ54" s="331"/>
    </row>
    <row r="56" spans="1:43" s="156" customFormat="1" ht="16" thickBot="1">
      <c r="A56" s="154" t="s">
        <v>589</v>
      </c>
      <c r="B56" s="154"/>
      <c r="C56" s="154"/>
      <c r="D56" s="155">
        <f>AVERAGE(D8:D22,D27:D38,D43:D48)</f>
        <v>0.77086366065819845</v>
      </c>
      <c r="E56" s="155">
        <f t="shared" ref="E56:AA56" si="19">AVERAGE(E8:E22,E27:E38,E43:E48)</f>
        <v>0.76981575038405259</v>
      </c>
      <c r="F56" s="155">
        <f t="shared" si="19"/>
        <v>0.77583082770882206</v>
      </c>
      <c r="G56" s="197">
        <f t="shared" si="19"/>
        <v>0.78793104764371547</v>
      </c>
      <c r="H56" s="155">
        <f t="shared" si="19"/>
        <v>0.78091227131916496</v>
      </c>
      <c r="I56" s="155"/>
      <c r="J56" s="155"/>
      <c r="K56" s="155">
        <f t="shared" si="19"/>
        <v>0.66580286180342452</v>
      </c>
      <c r="L56" s="155">
        <f t="shared" si="19"/>
        <v>0.69144005175144474</v>
      </c>
      <c r="M56" s="155">
        <f t="shared" si="19"/>
        <v>0.69466103673909296</v>
      </c>
      <c r="N56" s="197">
        <f>AVERAGE(N8:N22,N27:N38,N43:N48)</f>
        <v>0.69898137461494825</v>
      </c>
      <c r="O56" s="155">
        <f t="shared" si="19"/>
        <v>0.69851287718970489</v>
      </c>
      <c r="P56" s="155"/>
      <c r="Q56" s="155"/>
      <c r="R56" s="155">
        <f t="shared" si="19"/>
        <v>0.68245045087684097</v>
      </c>
      <c r="S56" s="155">
        <f t="shared" si="19"/>
        <v>0.6574433629880021</v>
      </c>
      <c r="T56" s="155">
        <f t="shared" si="19"/>
        <v>0.68791675313061529</v>
      </c>
      <c r="U56" s="197">
        <f t="shared" si="19"/>
        <v>0.76577029318107181</v>
      </c>
      <c r="V56" s="155">
        <f t="shared" si="19"/>
        <v>0.7117466685241669</v>
      </c>
      <c r="W56" s="155"/>
      <c r="X56" s="155"/>
      <c r="Y56" s="155">
        <f t="shared" si="19"/>
        <v>0.14243654129782496</v>
      </c>
      <c r="Z56" s="197">
        <f>AVERAGE(Z8:Z22,Z27:Z38,Z43:Z48)</f>
        <v>0.34752948225509978</v>
      </c>
      <c r="AA56" s="155">
        <f t="shared" si="19"/>
        <v>0.2863716766167746</v>
      </c>
      <c r="AB56" s="155">
        <f>AVERAGE(AB8:AB22,AB27:AB38,AB43:AB48)</f>
        <v>0.27206498944548191</v>
      </c>
      <c r="AC56" s="155">
        <f>AVERAGE(AC8:AC22,AC27:AC38,AC43:AC48)</f>
        <v>0.29411037699326842</v>
      </c>
      <c r="AD56" s="155"/>
      <c r="AE56" s="155"/>
      <c r="AF56" s="155">
        <f>AVERAGE(AF8:AF9,AF12,AF13,AF15:AF18,AF21,AF22,AF27:AF28,AF30,AF35,AF38,AF48)</f>
        <v>1</v>
      </c>
      <c r="AG56" s="155">
        <f>AVERAGE(AG8:AG22,AG27:AG34,AG38,AG43:AG44,AG46:AG48)</f>
        <v>0.94001094690749876</v>
      </c>
      <c r="AH56" s="155">
        <f>AVERAGE(AH8:AH22,AH27:AH28,AH30,AH32:AH34,AH38,AH44)</f>
        <v>0.97342995169082125</v>
      </c>
      <c r="AI56" s="155">
        <f>AVERAGE(AI8:AI22,AI27:AI28,AI30:AI32,AI38,AI44,AI48)</f>
        <v>0.95108695652173914</v>
      </c>
      <c r="AJ56" s="197">
        <f>AVERAGE(AJ8:AJ22,AJ27:AJ32,AJ34,AJ36,AJ35,AJ38,AJ44,AJ46:AJ48)</f>
        <v>0.94521072796934869</v>
      </c>
      <c r="AK56" s="197"/>
      <c r="AM56" s="155">
        <f>AVERAGE(AM8:AM22,AM27:AM38,AM43:AM48)</f>
        <v>288.18181818181819</v>
      </c>
      <c r="AN56" s="155">
        <f t="shared" ref="AN56:AQ56" si="20">AVERAGE(AN8:AN22,AN27:AN38,AN43:AN48)</f>
        <v>324.69696969696969</v>
      </c>
      <c r="AO56" s="155">
        <f t="shared" si="20"/>
        <v>315.12121212121212</v>
      </c>
      <c r="AP56" s="222">
        <f t="shared" si="20"/>
        <v>317.45454545454544</v>
      </c>
      <c r="AQ56" s="197">
        <f t="shared" si="20"/>
        <v>334.36363636363637</v>
      </c>
    </row>
    <row r="57" spans="1:43" ht="16" thickTop="1">
      <c r="A57" s="33" t="s">
        <v>795</v>
      </c>
      <c r="D57" s="333">
        <f>AVERAGE(D8:H22,D27:H38,D43:H48)</f>
        <v>0.77707071154279017</v>
      </c>
      <c r="E57" s="332"/>
      <c r="F57" s="332"/>
      <c r="G57" s="332"/>
      <c r="H57" s="332"/>
      <c r="I57" s="2"/>
      <c r="K57" s="333">
        <f>AVERAGE(K8:O22,K27:O38,K43:O48)</f>
        <v>0.68987964041972305</v>
      </c>
      <c r="L57" s="332"/>
      <c r="M57" s="332"/>
      <c r="N57" s="332"/>
      <c r="O57" s="332"/>
      <c r="P57" s="2"/>
      <c r="R57" s="333">
        <f>AVERAGE(R8:V22,R27:V38,R43:V48)</f>
        <v>0.70106550574013937</v>
      </c>
      <c r="S57" s="332"/>
      <c r="T57" s="332"/>
      <c r="U57" s="332"/>
      <c r="V57" s="332"/>
      <c r="W57" s="2"/>
      <c r="Y57" s="333">
        <f>AVERAGE(Y8:AC22,Y27:AC38,Y43:AC48)</f>
        <v>0.26850261332169029</v>
      </c>
      <c r="Z57" s="332"/>
      <c r="AA57" s="332"/>
      <c r="AB57" s="332"/>
      <c r="AC57" s="332"/>
      <c r="AD57" s="2"/>
      <c r="AF57" s="333">
        <f>AVERAGE(AF8:AJ22,AF27:AJ38,AF43:AJ48)</f>
        <v>0.69657768157768152</v>
      </c>
      <c r="AG57" s="332"/>
      <c r="AH57" s="332"/>
      <c r="AI57" s="332"/>
      <c r="AJ57" s="332"/>
      <c r="AK57" s="2"/>
    </row>
    <row r="58" spans="1:43">
      <c r="A58" s="33" t="s">
        <v>792</v>
      </c>
      <c r="D58" s="332">
        <f>_xlfn.STDEV.P(D8:H22,D27:H38,D43:H48)</f>
        <v>0.15340723641583159</v>
      </c>
      <c r="E58" s="332"/>
      <c r="F58" s="332"/>
      <c r="G58" s="332"/>
      <c r="H58" s="332"/>
      <c r="I58" s="2"/>
      <c r="K58" s="332">
        <f>_xlfn.STDEV.P(K8:O22,K27:O38,K43:O48)</f>
        <v>0.17712455777531785</v>
      </c>
      <c r="L58" s="332"/>
      <c r="M58" s="332"/>
      <c r="N58" s="332"/>
      <c r="O58" s="332"/>
      <c r="P58" s="2"/>
      <c r="R58" s="332">
        <f>_xlfn.STDEV.P(R8:V22,R27:V38,R43:V48)</f>
        <v>0.19838877888398138</v>
      </c>
      <c r="S58" s="332"/>
      <c r="T58" s="332"/>
      <c r="U58" s="332"/>
      <c r="V58" s="332"/>
      <c r="W58" s="2"/>
      <c r="Y58" s="332">
        <f>_xlfn.STDEV.P(Y8:AC22,Y27:AC38,Y43:AC48)</f>
        <v>0.32713566074505429</v>
      </c>
      <c r="Z58" s="332"/>
      <c r="AA58" s="332"/>
      <c r="AB58" s="332"/>
      <c r="AC58" s="332"/>
      <c r="AD58" s="2"/>
      <c r="AF58" s="332">
        <f>_xlfn.STDEV.P(AF8:AJ22,AF27:AJ38,AF43:AJ48)</f>
        <v>0.43997526289947869</v>
      </c>
      <c r="AG58" s="332"/>
      <c r="AH58" s="332"/>
      <c r="AI58" s="332"/>
      <c r="AJ58" s="332"/>
      <c r="AK58" s="2"/>
    </row>
  </sheetData>
  <mergeCells count="34">
    <mergeCell ref="R24:V24"/>
    <mergeCell ref="K24:O24"/>
    <mergeCell ref="D24:H24"/>
    <mergeCell ref="Y24:AC24"/>
    <mergeCell ref="AF24:AJ24"/>
    <mergeCell ref="D5:H5"/>
    <mergeCell ref="K5:O5"/>
    <mergeCell ref="R5:V5"/>
    <mergeCell ref="Y5:AC5"/>
    <mergeCell ref="AF5:AJ5"/>
    <mergeCell ref="R40:V40"/>
    <mergeCell ref="K40:O40"/>
    <mergeCell ref="D40:H40"/>
    <mergeCell ref="D54:H54"/>
    <mergeCell ref="AF54:AJ54"/>
    <mergeCell ref="Y54:AC54"/>
    <mergeCell ref="R54:V54"/>
    <mergeCell ref="K54:O54"/>
    <mergeCell ref="AM5:AQ5"/>
    <mergeCell ref="AM24:AQ24"/>
    <mergeCell ref="AM40:AQ40"/>
    <mergeCell ref="AM54:AQ54"/>
    <mergeCell ref="D58:H58"/>
    <mergeCell ref="D57:H57"/>
    <mergeCell ref="K57:O57"/>
    <mergeCell ref="K58:O58"/>
    <mergeCell ref="R57:V57"/>
    <mergeCell ref="R58:V58"/>
    <mergeCell ref="Y57:AC57"/>
    <mergeCell ref="Y58:AC58"/>
    <mergeCell ref="AF57:AJ57"/>
    <mergeCell ref="AF58:AJ58"/>
    <mergeCell ref="AF40:AJ40"/>
    <mergeCell ref="Y40:AC40"/>
  </mergeCells>
  <phoneticPr fontId="4"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378F-0030-7248-94DE-2ACB249DB16C}">
  <dimension ref="A1:BO105"/>
  <sheetViews>
    <sheetView zoomScale="90" zoomScaleNormal="90" workbookViewId="0">
      <pane ySplit="1" topLeftCell="A2" activePane="bottomLeft" state="frozen"/>
      <selection pane="bottomLeft" activeCell="O45" sqref="O45"/>
    </sheetView>
  </sheetViews>
  <sheetFormatPr baseColWidth="10" defaultRowHeight="15"/>
  <cols>
    <col min="3" max="3" width="8.33203125" style="76" customWidth="1"/>
    <col min="4" max="4" width="10.5" customWidth="1"/>
    <col min="5" max="5" width="10.33203125" customWidth="1"/>
    <col min="6" max="8" width="9.6640625" customWidth="1"/>
    <col min="9" max="9" width="9.83203125" customWidth="1"/>
    <col min="10" max="10" width="11.6640625" bestFit="1" customWidth="1"/>
    <col min="11" max="11" width="22.5" style="2" hidden="1" customWidth="1"/>
    <col min="12" max="12" width="14.1640625" customWidth="1"/>
    <col min="13" max="13" width="9.6640625" style="115" customWidth="1"/>
    <col min="14" max="15" width="9.6640625" style="81" customWidth="1"/>
    <col min="16" max="17" width="9.6640625" style="125" customWidth="1"/>
    <col min="18" max="18" width="9.6640625" style="82" customWidth="1"/>
    <col min="19" max="19" width="9.6640625" style="115" customWidth="1"/>
    <col min="20" max="21" width="9.6640625" style="81" customWidth="1"/>
    <col min="22" max="23" width="9.6640625" style="125" customWidth="1"/>
    <col min="24" max="24" width="9.6640625" style="82" customWidth="1"/>
    <col min="25" max="25" width="9.6640625" style="115" customWidth="1"/>
    <col min="26" max="27" width="9.6640625" style="81" customWidth="1"/>
    <col min="28" max="29" width="9.6640625" style="125" customWidth="1"/>
    <col min="30" max="30" width="9.6640625" style="82" customWidth="1"/>
    <col min="31" max="31" width="9.6640625" style="115" customWidth="1"/>
    <col min="32" max="33" width="9.6640625" style="81" customWidth="1"/>
    <col min="34" max="34" width="9.6640625" style="82" customWidth="1"/>
    <col min="35" max="35" width="9.6640625" style="81" customWidth="1"/>
    <col min="36" max="36" width="9.6640625" style="81" hidden="1" customWidth="1"/>
    <col min="37" max="37" width="9.6640625" style="115" hidden="1" customWidth="1"/>
    <col min="38" max="38" width="9.6640625" style="122" hidden="1" customWidth="1"/>
    <col min="39" max="39" width="9" style="101" hidden="1" customWidth="1"/>
    <col min="40" max="40" width="7.1640625" hidden="1" customWidth="1"/>
    <col min="41" max="41" width="10.6640625" hidden="1" customWidth="1"/>
    <col min="42" max="43" width="0" style="101" hidden="1" customWidth="1"/>
    <col min="44" max="46" width="0" hidden="1" customWidth="1"/>
    <col min="47" max="47" width="8" style="119" hidden="1" customWidth="1"/>
    <col min="48" max="49" width="0" style="101" hidden="1" customWidth="1"/>
    <col min="50" max="50" width="15.1640625" style="101" hidden="1" customWidth="1"/>
    <col min="51" max="52" width="0" style="101" hidden="1" customWidth="1"/>
    <col min="53" max="53" width="15.1640625" style="85" hidden="1" customWidth="1"/>
    <col min="54" max="54" width="12.6640625" hidden="1" customWidth="1"/>
    <col min="55" max="55" width="0" style="101" hidden="1" customWidth="1"/>
    <col min="56" max="58" width="0" hidden="1" customWidth="1"/>
    <col min="59" max="59" width="26" hidden="1" customWidth="1"/>
    <col min="60" max="60" width="0" hidden="1" customWidth="1"/>
    <col min="62" max="67" width="0" hidden="1" customWidth="1"/>
  </cols>
  <sheetData>
    <row r="1" spans="1:67" s="86" customFormat="1" ht="88" customHeight="1">
      <c r="B1" s="86" t="s">
        <v>311</v>
      </c>
      <c r="C1" s="86" t="s">
        <v>303</v>
      </c>
      <c r="D1" s="86" t="s">
        <v>304</v>
      </c>
      <c r="E1" s="86" t="s">
        <v>362</v>
      </c>
      <c r="F1" s="86" t="s">
        <v>355</v>
      </c>
      <c r="G1" s="86" t="s">
        <v>356</v>
      </c>
      <c r="H1" s="86" t="s">
        <v>372</v>
      </c>
      <c r="I1" s="86" t="s">
        <v>532</v>
      </c>
      <c r="J1" s="86" t="s">
        <v>361</v>
      </c>
      <c r="K1" s="86" t="s">
        <v>310</v>
      </c>
      <c r="L1" s="87" t="s">
        <v>363</v>
      </c>
      <c r="M1" s="113" t="s">
        <v>527</v>
      </c>
      <c r="N1" s="116" t="s">
        <v>522</v>
      </c>
      <c r="O1" s="116" t="s">
        <v>523</v>
      </c>
      <c r="P1" s="116" t="s">
        <v>519</v>
      </c>
      <c r="Q1" s="116" t="s">
        <v>520</v>
      </c>
      <c r="R1" s="88" t="s">
        <v>521</v>
      </c>
      <c r="S1" s="113" t="s">
        <v>526</v>
      </c>
      <c r="T1" s="116" t="s">
        <v>524</v>
      </c>
      <c r="U1" s="116" t="s">
        <v>525</v>
      </c>
      <c r="V1" s="116" t="s">
        <v>519</v>
      </c>
      <c r="W1" s="116" t="s">
        <v>520</v>
      </c>
      <c r="X1" s="88" t="s">
        <v>665</v>
      </c>
      <c r="Y1" s="113" t="s">
        <v>528</v>
      </c>
      <c r="Z1" s="116" t="s">
        <v>533</v>
      </c>
      <c r="AA1" s="116" t="s">
        <v>534</v>
      </c>
      <c r="AB1" s="116" t="s">
        <v>519</v>
      </c>
      <c r="AC1" s="116" t="s">
        <v>520</v>
      </c>
      <c r="AD1" s="88" t="s">
        <v>666</v>
      </c>
      <c r="AE1" s="113" t="s">
        <v>529</v>
      </c>
      <c r="AF1" s="116" t="s">
        <v>531</v>
      </c>
      <c r="AG1" s="116" t="s">
        <v>530</v>
      </c>
      <c r="AH1" s="88" t="s">
        <v>535</v>
      </c>
      <c r="AI1" s="88" t="s">
        <v>520</v>
      </c>
      <c r="AJ1" s="88" t="s">
        <v>521</v>
      </c>
      <c r="AK1" s="113" t="s">
        <v>536</v>
      </c>
      <c r="AL1" s="117" t="s">
        <v>354</v>
      </c>
      <c r="AM1" s="117" t="s">
        <v>357</v>
      </c>
      <c r="AN1" s="88" t="s">
        <v>370</v>
      </c>
      <c r="AO1" s="88" t="s">
        <v>368</v>
      </c>
      <c r="AP1" s="117" t="s">
        <v>384</v>
      </c>
      <c r="AQ1" s="117" t="s">
        <v>385</v>
      </c>
      <c r="AR1" s="88" t="s">
        <v>367</v>
      </c>
      <c r="AS1" s="88" t="s">
        <v>413</v>
      </c>
      <c r="AT1" s="88" t="s">
        <v>369</v>
      </c>
      <c r="AU1" s="117" t="s">
        <v>373</v>
      </c>
      <c r="AV1" s="123" t="s">
        <v>518</v>
      </c>
      <c r="AW1" s="123"/>
      <c r="AX1" s="117" t="s">
        <v>517</v>
      </c>
      <c r="AY1" s="117" t="s">
        <v>386</v>
      </c>
      <c r="AZ1" s="117" t="s">
        <v>414</v>
      </c>
      <c r="BA1" s="112" t="s">
        <v>415</v>
      </c>
      <c r="BB1" s="89" t="s">
        <v>364</v>
      </c>
      <c r="BC1" s="117" t="s">
        <v>365</v>
      </c>
      <c r="BD1" s="90" t="s">
        <v>371</v>
      </c>
      <c r="BE1" s="117" t="s">
        <v>416</v>
      </c>
      <c r="BF1" s="117" t="s">
        <v>408</v>
      </c>
      <c r="BG1" s="86" t="s">
        <v>366</v>
      </c>
      <c r="BH1" s="86" t="s">
        <v>358</v>
      </c>
      <c r="BJ1" s="86" t="s">
        <v>353</v>
      </c>
      <c r="BK1" s="86" t="s">
        <v>348</v>
      </c>
      <c r="BL1" s="86" t="s">
        <v>349</v>
      </c>
      <c r="BM1" s="86" t="s">
        <v>350</v>
      </c>
      <c r="BN1" s="86" t="s">
        <v>351</v>
      </c>
      <c r="BO1" s="86" t="s">
        <v>352</v>
      </c>
    </row>
    <row r="2" spans="1:67">
      <c r="P2" s="129"/>
      <c r="Q2" s="129"/>
      <c r="R2" s="127"/>
      <c r="V2" s="129"/>
      <c r="W2" s="129"/>
      <c r="X2" s="127"/>
      <c r="AB2" s="129"/>
      <c r="AC2" s="129"/>
      <c r="AD2" s="127"/>
      <c r="AH2" s="127"/>
      <c r="AI2" s="131"/>
    </row>
    <row r="3" spans="1:67" s="75" customFormat="1">
      <c r="A3" s="73" t="s">
        <v>344</v>
      </c>
      <c r="B3" s="95">
        <v>45204</v>
      </c>
      <c r="C3" s="198" t="s">
        <v>170</v>
      </c>
      <c r="D3" s="78">
        <f>VLOOKUP($C$3,Overview!$Q$2:$AS$64,23,FALSE)</f>
        <v>5.4716830818645583</v>
      </c>
      <c r="E3" s="78" t="str">
        <f>VLOOKUP($C$3,Overview!$Q$2:$AS$64,24,FALSE)</f>
        <v>high</v>
      </c>
      <c r="F3" s="75">
        <f>VLOOKUP(C3,Overview!$Q$2:$AS$64,13,FALSE)</f>
        <v>116</v>
      </c>
      <c r="G3" s="75">
        <f>VLOOKUP(C3,Overview!$Q$2:$AS$64,16,FALSE)</f>
        <v>15</v>
      </c>
      <c r="H3" s="75">
        <f>VLOOKUP(C3,Overview!$Q$2:$AS$64,18,FALSE)</f>
        <v>49</v>
      </c>
      <c r="I3" s="75">
        <f>VLOOKUP($C$3,Overview!$Q$2:$AS$64,19,FALSE)</f>
        <v>111</v>
      </c>
      <c r="K3" s="96"/>
      <c r="M3" s="115"/>
      <c r="N3" s="97"/>
      <c r="O3" s="97"/>
      <c r="P3" s="130"/>
      <c r="Q3" s="130"/>
      <c r="R3" s="128"/>
      <c r="S3" s="115"/>
      <c r="T3" s="97"/>
      <c r="U3" s="97"/>
      <c r="V3" s="130"/>
      <c r="W3" s="130"/>
      <c r="X3" s="128"/>
      <c r="Y3" s="115"/>
      <c r="Z3" s="97"/>
      <c r="AA3" s="97"/>
      <c r="AB3" s="130"/>
      <c r="AC3" s="130"/>
      <c r="AD3" s="128"/>
      <c r="AE3" s="115"/>
      <c r="AF3" s="97"/>
      <c r="AG3" s="97"/>
      <c r="AH3" s="128"/>
      <c r="AI3" s="132"/>
      <c r="AJ3" s="97"/>
      <c r="AK3" s="115"/>
      <c r="AL3" s="122"/>
      <c r="AM3" s="101"/>
      <c r="AP3" s="101"/>
      <c r="AQ3" s="101"/>
      <c r="AU3" s="119"/>
      <c r="AV3" s="101"/>
      <c r="AW3" s="101"/>
      <c r="AX3" s="101"/>
      <c r="AY3" s="101"/>
      <c r="AZ3" s="101"/>
      <c r="BA3" s="83"/>
      <c r="BC3" s="101"/>
    </row>
    <row r="4" spans="1:67">
      <c r="A4" t="s">
        <v>305</v>
      </c>
      <c r="C4" s="98"/>
      <c r="J4" s="77" t="s">
        <v>672</v>
      </c>
      <c r="K4" s="174"/>
      <c r="L4" s="77"/>
      <c r="N4" s="81">
        <f>O4-8</f>
        <v>40</v>
      </c>
      <c r="O4" s="81">
        <f>$F$3-68</f>
        <v>48</v>
      </c>
      <c r="P4" s="129">
        <f>N4/$F$3</f>
        <v>0.34482758620689657</v>
      </c>
      <c r="Q4" s="129">
        <f>N4/O4</f>
        <v>0.83333333333333337</v>
      </c>
      <c r="R4" s="127">
        <f>2*(P4*Q4)/(P4+Q4)</f>
        <v>0.48780487804878059</v>
      </c>
      <c r="T4" s="81">
        <f>U4-4</f>
        <v>7</v>
      </c>
      <c r="U4" s="81">
        <f>$G$3-4</f>
        <v>11</v>
      </c>
      <c r="V4" s="129">
        <f>T4/$G$3</f>
        <v>0.46666666666666667</v>
      </c>
      <c r="W4" s="129">
        <f>T4/U4</f>
        <v>0.63636363636363635</v>
      </c>
      <c r="X4" s="127">
        <f>2*(V4*W4)/(V4+W4)</f>
        <v>0.53846153846153855</v>
      </c>
      <c r="Z4" s="81">
        <f>AA4-17</f>
        <v>26</v>
      </c>
      <c r="AA4" s="81">
        <f>$I$3-68</f>
        <v>43</v>
      </c>
      <c r="AB4" s="129">
        <f>Z4/$I$3</f>
        <v>0.23423423423423423</v>
      </c>
      <c r="AC4" s="129">
        <f t="shared" ref="AC4:AC11" si="0">Z4/AA4</f>
        <v>0.60465116279069764</v>
      </c>
      <c r="AD4" s="127">
        <f>2*(AB4*AC4)/(AB4+AC4)</f>
        <v>0.33766233766233761</v>
      </c>
      <c r="AF4" s="81">
        <f>AG4-0</f>
        <v>1</v>
      </c>
      <c r="AG4" s="81">
        <v>1</v>
      </c>
      <c r="AH4" s="127">
        <f>AF4/$H$3</f>
        <v>2.0408163265306121E-2</v>
      </c>
      <c r="AI4" s="127">
        <f>AF4/AG4</f>
        <v>1</v>
      </c>
      <c r="AV4" s="101">
        <f>($F$3-M4)/$F$3</f>
        <v>1</v>
      </c>
      <c r="AX4" s="101">
        <f>($G$3-AM4)/$G$3</f>
        <v>1</v>
      </c>
      <c r="AY4" s="101" t="e">
        <f>AQ4/AP4</f>
        <v>#DIV/0!</v>
      </c>
      <c r="AZ4" s="101" t="e">
        <f>AS4/AR4</f>
        <v>#DIV/0!</v>
      </c>
      <c r="BA4" s="85" t="e">
        <f>(AV4+AX4+AY4+AZ4)/4</f>
        <v>#DIV/0!</v>
      </c>
      <c r="BB4" s="13">
        <f>AO4/$H$3</f>
        <v>0</v>
      </c>
      <c r="BC4" s="118" t="e">
        <f>AU4/AO4</f>
        <v>#DIV/0!</v>
      </c>
      <c r="BD4" s="13" t="e">
        <f>AN4/AO4</f>
        <v>#DIV/0!</v>
      </c>
      <c r="BE4" s="13">
        <f>AS4/$H$3</f>
        <v>0</v>
      </c>
      <c r="BF4" s="13">
        <f>AQ4/$H$3</f>
        <v>0</v>
      </c>
    </row>
    <row r="5" spans="1:67">
      <c r="A5" t="s">
        <v>306</v>
      </c>
      <c r="C5" s="98"/>
      <c r="J5" s="77" t="s">
        <v>672</v>
      </c>
      <c r="K5" s="174"/>
      <c r="L5" s="77"/>
      <c r="N5" s="81">
        <f>O5-9</f>
        <v>34</v>
      </c>
      <c r="O5" s="81">
        <f>$F$3-73</f>
        <v>43</v>
      </c>
      <c r="P5" s="129">
        <f t="shared" ref="P5:P11" si="1">N5/$F$3</f>
        <v>0.29310344827586204</v>
      </c>
      <c r="Q5" s="129">
        <f t="shared" ref="Q5:Q11" si="2">N5/O5</f>
        <v>0.79069767441860461</v>
      </c>
      <c r="R5" s="127">
        <f t="shared" ref="R5:R11" si="3">2*(P5*Q5)/(P5+Q5)</f>
        <v>0.42767295597484273</v>
      </c>
      <c r="T5" s="81">
        <f>U5-4</f>
        <v>4</v>
      </c>
      <c r="U5" s="81">
        <f>$G$3-7</f>
        <v>8</v>
      </c>
      <c r="V5" s="129">
        <f t="shared" ref="V5:V11" si="4">T5/$G$3</f>
        <v>0.26666666666666666</v>
      </c>
      <c r="W5" s="129">
        <f t="shared" ref="W5:W11" si="5">T5/U5</f>
        <v>0.5</v>
      </c>
      <c r="X5" s="127">
        <f t="shared" ref="X5:X11" si="6">2*(V5*W5)/(V5+W5)</f>
        <v>0.34782608695652178</v>
      </c>
      <c r="Z5" s="81">
        <f>AA5-22</f>
        <v>16</v>
      </c>
      <c r="AA5" s="81">
        <f>$I$3-73</f>
        <v>38</v>
      </c>
      <c r="AB5" s="129">
        <f t="shared" ref="AB5:AB11" si="7">Z5/$I$3</f>
        <v>0.14414414414414414</v>
      </c>
      <c r="AC5" s="129">
        <f t="shared" si="0"/>
        <v>0.42105263157894735</v>
      </c>
      <c r="AD5" s="127">
        <f t="shared" ref="AD5:AD11" si="8">2*(AB5*AC5)/(AB5+AC5)</f>
        <v>0.21476510067114093</v>
      </c>
      <c r="AF5" s="81">
        <f t="shared" ref="AF5:AF11" si="9">AG5-0</f>
        <v>1</v>
      </c>
      <c r="AG5" s="81">
        <v>1</v>
      </c>
      <c r="AH5" s="127">
        <f t="shared" ref="AH5:AH11" si="10">AF5/$H$3</f>
        <v>2.0408163265306121E-2</v>
      </c>
      <c r="AI5" s="127">
        <f t="shared" ref="AI5:AI10" si="11">AF5/AG5</f>
        <v>1</v>
      </c>
      <c r="AV5" s="101">
        <f>($F$3-M5)/$F$3</f>
        <v>1</v>
      </c>
      <c r="AX5" s="101">
        <f>($G$3-AM5)/$G$3</f>
        <v>1</v>
      </c>
      <c r="AY5" s="101" t="e">
        <f>AQ5/AP5</f>
        <v>#DIV/0!</v>
      </c>
      <c r="AZ5" s="101" t="e">
        <f>AS5/AR5</f>
        <v>#DIV/0!</v>
      </c>
      <c r="BA5" s="85" t="e">
        <f>(AV5+AX5+AY5+AZ5)/4</f>
        <v>#DIV/0!</v>
      </c>
      <c r="BB5" s="13">
        <f>AO5/$H$3</f>
        <v>0</v>
      </c>
      <c r="BC5" s="118" t="e">
        <f>AU5/AO5</f>
        <v>#DIV/0!</v>
      </c>
      <c r="BD5" s="13" t="e">
        <f>AN5/AO5</f>
        <v>#DIV/0!</v>
      </c>
      <c r="BE5" s="13">
        <f>AS5/$H$3</f>
        <v>0</v>
      </c>
      <c r="BF5" s="13">
        <f>AQ5/$H$3</f>
        <v>0</v>
      </c>
    </row>
    <row r="6" spans="1:67">
      <c r="A6" t="s">
        <v>307</v>
      </c>
      <c r="C6" s="98"/>
      <c r="J6" s="77" t="s">
        <v>671</v>
      </c>
      <c r="K6" s="174"/>
      <c r="L6" s="77"/>
      <c r="N6" s="81">
        <f>O6-18</f>
        <v>67</v>
      </c>
      <c r="O6" s="81">
        <f>$F$3-31</f>
        <v>85</v>
      </c>
      <c r="P6" s="129">
        <f t="shared" si="1"/>
        <v>0.57758620689655171</v>
      </c>
      <c r="Q6" s="129">
        <f t="shared" si="2"/>
        <v>0.78823529411764703</v>
      </c>
      <c r="R6" s="127">
        <f t="shared" si="3"/>
        <v>0.66666666666666663</v>
      </c>
      <c r="T6" s="81">
        <f>U6-4</f>
        <v>8</v>
      </c>
      <c r="U6" s="81">
        <f>$G$3-3</f>
        <v>12</v>
      </c>
      <c r="V6" s="129">
        <f t="shared" si="4"/>
        <v>0.53333333333333333</v>
      </c>
      <c r="W6" s="129">
        <f t="shared" si="5"/>
        <v>0.66666666666666663</v>
      </c>
      <c r="X6" s="127">
        <f t="shared" si="6"/>
        <v>0.59259259259259256</v>
      </c>
      <c r="Z6" s="81">
        <f>AA6-27</f>
        <v>53</v>
      </c>
      <c r="AA6" s="81">
        <f>$I$3-31</f>
        <v>80</v>
      </c>
      <c r="AB6" s="129">
        <f t="shared" si="7"/>
        <v>0.47747747747747749</v>
      </c>
      <c r="AC6" s="129">
        <f t="shared" si="0"/>
        <v>0.66249999999999998</v>
      </c>
      <c r="AD6" s="127">
        <f t="shared" si="8"/>
        <v>0.55497382198952883</v>
      </c>
      <c r="AF6" s="81">
        <f t="shared" si="9"/>
        <v>1</v>
      </c>
      <c r="AG6" s="81">
        <v>1</v>
      </c>
      <c r="AH6" s="127">
        <f t="shared" si="10"/>
        <v>2.0408163265306121E-2</v>
      </c>
      <c r="AI6" s="127">
        <f t="shared" si="11"/>
        <v>1</v>
      </c>
      <c r="AV6" s="101">
        <f>($F$3-M6)/$F$3</f>
        <v>1</v>
      </c>
      <c r="AX6" s="101">
        <f>($G$3-AM6)/$G$3</f>
        <v>1</v>
      </c>
      <c r="AY6" s="101" t="e">
        <f>AQ6/AP6</f>
        <v>#DIV/0!</v>
      </c>
      <c r="AZ6" s="101" t="e">
        <f>AS6/AR6</f>
        <v>#DIV/0!</v>
      </c>
      <c r="BA6" s="85" t="e">
        <f>(AV6+AX6+AY6+AZ6)/4</f>
        <v>#DIV/0!</v>
      </c>
      <c r="BB6" s="13">
        <f>AO6/$H$3</f>
        <v>0</v>
      </c>
      <c r="BC6" s="118" t="e">
        <f>AU6/AO6</f>
        <v>#DIV/0!</v>
      </c>
      <c r="BD6" s="13" t="e">
        <f>AN6/AO6</f>
        <v>#DIV/0!</v>
      </c>
      <c r="BE6" s="13">
        <f>AS6/$H$3</f>
        <v>0</v>
      </c>
      <c r="BF6" s="13">
        <f>AQ6/$H$3</f>
        <v>0</v>
      </c>
    </row>
    <row r="7" spans="1:67">
      <c r="A7" t="s">
        <v>308</v>
      </c>
      <c r="C7" s="98"/>
      <c r="J7" s="77" t="s">
        <v>671</v>
      </c>
      <c r="K7" s="174"/>
      <c r="L7" s="77"/>
      <c r="N7" s="81">
        <f>O7-18</f>
        <v>79</v>
      </c>
      <c r="O7" s="81">
        <f>$F$3-19</f>
        <v>97</v>
      </c>
      <c r="P7" s="129">
        <f t="shared" si="1"/>
        <v>0.68103448275862066</v>
      </c>
      <c r="Q7" s="129">
        <f t="shared" si="2"/>
        <v>0.81443298969072164</v>
      </c>
      <c r="R7" s="127">
        <f t="shared" si="3"/>
        <v>0.74178403755868538</v>
      </c>
      <c r="T7" s="81">
        <f>U7-3</f>
        <v>11</v>
      </c>
      <c r="U7" s="81">
        <f>$G$3-1</f>
        <v>14</v>
      </c>
      <c r="V7" s="129">
        <f t="shared" si="4"/>
        <v>0.73333333333333328</v>
      </c>
      <c r="W7" s="129">
        <f t="shared" si="5"/>
        <v>0.7857142857142857</v>
      </c>
      <c r="X7" s="127">
        <f t="shared" si="6"/>
        <v>0.75862068965517238</v>
      </c>
      <c r="Z7" s="81">
        <f>AA7-24</f>
        <v>68</v>
      </c>
      <c r="AA7" s="81">
        <f>$I$3-19</f>
        <v>92</v>
      </c>
      <c r="AB7" s="129">
        <f t="shared" si="7"/>
        <v>0.61261261261261257</v>
      </c>
      <c r="AC7" s="129">
        <f t="shared" si="0"/>
        <v>0.73913043478260865</v>
      </c>
      <c r="AD7" s="127">
        <f t="shared" si="8"/>
        <v>0.66995073891625612</v>
      </c>
      <c r="AF7" s="81">
        <f t="shared" si="9"/>
        <v>0</v>
      </c>
      <c r="AG7" s="81">
        <v>0</v>
      </c>
      <c r="AH7" s="127">
        <f t="shared" si="10"/>
        <v>0</v>
      </c>
      <c r="AI7" s="127">
        <v>0</v>
      </c>
      <c r="AV7" s="101">
        <f>($F$3-M7)/$F$3</f>
        <v>1</v>
      </c>
      <c r="AX7" s="101">
        <f>($G$3-AM7)/$G$3</f>
        <v>1</v>
      </c>
      <c r="AY7" s="101" t="e">
        <f>AQ7/AP7</f>
        <v>#DIV/0!</v>
      </c>
      <c r="AZ7" s="101" t="e">
        <f>AS7/AR7</f>
        <v>#DIV/0!</v>
      </c>
      <c r="BA7" s="85" t="e">
        <f>(AV7+AX7+AY7+AZ7)/4</f>
        <v>#DIV/0!</v>
      </c>
      <c r="BB7" s="13">
        <f>AO7/$H$3</f>
        <v>0</v>
      </c>
      <c r="BC7" s="118" t="e">
        <f>AU7/AO7</f>
        <v>#DIV/0!</v>
      </c>
      <c r="BD7" s="13" t="e">
        <f>AN7/AO7</f>
        <v>#DIV/0!</v>
      </c>
      <c r="BE7" s="13">
        <f>AS7/$H$3</f>
        <v>0</v>
      </c>
      <c r="BF7" s="13">
        <f>AQ7/$H$3</f>
        <v>0</v>
      </c>
    </row>
    <row r="8" spans="1:67">
      <c r="A8" t="s">
        <v>309</v>
      </c>
      <c r="C8" s="98"/>
      <c r="J8" s="77" t="s">
        <v>673</v>
      </c>
      <c r="K8" s="174"/>
      <c r="L8" s="77"/>
      <c r="N8" s="81">
        <f>O8-4</f>
        <v>44</v>
      </c>
      <c r="O8" s="81">
        <f>$F$3-68</f>
        <v>48</v>
      </c>
      <c r="P8" s="129">
        <f t="shared" si="1"/>
        <v>0.37931034482758619</v>
      </c>
      <c r="Q8" s="129">
        <f t="shared" si="2"/>
        <v>0.91666666666666663</v>
      </c>
      <c r="R8" s="127">
        <f t="shared" si="3"/>
        <v>0.53658536585365857</v>
      </c>
      <c r="T8" s="81">
        <f>U8-2</f>
        <v>7</v>
      </c>
      <c r="U8" s="81">
        <f>$G$3-6</f>
        <v>9</v>
      </c>
      <c r="V8" s="129">
        <f t="shared" si="4"/>
        <v>0.46666666666666667</v>
      </c>
      <c r="W8" s="129">
        <f t="shared" si="5"/>
        <v>0.77777777777777779</v>
      </c>
      <c r="X8" s="127">
        <f t="shared" si="6"/>
        <v>0.58333333333333337</v>
      </c>
      <c r="Z8" s="81">
        <f>AA8-14</f>
        <v>34</v>
      </c>
      <c r="AA8" s="81">
        <f>$I$3-63</f>
        <v>48</v>
      </c>
      <c r="AB8" s="129">
        <f t="shared" si="7"/>
        <v>0.30630630630630629</v>
      </c>
      <c r="AC8" s="129">
        <f t="shared" si="0"/>
        <v>0.70833333333333337</v>
      </c>
      <c r="AD8" s="127">
        <f t="shared" si="8"/>
        <v>0.42767295597484273</v>
      </c>
      <c r="AF8" s="81">
        <f t="shared" si="9"/>
        <v>6</v>
      </c>
      <c r="AG8" s="81">
        <v>6</v>
      </c>
      <c r="AH8" s="127">
        <f t="shared" si="10"/>
        <v>0.12244897959183673</v>
      </c>
      <c r="AI8" s="127">
        <f t="shared" si="11"/>
        <v>1</v>
      </c>
      <c r="AV8" s="101">
        <f>($F$3-M8)/$F$3</f>
        <v>1</v>
      </c>
      <c r="AX8" s="101">
        <f>($G$3-AM8)/$G$3</f>
        <v>1</v>
      </c>
      <c r="AY8" s="101" t="e">
        <f>AQ8/AP8</f>
        <v>#DIV/0!</v>
      </c>
      <c r="AZ8" s="101" t="e">
        <f>AS8/AR8</f>
        <v>#DIV/0!</v>
      </c>
      <c r="BA8" s="85" t="e">
        <f>(AV8+AX8+AY8+AZ8)/4</f>
        <v>#DIV/0!</v>
      </c>
      <c r="BB8" s="13">
        <f>AO8/$H$3</f>
        <v>0</v>
      </c>
      <c r="BC8" s="118" t="e">
        <f>AU8/AO8</f>
        <v>#DIV/0!</v>
      </c>
      <c r="BD8" s="13" t="e">
        <f>AN8/AO8</f>
        <v>#DIV/0!</v>
      </c>
      <c r="BE8" s="13">
        <f>AS8/$H$3</f>
        <v>0</v>
      </c>
      <c r="BF8" s="13">
        <f>AQ8/$H$3</f>
        <v>0</v>
      </c>
    </row>
    <row r="9" spans="1:67">
      <c r="A9" t="s">
        <v>667</v>
      </c>
      <c r="C9" s="98"/>
      <c r="J9" s="77" t="s">
        <v>673</v>
      </c>
      <c r="K9" s="174"/>
      <c r="L9" s="77"/>
      <c r="N9" s="81">
        <f>O9-5</f>
        <v>49</v>
      </c>
      <c r="O9" s="81">
        <f>$F$3-62</f>
        <v>54</v>
      </c>
      <c r="P9" s="129">
        <f t="shared" si="1"/>
        <v>0.42241379310344829</v>
      </c>
      <c r="Q9" s="129">
        <f t="shared" si="2"/>
        <v>0.90740740740740744</v>
      </c>
      <c r="R9" s="127">
        <f t="shared" si="3"/>
        <v>0.57647058823529407</v>
      </c>
      <c r="T9" s="81">
        <f>U9-3</f>
        <v>7</v>
      </c>
      <c r="U9" s="81">
        <f>$G$3-5</f>
        <v>10</v>
      </c>
      <c r="V9" s="129">
        <f t="shared" si="4"/>
        <v>0.46666666666666667</v>
      </c>
      <c r="W9" s="129">
        <f t="shared" si="5"/>
        <v>0.7</v>
      </c>
      <c r="X9" s="127">
        <f t="shared" si="6"/>
        <v>0.56000000000000005</v>
      </c>
      <c r="Z9" s="81">
        <f>AA9-19</f>
        <v>35</v>
      </c>
      <c r="AA9" s="81">
        <f>$I$3-57</f>
        <v>54</v>
      </c>
      <c r="AB9" s="129">
        <f t="shared" si="7"/>
        <v>0.31531531531531531</v>
      </c>
      <c r="AC9" s="129">
        <f t="shared" si="0"/>
        <v>0.64814814814814814</v>
      </c>
      <c r="AD9" s="127">
        <f t="shared" si="8"/>
        <v>0.42424242424242425</v>
      </c>
      <c r="AF9" s="81">
        <f t="shared" si="9"/>
        <v>2</v>
      </c>
      <c r="AG9" s="81">
        <v>2</v>
      </c>
      <c r="AH9" s="127">
        <f t="shared" si="10"/>
        <v>4.0816326530612242E-2</v>
      </c>
      <c r="AI9" s="127">
        <f t="shared" si="11"/>
        <v>1</v>
      </c>
      <c r="BB9" s="13"/>
      <c r="BC9" s="118"/>
      <c r="BD9" s="13"/>
      <c r="BE9" s="13"/>
      <c r="BF9" s="13"/>
    </row>
    <row r="10" spans="1:67">
      <c r="A10" t="s">
        <v>668</v>
      </c>
      <c r="C10" s="98"/>
      <c r="J10" s="77" t="s">
        <v>670</v>
      </c>
      <c r="K10" s="174"/>
      <c r="L10" s="77"/>
      <c r="N10" s="81">
        <f>O10-11</f>
        <v>56</v>
      </c>
      <c r="O10" s="81">
        <f>$F$3-49</f>
        <v>67</v>
      </c>
      <c r="P10" s="129">
        <f t="shared" si="1"/>
        <v>0.48275862068965519</v>
      </c>
      <c r="Q10" s="129">
        <f t="shared" si="2"/>
        <v>0.83582089552238803</v>
      </c>
      <c r="R10" s="127">
        <f t="shared" si="3"/>
        <v>0.61202185792349728</v>
      </c>
      <c r="T10" s="81">
        <f>U10-3</f>
        <v>9</v>
      </c>
      <c r="U10" s="81">
        <f>$G$3-3</f>
        <v>12</v>
      </c>
      <c r="V10" s="129">
        <f t="shared" si="4"/>
        <v>0.6</v>
      </c>
      <c r="W10" s="129">
        <f t="shared" si="5"/>
        <v>0.75</v>
      </c>
      <c r="X10" s="127">
        <f t="shared" si="6"/>
        <v>0.66666666666666652</v>
      </c>
      <c r="Z10" s="81">
        <f>AA10-12</f>
        <v>55</v>
      </c>
      <c r="AA10" s="81">
        <f>$I$3-44</f>
        <v>67</v>
      </c>
      <c r="AB10" s="129">
        <f t="shared" si="7"/>
        <v>0.49549549549549549</v>
      </c>
      <c r="AC10" s="129">
        <f t="shared" si="0"/>
        <v>0.82089552238805974</v>
      </c>
      <c r="AD10" s="127">
        <f t="shared" si="8"/>
        <v>0.61797752808988771</v>
      </c>
      <c r="AF10" s="81">
        <f>AG10-1</f>
        <v>6</v>
      </c>
      <c r="AG10" s="81">
        <v>7</v>
      </c>
      <c r="AH10" s="127">
        <f t="shared" si="10"/>
        <v>0.12244897959183673</v>
      </c>
      <c r="AI10" s="127">
        <f t="shared" si="11"/>
        <v>0.8571428571428571</v>
      </c>
      <c r="BB10" s="13"/>
      <c r="BC10" s="118"/>
      <c r="BD10" s="13"/>
      <c r="BE10" s="13"/>
      <c r="BF10" s="13"/>
    </row>
    <row r="11" spans="1:67">
      <c r="A11" t="s">
        <v>669</v>
      </c>
      <c r="C11" s="98"/>
      <c r="J11" s="77" t="s">
        <v>670</v>
      </c>
      <c r="K11" s="174"/>
      <c r="L11" s="77"/>
      <c r="N11" s="81">
        <f>O11-12</f>
        <v>65</v>
      </c>
      <c r="O11" s="81">
        <f>$F$3-39</f>
        <v>77</v>
      </c>
      <c r="P11" s="129">
        <f t="shared" si="1"/>
        <v>0.56034482758620685</v>
      </c>
      <c r="Q11" s="129">
        <f t="shared" si="2"/>
        <v>0.8441558441558441</v>
      </c>
      <c r="R11" s="127">
        <f t="shared" si="3"/>
        <v>0.67357512953367871</v>
      </c>
      <c r="T11" s="81">
        <f>U11-3</f>
        <v>10</v>
      </c>
      <c r="U11" s="81">
        <f>$G$3-2</f>
        <v>13</v>
      </c>
      <c r="V11" s="129">
        <f t="shared" si="4"/>
        <v>0.66666666666666663</v>
      </c>
      <c r="W11" s="129">
        <f t="shared" si="5"/>
        <v>0.76923076923076927</v>
      </c>
      <c r="X11" s="127">
        <f t="shared" si="6"/>
        <v>0.71428571428571419</v>
      </c>
      <c r="Z11" s="81">
        <f>AA11-21</f>
        <v>51</v>
      </c>
      <c r="AA11" s="81">
        <f>$I$3-39</f>
        <v>72</v>
      </c>
      <c r="AB11" s="129">
        <f t="shared" si="7"/>
        <v>0.45945945945945948</v>
      </c>
      <c r="AC11" s="129">
        <f t="shared" si="0"/>
        <v>0.70833333333333337</v>
      </c>
      <c r="AD11" s="127">
        <f t="shared" si="8"/>
        <v>0.55737704918032793</v>
      </c>
      <c r="AF11" s="81">
        <f t="shared" si="9"/>
        <v>0</v>
      </c>
      <c r="AG11" s="81">
        <v>0</v>
      </c>
      <c r="AH11" s="127">
        <f t="shared" si="10"/>
        <v>0</v>
      </c>
      <c r="AI11" s="127">
        <v>0</v>
      </c>
      <c r="BB11" s="13"/>
      <c r="BC11" s="118"/>
      <c r="BD11" s="13"/>
      <c r="BE11" s="13"/>
      <c r="BF11" s="13"/>
    </row>
    <row r="13" spans="1:67" s="75" customFormat="1">
      <c r="A13" s="73" t="s">
        <v>346</v>
      </c>
      <c r="C13" s="198" t="s">
        <v>286</v>
      </c>
      <c r="D13" s="78">
        <f>VLOOKUP($C$13,Overview!$Q$2:$AS$64,23,FALSE)</f>
        <v>6.0997715230117224</v>
      </c>
      <c r="E13" s="78" t="str">
        <f>VLOOKUP($C$13,Overview!$Q$2:$AS$64,24,FALSE)</f>
        <v>high</v>
      </c>
      <c r="F13" s="75">
        <f>VLOOKUP(C13,Overview!$Q$2:$AS$64,13,FALSE)</f>
        <v>109</v>
      </c>
      <c r="G13" s="75">
        <f>VLOOKUP(C13,Overview!$Q$2:$AS$64,16,FALSE)</f>
        <v>11</v>
      </c>
      <c r="H13" s="75">
        <f>VLOOKUP(C13,Overview!$Q$2:$AS$64,18,FALSE)</f>
        <v>49</v>
      </c>
      <c r="I13" s="75">
        <f>VLOOKUP($C$13,Overview!$Q$2:$AS$64,19,FALSE)</f>
        <v>103</v>
      </c>
      <c r="K13" s="96"/>
      <c r="L13" s="96"/>
      <c r="M13" s="115"/>
      <c r="N13" s="97"/>
      <c r="O13" s="97"/>
      <c r="P13" s="124"/>
      <c r="Q13" s="124"/>
      <c r="R13" s="80"/>
      <c r="S13" s="115"/>
      <c r="T13" s="97"/>
      <c r="U13" s="97"/>
      <c r="V13" s="124"/>
      <c r="W13" s="124"/>
      <c r="X13" s="80"/>
      <c r="Y13" s="115"/>
      <c r="Z13" s="97"/>
      <c r="AA13" s="97"/>
      <c r="AB13" s="124"/>
      <c r="AC13" s="124"/>
      <c r="AD13" s="80"/>
      <c r="AE13" s="115"/>
      <c r="AF13" s="97"/>
      <c r="AG13" s="97"/>
      <c r="AH13" s="80"/>
      <c r="AI13" s="97"/>
      <c r="AJ13" s="97"/>
      <c r="AK13" s="115"/>
      <c r="AL13" s="122"/>
      <c r="AM13" s="101"/>
      <c r="AP13" s="101"/>
      <c r="AQ13" s="101"/>
      <c r="AU13" s="119"/>
      <c r="AV13" s="101"/>
      <c r="AW13" s="101"/>
      <c r="AX13" s="101"/>
      <c r="AY13" s="101"/>
      <c r="AZ13" s="101"/>
      <c r="BA13" s="83"/>
      <c r="BC13" s="101"/>
    </row>
    <row r="14" spans="1:67">
      <c r="A14" t="s">
        <v>305</v>
      </c>
      <c r="C14" s="98"/>
      <c r="I14" s="107"/>
      <c r="J14" s="77" t="s">
        <v>672</v>
      </c>
      <c r="L14" s="2"/>
      <c r="N14" s="81">
        <f>O14-11</f>
        <v>41</v>
      </c>
      <c r="O14" s="163">
        <f>$F$13-57</f>
        <v>52</v>
      </c>
      <c r="P14" s="129">
        <f>N14/$F$13</f>
        <v>0.37614678899082571</v>
      </c>
      <c r="Q14" s="129">
        <f>N14/O14</f>
        <v>0.78846153846153844</v>
      </c>
      <c r="R14" s="127">
        <f>2*(P14*Q14)/(P14+Q14)</f>
        <v>0.50931677018633537</v>
      </c>
      <c r="T14" s="81">
        <f>U14-2</f>
        <v>7</v>
      </c>
      <c r="U14" s="81">
        <f>$G$13-2</f>
        <v>9</v>
      </c>
      <c r="V14" s="129">
        <f>T14/$G$13</f>
        <v>0.63636363636363635</v>
      </c>
      <c r="W14" s="129">
        <f>T14/U14</f>
        <v>0.77777777777777779</v>
      </c>
      <c r="X14" s="127">
        <f>2*(V14*W14)/(V14+W14)</f>
        <v>0.70000000000000007</v>
      </c>
      <c r="Z14" s="81">
        <f>AA14-15</f>
        <v>32</v>
      </c>
      <c r="AA14" s="81">
        <f>$I$13-56</f>
        <v>47</v>
      </c>
      <c r="AB14" s="129">
        <f>Z14/$I$13</f>
        <v>0.31067961165048541</v>
      </c>
      <c r="AC14" s="129">
        <f>Z14/AA14</f>
        <v>0.68085106382978722</v>
      </c>
      <c r="AD14" s="127">
        <f>2*(AB14*AC14)/(AB14+AC14)</f>
        <v>0.42666666666666664</v>
      </c>
      <c r="AF14" s="81">
        <f>AG14-0</f>
        <v>0</v>
      </c>
      <c r="AG14" s="81">
        <v>0</v>
      </c>
      <c r="AH14" s="127">
        <f>AF14/$H$13</f>
        <v>0</v>
      </c>
      <c r="AI14" s="127">
        <v>0</v>
      </c>
    </row>
    <row r="15" spans="1:67">
      <c r="A15" t="s">
        <v>306</v>
      </c>
      <c r="C15" s="98"/>
      <c r="I15" s="107"/>
      <c r="J15" s="77" t="s">
        <v>672</v>
      </c>
      <c r="L15" s="2"/>
      <c r="N15" s="81">
        <f>O15-4</f>
        <v>56</v>
      </c>
      <c r="O15" s="163">
        <f>$F$13-49</f>
        <v>60</v>
      </c>
      <c r="P15" s="129">
        <f t="shared" ref="P15:P21" si="12">N15/$F$13</f>
        <v>0.51376146788990829</v>
      </c>
      <c r="Q15" s="129">
        <f t="shared" ref="Q15:Q21" si="13">N15/O15</f>
        <v>0.93333333333333335</v>
      </c>
      <c r="R15" s="127">
        <f t="shared" ref="R15:R21" si="14">2*(P15*Q15)/(P15+Q15)</f>
        <v>0.6627218934911242</v>
      </c>
      <c r="T15" s="81">
        <f t="shared" ref="T15:T20" si="15">U15-0</f>
        <v>11</v>
      </c>
      <c r="U15" s="81">
        <f>$G$13-0</f>
        <v>11</v>
      </c>
      <c r="V15" s="129">
        <f t="shared" ref="V15:V21" si="16">T15/$G$13</f>
        <v>1</v>
      </c>
      <c r="W15" s="129">
        <f t="shared" ref="W15:W21" si="17">T15/U15</f>
        <v>1</v>
      </c>
      <c r="X15" s="127">
        <f t="shared" ref="X15:X21" si="18">2*(V15*W15)/(V15+W15)</f>
        <v>1</v>
      </c>
      <c r="Z15" s="81">
        <f>AA15-20</f>
        <v>34</v>
      </c>
      <c r="AA15" s="81">
        <f>$I$13-49</f>
        <v>54</v>
      </c>
      <c r="AB15" s="129">
        <f t="shared" ref="AB15:AB21" si="19">Z15/$I$13</f>
        <v>0.3300970873786408</v>
      </c>
      <c r="AC15" s="129">
        <f t="shared" ref="AC15:AC21" si="20">Z15/AA15</f>
        <v>0.62962962962962965</v>
      </c>
      <c r="AD15" s="127">
        <f t="shared" ref="AD15:AD21" si="21">2*(AB15*AC15)/(AB15+AC15)</f>
        <v>0.43312101910828033</v>
      </c>
      <c r="AF15" s="81">
        <f t="shared" ref="AF15:AF21" si="22">AG15-0</f>
        <v>1</v>
      </c>
      <c r="AG15" s="81">
        <v>1</v>
      </c>
      <c r="AH15" s="127">
        <f t="shared" ref="AH15:AH21" si="23">AF15/$H$13</f>
        <v>2.0408163265306121E-2</v>
      </c>
      <c r="AI15" s="127">
        <f>AF15/AG15</f>
        <v>1</v>
      </c>
    </row>
    <row r="16" spans="1:67">
      <c r="A16" t="s">
        <v>307</v>
      </c>
      <c r="C16" s="98"/>
      <c r="I16" s="107"/>
      <c r="J16" s="77" t="s">
        <v>671</v>
      </c>
      <c r="L16" s="2"/>
      <c r="N16" s="81">
        <f>O16-20</f>
        <v>50</v>
      </c>
      <c r="O16" s="163">
        <f>$F$13-39</f>
        <v>70</v>
      </c>
      <c r="P16" s="129">
        <f t="shared" si="12"/>
        <v>0.45871559633027525</v>
      </c>
      <c r="Q16" s="129">
        <f t="shared" si="13"/>
        <v>0.7142857142857143</v>
      </c>
      <c r="R16" s="127">
        <f t="shared" si="14"/>
        <v>0.55865921787709505</v>
      </c>
      <c r="T16" s="81">
        <f>U16-2</f>
        <v>6</v>
      </c>
      <c r="U16" s="81">
        <f>$G$13-3</f>
        <v>8</v>
      </c>
      <c r="V16" s="129">
        <f t="shared" si="16"/>
        <v>0.54545454545454541</v>
      </c>
      <c r="W16" s="129">
        <f t="shared" si="17"/>
        <v>0.75</v>
      </c>
      <c r="X16" s="127">
        <f t="shared" si="18"/>
        <v>0.63157894736842102</v>
      </c>
      <c r="Z16" s="81">
        <f>AA16-14</f>
        <v>50</v>
      </c>
      <c r="AA16" s="81">
        <f>$I$13-39</f>
        <v>64</v>
      </c>
      <c r="AB16" s="129">
        <f t="shared" si="19"/>
        <v>0.4854368932038835</v>
      </c>
      <c r="AC16" s="129">
        <f t="shared" si="20"/>
        <v>0.78125</v>
      </c>
      <c r="AD16" s="127">
        <f t="shared" si="21"/>
        <v>0.5988023952095809</v>
      </c>
      <c r="AF16" s="81">
        <f t="shared" si="22"/>
        <v>0</v>
      </c>
      <c r="AG16" s="81">
        <v>0</v>
      </c>
      <c r="AH16" s="127">
        <f t="shared" si="23"/>
        <v>0</v>
      </c>
      <c r="AI16" s="127">
        <v>0</v>
      </c>
    </row>
    <row r="17" spans="1:55">
      <c r="A17" t="s">
        <v>308</v>
      </c>
      <c r="C17" s="98"/>
      <c r="I17" s="107"/>
      <c r="J17" s="77" t="s">
        <v>671</v>
      </c>
      <c r="L17" s="2"/>
      <c r="N17" s="81">
        <f>O17-15</f>
        <v>50</v>
      </c>
      <c r="O17" s="81">
        <f>$F$13-44</f>
        <v>65</v>
      </c>
      <c r="P17" s="129">
        <f t="shared" si="12"/>
        <v>0.45871559633027525</v>
      </c>
      <c r="Q17" s="129">
        <f t="shared" si="13"/>
        <v>0.76923076923076927</v>
      </c>
      <c r="R17" s="127">
        <f t="shared" si="14"/>
        <v>0.57471264367816088</v>
      </c>
      <c r="T17" s="81">
        <f t="shared" si="15"/>
        <v>8</v>
      </c>
      <c r="U17" s="81">
        <f>$G$13-3</f>
        <v>8</v>
      </c>
      <c r="V17" s="129">
        <f t="shared" si="16"/>
        <v>0.72727272727272729</v>
      </c>
      <c r="W17" s="129">
        <f t="shared" si="17"/>
        <v>1</v>
      </c>
      <c r="X17" s="127">
        <f t="shared" si="18"/>
        <v>0.8421052631578948</v>
      </c>
      <c r="Z17" s="81">
        <f>AA17-25</f>
        <v>34</v>
      </c>
      <c r="AA17" s="81">
        <f>$I$13-44</f>
        <v>59</v>
      </c>
      <c r="AB17" s="129">
        <f t="shared" si="19"/>
        <v>0.3300970873786408</v>
      </c>
      <c r="AC17" s="129">
        <f t="shared" si="20"/>
        <v>0.57627118644067798</v>
      </c>
      <c r="AD17" s="127">
        <f t="shared" si="21"/>
        <v>0.41975308641975312</v>
      </c>
      <c r="AF17" s="81">
        <f t="shared" si="22"/>
        <v>0</v>
      </c>
      <c r="AG17" s="81">
        <v>0</v>
      </c>
      <c r="AH17" s="127">
        <f t="shared" si="23"/>
        <v>0</v>
      </c>
      <c r="AI17" s="127">
        <v>0</v>
      </c>
    </row>
    <row r="18" spans="1:55">
      <c r="A18" t="s">
        <v>309</v>
      </c>
      <c r="C18" s="98"/>
      <c r="I18" s="107"/>
      <c r="J18" s="77" t="s">
        <v>673</v>
      </c>
      <c r="L18" s="2"/>
      <c r="N18" s="81">
        <f>O18-5</f>
        <v>33</v>
      </c>
      <c r="O18" s="163">
        <f>33+5</f>
        <v>38</v>
      </c>
      <c r="P18" s="129">
        <f t="shared" si="12"/>
        <v>0.30275229357798167</v>
      </c>
      <c r="Q18" s="129">
        <f t="shared" si="13"/>
        <v>0.86842105263157898</v>
      </c>
      <c r="R18" s="127">
        <f t="shared" si="14"/>
        <v>0.44897959183673469</v>
      </c>
      <c r="T18" s="81">
        <f>U18-1</f>
        <v>10</v>
      </c>
      <c r="U18" s="81">
        <f>$G$13-0</f>
        <v>11</v>
      </c>
      <c r="V18" s="129">
        <f t="shared" si="16"/>
        <v>0.90909090909090906</v>
      </c>
      <c r="W18" s="129">
        <f t="shared" si="17"/>
        <v>0.90909090909090906</v>
      </c>
      <c r="X18" s="127">
        <f t="shared" si="18"/>
        <v>0.90909090909090906</v>
      </c>
      <c r="Z18" s="81">
        <v>21</v>
      </c>
      <c r="AA18" s="81">
        <v>33</v>
      </c>
      <c r="AB18" s="129">
        <f t="shared" si="19"/>
        <v>0.20388349514563106</v>
      </c>
      <c r="AC18" s="129">
        <f t="shared" si="20"/>
        <v>0.63636363636363635</v>
      </c>
      <c r="AD18" s="127">
        <f t="shared" si="21"/>
        <v>0.30882352941176466</v>
      </c>
      <c r="AF18" s="81">
        <f t="shared" si="22"/>
        <v>0</v>
      </c>
      <c r="AG18" s="81">
        <v>0</v>
      </c>
      <c r="AH18" s="127">
        <f t="shared" si="23"/>
        <v>0</v>
      </c>
      <c r="AI18" s="127">
        <v>0</v>
      </c>
    </row>
    <row r="19" spans="1:55">
      <c r="A19" t="s">
        <v>667</v>
      </c>
      <c r="C19" s="98"/>
      <c r="I19" s="107"/>
      <c r="J19" s="77" t="s">
        <v>673</v>
      </c>
      <c r="L19" s="2"/>
      <c r="N19" s="81">
        <f>O19-5</f>
        <v>41</v>
      </c>
      <c r="O19" s="81">
        <f>43+3</f>
        <v>46</v>
      </c>
      <c r="P19" s="129">
        <f t="shared" si="12"/>
        <v>0.37614678899082571</v>
      </c>
      <c r="Q19" s="129">
        <f t="shared" si="13"/>
        <v>0.89130434782608692</v>
      </c>
      <c r="R19" s="127">
        <f t="shared" si="14"/>
        <v>0.52903225806451615</v>
      </c>
      <c r="T19" s="81">
        <f>U19-1</f>
        <v>9</v>
      </c>
      <c r="U19" s="81">
        <f>$G$13-1</f>
        <v>10</v>
      </c>
      <c r="V19" s="129">
        <f t="shared" si="16"/>
        <v>0.81818181818181823</v>
      </c>
      <c r="W19" s="129">
        <f t="shared" si="17"/>
        <v>0.9</v>
      </c>
      <c r="X19" s="127">
        <f t="shared" si="18"/>
        <v>0.85714285714285721</v>
      </c>
      <c r="Z19" s="81">
        <v>25</v>
      </c>
      <c r="AA19" s="81">
        <v>43</v>
      </c>
      <c r="AB19" s="129">
        <f t="shared" si="19"/>
        <v>0.24271844660194175</v>
      </c>
      <c r="AC19" s="129">
        <f t="shared" si="20"/>
        <v>0.58139534883720934</v>
      </c>
      <c r="AD19" s="127">
        <f t="shared" si="21"/>
        <v>0.34246575342465757</v>
      </c>
      <c r="AF19" s="81">
        <f t="shared" si="22"/>
        <v>0</v>
      </c>
      <c r="AG19" s="81">
        <v>0</v>
      </c>
      <c r="AH19" s="127">
        <f t="shared" si="23"/>
        <v>0</v>
      </c>
      <c r="AI19" s="127">
        <v>0</v>
      </c>
    </row>
    <row r="20" spans="1:55">
      <c r="A20" t="s">
        <v>668</v>
      </c>
      <c r="C20" s="98"/>
      <c r="I20" s="107"/>
      <c r="J20" s="77" t="s">
        <v>670</v>
      </c>
      <c r="L20" s="2"/>
      <c r="N20" s="81" t="e">
        <f>O20-0</f>
        <v>#VALUE!</v>
      </c>
      <c r="O20" s="81" t="s">
        <v>674</v>
      </c>
      <c r="P20" s="129" t="e">
        <f t="shared" si="12"/>
        <v>#VALUE!</v>
      </c>
      <c r="Q20" s="129" t="e">
        <f t="shared" si="13"/>
        <v>#VALUE!</v>
      </c>
      <c r="R20" s="127" t="e">
        <f t="shared" si="14"/>
        <v>#VALUE!</v>
      </c>
      <c r="T20" s="81" t="e">
        <f t="shared" si="15"/>
        <v>#VALUE!</v>
      </c>
      <c r="U20" s="81" t="s">
        <v>674</v>
      </c>
      <c r="V20" s="129" t="e">
        <f t="shared" si="16"/>
        <v>#VALUE!</v>
      </c>
      <c r="W20" s="129" t="e">
        <f t="shared" si="17"/>
        <v>#VALUE!</v>
      </c>
      <c r="X20" s="127" t="e">
        <f t="shared" si="18"/>
        <v>#VALUE!</v>
      </c>
      <c r="Z20" s="81" t="e">
        <f>AA20-0</f>
        <v>#VALUE!</v>
      </c>
      <c r="AA20" s="81" t="s">
        <v>674</v>
      </c>
      <c r="AB20" s="129" t="e">
        <f t="shared" si="19"/>
        <v>#VALUE!</v>
      </c>
      <c r="AC20" s="129" t="e">
        <f t="shared" si="20"/>
        <v>#VALUE!</v>
      </c>
      <c r="AD20" s="127" t="e">
        <f t="shared" si="21"/>
        <v>#VALUE!</v>
      </c>
      <c r="AF20" s="81" t="e">
        <f t="shared" si="22"/>
        <v>#VALUE!</v>
      </c>
      <c r="AG20" s="81" t="s">
        <v>674</v>
      </c>
      <c r="AH20" s="127" t="e">
        <f t="shared" si="23"/>
        <v>#VALUE!</v>
      </c>
      <c r="AI20" s="127" t="e">
        <f>AF20/AG20</f>
        <v>#VALUE!</v>
      </c>
    </row>
    <row r="21" spans="1:55">
      <c r="A21" t="s">
        <v>669</v>
      </c>
      <c r="C21" s="98"/>
      <c r="I21" s="107"/>
      <c r="J21" s="77" t="s">
        <v>670</v>
      </c>
      <c r="L21" s="2"/>
      <c r="N21" s="81">
        <f>O21-20</f>
        <v>41</v>
      </c>
      <c r="O21" s="81">
        <f>$F$13-48</f>
        <v>61</v>
      </c>
      <c r="P21" s="129">
        <f t="shared" si="12"/>
        <v>0.37614678899082571</v>
      </c>
      <c r="Q21" s="129">
        <f t="shared" si="13"/>
        <v>0.67213114754098358</v>
      </c>
      <c r="R21" s="127">
        <f t="shared" si="14"/>
        <v>0.4823529411764706</v>
      </c>
      <c r="T21" s="81">
        <f>U21-2</f>
        <v>6</v>
      </c>
      <c r="U21" s="81">
        <f>$G$13-3</f>
        <v>8</v>
      </c>
      <c r="V21" s="129">
        <f t="shared" si="16"/>
        <v>0.54545454545454541</v>
      </c>
      <c r="W21" s="129">
        <f t="shared" si="17"/>
        <v>0.75</v>
      </c>
      <c r="X21" s="127">
        <f t="shared" si="18"/>
        <v>0.63157894736842102</v>
      </c>
      <c r="Z21" s="81">
        <f>AA21-14</f>
        <v>41</v>
      </c>
      <c r="AA21" s="81">
        <f>$I$13-48</f>
        <v>55</v>
      </c>
      <c r="AB21" s="129">
        <f t="shared" si="19"/>
        <v>0.39805825242718446</v>
      </c>
      <c r="AC21" s="129">
        <f t="shared" si="20"/>
        <v>0.74545454545454548</v>
      </c>
      <c r="AD21" s="127">
        <f t="shared" si="21"/>
        <v>0.518987341772152</v>
      </c>
      <c r="AF21" s="81">
        <f t="shared" si="22"/>
        <v>0</v>
      </c>
      <c r="AG21" s="81">
        <v>0</v>
      </c>
      <c r="AH21" s="127">
        <f t="shared" si="23"/>
        <v>0</v>
      </c>
      <c r="AI21" s="127">
        <v>0</v>
      </c>
    </row>
    <row r="23" spans="1:55" s="75" customFormat="1">
      <c r="A23" s="73" t="s">
        <v>347</v>
      </c>
      <c r="C23" s="198" t="s">
        <v>283</v>
      </c>
      <c r="D23" s="78">
        <f>VLOOKUP($C$23,Overview!$Q$2:$AS$64,23,FALSE)</f>
        <v>6.2745035499085571</v>
      </c>
      <c r="E23" s="78" t="str">
        <f>VLOOKUP($C$23,Overview!$Q$2:$AS$64,24,FALSE)</f>
        <v>high</v>
      </c>
      <c r="F23" s="75">
        <f>VLOOKUP(C23,Overview!$Q$2:$AS$64,13,FALSE)</f>
        <v>110</v>
      </c>
      <c r="G23" s="75">
        <f>VLOOKUP(C23,Overview!$Q$2:$AS$64,16,FALSE)</f>
        <v>13</v>
      </c>
      <c r="H23" s="75">
        <f>VLOOKUP(C23,Overview!$Q$2:$AS$64,18,FALSE)</f>
        <v>48</v>
      </c>
      <c r="I23" s="75">
        <f>VLOOKUP($C$23,Overview!$Q$2:$AS$64,19,FALSE)</f>
        <v>104</v>
      </c>
      <c r="K23" s="96"/>
      <c r="L23" s="96"/>
      <c r="M23" s="115"/>
      <c r="N23" s="97"/>
      <c r="O23" s="97"/>
      <c r="P23" s="124"/>
      <c r="Q23" s="124"/>
      <c r="R23" s="80"/>
      <c r="S23" s="115"/>
      <c r="T23" s="97"/>
      <c r="U23" s="97"/>
      <c r="V23" s="124"/>
      <c r="W23" s="124"/>
      <c r="X23" s="80"/>
      <c r="Y23" s="115"/>
      <c r="Z23" s="97"/>
      <c r="AA23" s="97"/>
      <c r="AB23" s="124"/>
      <c r="AC23" s="124"/>
      <c r="AD23" s="80"/>
      <c r="AE23" s="115"/>
      <c r="AF23" s="97"/>
      <c r="AG23" s="97"/>
      <c r="AH23" s="80"/>
      <c r="AI23" s="97"/>
      <c r="AJ23" s="97"/>
      <c r="AK23" s="115"/>
      <c r="AL23" s="122"/>
      <c r="AM23" s="101"/>
      <c r="AP23" s="101"/>
      <c r="AQ23" s="101"/>
      <c r="AU23" s="119"/>
      <c r="AV23" s="101"/>
      <c r="AW23" s="101"/>
      <c r="AX23" s="101"/>
      <c r="AY23" s="101"/>
      <c r="AZ23" s="101"/>
      <c r="BA23" s="83"/>
      <c r="BC23" s="101"/>
    </row>
    <row r="24" spans="1:55">
      <c r="A24" t="s">
        <v>305</v>
      </c>
      <c r="C24" s="98"/>
      <c r="I24" s="107"/>
      <c r="J24" s="77" t="s">
        <v>672</v>
      </c>
      <c r="L24" s="2"/>
      <c r="N24" s="81">
        <f>O24-9</f>
        <v>44</v>
      </c>
      <c r="O24" s="81">
        <f>$F$23-57</f>
        <v>53</v>
      </c>
      <c r="P24" s="129">
        <f>N24/$F$23</f>
        <v>0.4</v>
      </c>
      <c r="Q24" s="129">
        <f>N24/O24</f>
        <v>0.83018867924528306</v>
      </c>
      <c r="R24" s="127">
        <f>2*(P24*Q24)/(P24+Q24)</f>
        <v>0.53987730061349692</v>
      </c>
      <c r="T24" s="81">
        <f>U24-0</f>
        <v>8</v>
      </c>
      <c r="U24" s="81">
        <f>$G$23-5</f>
        <v>8</v>
      </c>
      <c r="V24" s="129">
        <f>T24/$G$23</f>
        <v>0.61538461538461542</v>
      </c>
      <c r="W24" s="129">
        <f>T24/U24</f>
        <v>1</v>
      </c>
      <c r="X24" s="127">
        <f>2*(V24*W24)/(V24+W24)</f>
        <v>0.76190476190476197</v>
      </c>
      <c r="Z24" s="81">
        <f>AA24-23</f>
        <v>24</v>
      </c>
      <c r="AA24" s="81">
        <f>$I$23-57</f>
        <v>47</v>
      </c>
      <c r="AB24" s="129">
        <f>Z24/$I$23</f>
        <v>0.23076923076923078</v>
      </c>
      <c r="AC24" s="129">
        <f>Z24/AA24</f>
        <v>0.51063829787234039</v>
      </c>
      <c r="AD24" s="127">
        <f>2*(AB24*AC24)/(AB24+AC24)</f>
        <v>0.31788079470198677</v>
      </c>
      <c r="AF24" s="81">
        <f>AG24-0</f>
        <v>2</v>
      </c>
      <c r="AG24" s="81">
        <v>2</v>
      </c>
      <c r="AH24" s="127">
        <f>AF24/$H$23</f>
        <v>4.1666666666666664E-2</v>
      </c>
      <c r="AI24" s="127">
        <f>AF24/AG24</f>
        <v>1</v>
      </c>
    </row>
    <row r="25" spans="1:55">
      <c r="A25" t="s">
        <v>306</v>
      </c>
      <c r="C25" s="98"/>
      <c r="I25" s="107"/>
      <c r="J25" s="77" t="s">
        <v>672</v>
      </c>
      <c r="L25" s="2"/>
      <c r="N25" s="81">
        <f>O25-11</f>
        <v>43</v>
      </c>
      <c r="O25" s="81">
        <f>$F$23-56</f>
        <v>54</v>
      </c>
      <c r="P25" s="129">
        <f t="shared" ref="P25:P31" si="24">N25/$F$23</f>
        <v>0.39090909090909093</v>
      </c>
      <c r="Q25" s="129">
        <f t="shared" ref="Q25:Q31" si="25">N25/O25</f>
        <v>0.79629629629629628</v>
      </c>
      <c r="R25" s="127">
        <f t="shared" ref="R25:R31" si="26">2*(P25*Q25)/(P25+Q25)</f>
        <v>0.52439024390243905</v>
      </c>
      <c r="T25" s="81">
        <f>U25-0</f>
        <v>9</v>
      </c>
      <c r="U25" s="81">
        <f>$G$23-4</f>
        <v>9</v>
      </c>
      <c r="V25" s="129">
        <f t="shared" ref="V25:V31" si="27">T25/$G$23</f>
        <v>0.69230769230769229</v>
      </c>
      <c r="W25" s="129">
        <f t="shared" ref="W25:W31" si="28">T25/U25</f>
        <v>1</v>
      </c>
      <c r="X25" s="127">
        <f t="shared" ref="X25:X31" si="29">2*(V25*W25)/(V25+W25)</f>
        <v>0.81818181818181812</v>
      </c>
      <c r="Z25" s="81">
        <f>AA25-24</f>
        <v>25</v>
      </c>
      <c r="AA25" s="81">
        <f>$I$23-55</f>
        <v>49</v>
      </c>
      <c r="AB25" s="129">
        <f t="shared" ref="AB25:AB31" si="30">Z25/$I$23</f>
        <v>0.24038461538461539</v>
      </c>
      <c r="AC25" s="129">
        <f t="shared" ref="AC25:AC31" si="31">Z25/AA25</f>
        <v>0.51020408163265307</v>
      </c>
      <c r="AD25" s="127">
        <f t="shared" ref="AD25:AD31" si="32">2*(AB25*AC25)/(AB25+AC25)</f>
        <v>0.32679738562091504</v>
      </c>
      <c r="AF25" s="81">
        <f t="shared" ref="AF25:AF31" si="33">AG25-0</f>
        <v>1</v>
      </c>
      <c r="AG25" s="81">
        <v>1</v>
      </c>
      <c r="AH25" s="127">
        <f t="shared" ref="AH25:AH31" si="34">AF25/$H$23</f>
        <v>2.0833333333333332E-2</v>
      </c>
      <c r="AI25" s="127">
        <f>AF25/AG25</f>
        <v>1</v>
      </c>
    </row>
    <row r="26" spans="1:55">
      <c r="A26" t="s">
        <v>307</v>
      </c>
      <c r="C26" s="98"/>
      <c r="I26" s="107"/>
      <c r="J26" s="77" t="s">
        <v>671</v>
      </c>
      <c r="L26" s="2"/>
      <c r="N26" s="81">
        <f>O26-13</f>
        <v>38</v>
      </c>
      <c r="O26" s="81">
        <v>51</v>
      </c>
      <c r="P26" s="129">
        <f t="shared" si="24"/>
        <v>0.34545454545454546</v>
      </c>
      <c r="Q26" s="129">
        <f t="shared" si="25"/>
        <v>0.74509803921568629</v>
      </c>
      <c r="R26" s="127">
        <f t="shared" si="26"/>
        <v>0.47204968944099374</v>
      </c>
      <c r="T26" s="81">
        <f>U26-1</f>
        <v>9</v>
      </c>
      <c r="U26" s="81">
        <f>$G$23-3</f>
        <v>10</v>
      </c>
      <c r="V26" s="129">
        <f t="shared" si="27"/>
        <v>0.69230769230769229</v>
      </c>
      <c r="W26" s="129">
        <f t="shared" si="28"/>
        <v>0.9</v>
      </c>
      <c r="X26" s="127">
        <f t="shared" si="29"/>
        <v>0.78260869565217384</v>
      </c>
      <c r="Z26" s="81">
        <v>4</v>
      </c>
      <c r="AA26" s="81">
        <v>46</v>
      </c>
      <c r="AB26" s="129">
        <f t="shared" si="30"/>
        <v>3.8461538461538464E-2</v>
      </c>
      <c r="AC26" s="129">
        <f t="shared" si="31"/>
        <v>8.6956521739130432E-2</v>
      </c>
      <c r="AD26" s="127">
        <f t="shared" si="32"/>
        <v>5.333333333333333E-2</v>
      </c>
      <c r="AF26" s="81">
        <f t="shared" si="33"/>
        <v>0</v>
      </c>
      <c r="AG26" s="81">
        <v>0</v>
      </c>
      <c r="AH26" s="127">
        <f t="shared" si="34"/>
        <v>0</v>
      </c>
      <c r="AI26" s="127">
        <v>0</v>
      </c>
    </row>
    <row r="27" spans="1:55">
      <c r="A27" t="s">
        <v>308</v>
      </c>
      <c r="C27" s="98"/>
      <c r="I27" s="107"/>
      <c r="J27" s="77" t="s">
        <v>671</v>
      </c>
      <c r="L27" s="2"/>
      <c r="N27" s="81">
        <f>O27-12</f>
        <v>34</v>
      </c>
      <c r="O27" s="81">
        <f>41+5</f>
        <v>46</v>
      </c>
      <c r="P27" s="129">
        <f t="shared" si="24"/>
        <v>0.30909090909090908</v>
      </c>
      <c r="Q27" s="129">
        <f t="shared" si="25"/>
        <v>0.73913043478260865</v>
      </c>
      <c r="R27" s="127">
        <f t="shared" si="26"/>
        <v>0.4358974358974359</v>
      </c>
      <c r="T27" s="81">
        <f>U27-2</f>
        <v>8</v>
      </c>
      <c r="U27" s="81">
        <f>$G$23-3</f>
        <v>10</v>
      </c>
      <c r="V27" s="129">
        <f t="shared" si="27"/>
        <v>0.61538461538461542</v>
      </c>
      <c r="W27" s="129">
        <f t="shared" si="28"/>
        <v>0.8</v>
      </c>
      <c r="X27" s="127">
        <f t="shared" si="29"/>
        <v>0.69565217391304346</v>
      </c>
      <c r="Z27" s="81">
        <v>4</v>
      </c>
      <c r="AA27" s="81">
        <v>41</v>
      </c>
      <c r="AB27" s="129">
        <f t="shared" si="30"/>
        <v>3.8461538461538464E-2</v>
      </c>
      <c r="AC27" s="129">
        <f t="shared" si="31"/>
        <v>9.7560975609756101E-2</v>
      </c>
      <c r="AD27" s="127">
        <f t="shared" si="32"/>
        <v>5.5172413793103454E-2</v>
      </c>
      <c r="AF27" s="81">
        <f t="shared" si="33"/>
        <v>0</v>
      </c>
      <c r="AG27" s="81">
        <v>0</v>
      </c>
      <c r="AH27" s="127">
        <f t="shared" si="34"/>
        <v>0</v>
      </c>
      <c r="AI27" s="127">
        <v>0</v>
      </c>
    </row>
    <row r="28" spans="1:55">
      <c r="A28" t="s">
        <v>309</v>
      </c>
      <c r="C28" s="98"/>
      <c r="I28" s="107"/>
      <c r="J28" s="77" t="s">
        <v>673</v>
      </c>
      <c r="L28" s="2"/>
      <c r="N28" s="81">
        <f>O28-16</f>
        <v>31</v>
      </c>
      <c r="O28" s="81">
        <v>47</v>
      </c>
      <c r="P28" s="129">
        <f t="shared" si="24"/>
        <v>0.2818181818181818</v>
      </c>
      <c r="Q28" s="129">
        <f t="shared" si="25"/>
        <v>0.65957446808510634</v>
      </c>
      <c r="R28" s="127">
        <f t="shared" si="26"/>
        <v>0.39490445859872608</v>
      </c>
      <c r="T28" s="81">
        <f>U28-1</f>
        <v>10</v>
      </c>
      <c r="U28" s="81">
        <f>$G$23-2</f>
        <v>11</v>
      </c>
      <c r="V28" s="129">
        <f t="shared" si="27"/>
        <v>0.76923076923076927</v>
      </c>
      <c r="W28" s="129">
        <f t="shared" si="28"/>
        <v>0.90909090909090906</v>
      </c>
      <c r="X28" s="127">
        <f t="shared" si="29"/>
        <v>0.83333333333333326</v>
      </c>
      <c r="Z28" s="81">
        <v>8</v>
      </c>
      <c r="AA28" s="81">
        <v>47</v>
      </c>
      <c r="AB28" s="129">
        <f t="shared" si="30"/>
        <v>7.6923076923076927E-2</v>
      </c>
      <c r="AC28" s="129">
        <f t="shared" si="31"/>
        <v>0.1702127659574468</v>
      </c>
      <c r="AD28" s="127">
        <f t="shared" si="32"/>
        <v>0.10596026490066225</v>
      </c>
      <c r="AF28" s="81">
        <f t="shared" si="33"/>
        <v>0</v>
      </c>
      <c r="AG28" s="81">
        <v>0</v>
      </c>
      <c r="AH28" s="127">
        <f t="shared" si="34"/>
        <v>0</v>
      </c>
      <c r="AI28" s="127">
        <v>0</v>
      </c>
    </row>
    <row r="29" spans="1:55">
      <c r="A29" t="s">
        <v>667</v>
      </c>
      <c r="C29" s="98"/>
      <c r="I29" s="107"/>
      <c r="J29" s="77" t="s">
        <v>673</v>
      </c>
      <c r="L29" s="2"/>
      <c r="N29" s="81">
        <f>O29-18</f>
        <v>43</v>
      </c>
      <c r="O29" s="81">
        <f>56+5</f>
        <v>61</v>
      </c>
      <c r="P29" s="129">
        <f t="shared" si="24"/>
        <v>0.39090909090909093</v>
      </c>
      <c r="Q29" s="129">
        <f t="shared" si="25"/>
        <v>0.70491803278688525</v>
      </c>
      <c r="R29" s="127">
        <f t="shared" si="26"/>
        <v>0.50292397660818711</v>
      </c>
      <c r="T29" s="81">
        <f>U29-1</f>
        <v>8</v>
      </c>
      <c r="U29" s="81">
        <f>$G$23-4</f>
        <v>9</v>
      </c>
      <c r="V29" s="129">
        <f t="shared" si="27"/>
        <v>0.61538461538461542</v>
      </c>
      <c r="W29" s="129">
        <f t="shared" si="28"/>
        <v>0.88888888888888884</v>
      </c>
      <c r="X29" s="127">
        <f t="shared" si="29"/>
        <v>0.7272727272727274</v>
      </c>
      <c r="Z29" s="81">
        <v>17</v>
      </c>
      <c r="AA29" s="81">
        <v>56</v>
      </c>
      <c r="AB29" s="129">
        <f t="shared" si="30"/>
        <v>0.16346153846153846</v>
      </c>
      <c r="AC29" s="129">
        <f t="shared" si="31"/>
        <v>0.30357142857142855</v>
      </c>
      <c r="AD29" s="127">
        <f t="shared" si="32"/>
        <v>0.21249999999999999</v>
      </c>
      <c r="AF29" s="81">
        <f t="shared" si="33"/>
        <v>0</v>
      </c>
      <c r="AG29" s="81">
        <v>0</v>
      </c>
      <c r="AH29" s="127">
        <f t="shared" si="34"/>
        <v>0</v>
      </c>
      <c r="AI29" s="127">
        <v>0</v>
      </c>
    </row>
    <row r="30" spans="1:55">
      <c r="A30" t="s">
        <v>668</v>
      </c>
      <c r="C30" s="98"/>
      <c r="I30" s="107"/>
      <c r="J30" s="77" t="s">
        <v>670</v>
      </c>
      <c r="L30" s="2"/>
      <c r="N30" s="81">
        <f>O30-5</f>
        <v>30</v>
      </c>
      <c r="O30" s="81">
        <f>30+5</f>
        <v>35</v>
      </c>
      <c r="P30" s="129">
        <f t="shared" si="24"/>
        <v>0.27272727272727271</v>
      </c>
      <c r="Q30" s="129">
        <f t="shared" si="25"/>
        <v>0.8571428571428571</v>
      </c>
      <c r="R30" s="127">
        <f t="shared" si="26"/>
        <v>0.41379310344827586</v>
      </c>
      <c r="T30" s="81">
        <f>U30-1</f>
        <v>11</v>
      </c>
      <c r="U30" s="81">
        <f>$G$23-1</f>
        <v>12</v>
      </c>
      <c r="V30" s="129">
        <f t="shared" si="27"/>
        <v>0.84615384615384615</v>
      </c>
      <c r="W30" s="129">
        <f t="shared" si="28"/>
        <v>0.91666666666666663</v>
      </c>
      <c r="X30" s="127">
        <f t="shared" si="29"/>
        <v>0.87999999999999989</v>
      </c>
      <c r="Z30" s="81">
        <v>2</v>
      </c>
      <c r="AA30" s="81">
        <v>30</v>
      </c>
      <c r="AB30" s="129">
        <f t="shared" si="30"/>
        <v>1.9230769230769232E-2</v>
      </c>
      <c r="AC30" s="129">
        <f t="shared" si="31"/>
        <v>6.6666666666666666E-2</v>
      </c>
      <c r="AD30" s="127">
        <f t="shared" si="32"/>
        <v>2.9850746268656716E-2</v>
      </c>
      <c r="AF30" s="81">
        <f>AG30-1</f>
        <v>11</v>
      </c>
      <c r="AG30" s="81">
        <v>12</v>
      </c>
      <c r="AH30" s="127">
        <f t="shared" si="34"/>
        <v>0.22916666666666666</v>
      </c>
      <c r="AI30" s="127">
        <f>AF30/AG30</f>
        <v>0.91666666666666663</v>
      </c>
    </row>
    <row r="31" spans="1:55">
      <c r="A31" t="s">
        <v>669</v>
      </c>
      <c r="C31" s="98"/>
      <c r="I31" s="107"/>
      <c r="J31" s="77" t="s">
        <v>670</v>
      </c>
      <c r="L31" s="2"/>
      <c r="N31" s="81">
        <f>O31-8</f>
        <v>31</v>
      </c>
      <c r="O31" s="81">
        <f>34+5</f>
        <v>39</v>
      </c>
      <c r="P31" s="129">
        <f t="shared" si="24"/>
        <v>0.2818181818181818</v>
      </c>
      <c r="Q31" s="129">
        <f t="shared" si="25"/>
        <v>0.79487179487179482</v>
      </c>
      <c r="R31" s="127">
        <f t="shared" si="26"/>
        <v>0.41610738255033553</v>
      </c>
      <c r="T31" s="81">
        <f>U31-1</f>
        <v>8</v>
      </c>
      <c r="U31" s="81">
        <f>$G$23-4</f>
        <v>9</v>
      </c>
      <c r="V31" s="129">
        <f t="shared" si="27"/>
        <v>0.61538461538461542</v>
      </c>
      <c r="W31" s="129">
        <f t="shared" si="28"/>
        <v>0.88888888888888884</v>
      </c>
      <c r="X31" s="127">
        <f t="shared" si="29"/>
        <v>0.7272727272727274</v>
      </c>
      <c r="Z31" s="81">
        <v>4</v>
      </c>
      <c r="AA31" s="81">
        <v>34</v>
      </c>
      <c r="AB31" s="129">
        <f t="shared" si="30"/>
        <v>3.8461538461538464E-2</v>
      </c>
      <c r="AC31" s="129">
        <f t="shared" si="31"/>
        <v>0.11764705882352941</v>
      </c>
      <c r="AD31" s="127">
        <f t="shared" si="32"/>
        <v>5.7971014492753631E-2</v>
      </c>
      <c r="AF31" s="81">
        <f t="shared" si="33"/>
        <v>7</v>
      </c>
      <c r="AG31" s="81">
        <v>7</v>
      </c>
      <c r="AH31" s="127">
        <f t="shared" si="34"/>
        <v>0.14583333333333334</v>
      </c>
      <c r="AI31" s="127">
        <f>AF31/AG31</f>
        <v>1</v>
      </c>
    </row>
    <row r="32" spans="1:55">
      <c r="C32" s="98"/>
      <c r="L32" s="14"/>
    </row>
    <row r="33" spans="1:55" s="75" customFormat="1">
      <c r="A33" s="73" t="s">
        <v>345</v>
      </c>
      <c r="B33" s="95"/>
      <c r="C33" s="198" t="s">
        <v>141</v>
      </c>
      <c r="D33" s="78">
        <f>VLOOKUP($C$33,Overview!$Q$2:$AS$64,23,FALSE)</f>
        <v>7.1416786799633689</v>
      </c>
      <c r="E33" s="78" t="str">
        <f>VLOOKUP($C$33,Overview!$Q$2:$AS$64,24,FALSE)</f>
        <v>high</v>
      </c>
      <c r="F33" s="75">
        <f>VLOOKUP(C33,Overview!$Q$2:$AS$64,13,FALSE)</f>
        <v>130</v>
      </c>
      <c r="G33" s="75">
        <f>VLOOKUP(C33,Overview!$Q$2:$AS$64,16,FALSE)</f>
        <v>16</v>
      </c>
      <c r="H33" s="75">
        <f>VLOOKUP(C33,Overview!$Q$2:$AS$64,18,FALSE)</f>
        <v>50</v>
      </c>
      <c r="I33" s="75">
        <f>VLOOKUP($C$33,Overview!$Q$2:$AS$64,19,FALSE)</f>
        <v>126</v>
      </c>
      <c r="K33" s="96"/>
      <c r="L33" s="96"/>
      <c r="M33" s="115"/>
      <c r="N33" s="97"/>
      <c r="O33" s="97"/>
      <c r="P33" s="124"/>
      <c r="Q33" s="124"/>
      <c r="R33" s="80"/>
      <c r="S33" s="115"/>
      <c r="T33" s="97"/>
      <c r="U33" s="97"/>
      <c r="V33" s="124"/>
      <c r="W33" s="124"/>
      <c r="X33" s="80"/>
      <c r="Y33" s="115"/>
      <c r="Z33" s="97"/>
      <c r="AA33" s="97"/>
      <c r="AB33" s="124"/>
      <c r="AC33" s="124"/>
      <c r="AD33" s="80"/>
      <c r="AE33" s="115"/>
      <c r="AF33" s="97"/>
      <c r="AG33" s="97"/>
      <c r="AH33" s="80"/>
      <c r="AI33" s="97"/>
      <c r="AJ33" s="97"/>
      <c r="AK33" s="115"/>
      <c r="AL33" s="122"/>
      <c r="AM33" s="101"/>
      <c r="AP33" s="101"/>
      <c r="AQ33" s="101"/>
      <c r="AU33" s="119"/>
      <c r="AV33" s="101"/>
      <c r="AW33" s="101"/>
      <c r="AX33" s="101"/>
      <c r="AY33" s="101"/>
      <c r="AZ33" s="101"/>
      <c r="BA33" s="83"/>
      <c r="BC33" s="101"/>
    </row>
    <row r="34" spans="1:55">
      <c r="A34" t="s">
        <v>305</v>
      </c>
      <c r="C34" s="98"/>
      <c r="J34" s="77" t="s">
        <v>672</v>
      </c>
      <c r="K34" s="200"/>
      <c r="L34" s="2"/>
      <c r="N34" s="81">
        <f>O34-15</f>
        <v>54</v>
      </c>
      <c r="O34" s="81">
        <f>$F$33-61</f>
        <v>69</v>
      </c>
      <c r="P34" s="129">
        <f>N34/$F$33</f>
        <v>0.41538461538461541</v>
      </c>
      <c r="Q34" s="129">
        <f>N34/O34</f>
        <v>0.78260869565217395</v>
      </c>
      <c r="R34" s="127">
        <f>2*(P34*Q34)/(P34+Q34)</f>
        <v>0.542713567839196</v>
      </c>
      <c r="T34" s="81">
        <f>U34-2</f>
        <v>4</v>
      </c>
      <c r="U34" s="81">
        <f>$G$33-10</f>
        <v>6</v>
      </c>
      <c r="V34" s="129">
        <f>T34/$G$33</f>
        <v>0.25</v>
      </c>
      <c r="W34" s="129">
        <f>T34/U34</f>
        <v>0.66666666666666663</v>
      </c>
      <c r="X34" s="127">
        <f>2*(V34*W34)/(V34+W34)</f>
        <v>0.36363636363636365</v>
      </c>
      <c r="Z34" s="81">
        <f>AA34-25</f>
        <v>40</v>
      </c>
      <c r="AA34" s="81">
        <f>$I$33-61</f>
        <v>65</v>
      </c>
      <c r="AB34" s="129">
        <f>Z34/$I$33</f>
        <v>0.31746031746031744</v>
      </c>
      <c r="AC34" s="129">
        <f>Z34/AA34</f>
        <v>0.61538461538461542</v>
      </c>
      <c r="AD34" s="127">
        <f>2*(AB34*AC34)/(AB34+AC34)</f>
        <v>0.41884816753926701</v>
      </c>
      <c r="AF34" s="81">
        <f>AG34-0</f>
        <v>2</v>
      </c>
      <c r="AG34" s="81">
        <v>2</v>
      </c>
      <c r="AH34" s="127">
        <f>AF34/$H$33</f>
        <v>0.04</v>
      </c>
      <c r="AI34" s="127">
        <f>AF34/AG34</f>
        <v>1</v>
      </c>
    </row>
    <row r="35" spans="1:55">
      <c r="A35" t="s">
        <v>306</v>
      </c>
      <c r="C35" s="98"/>
      <c r="J35" s="77" t="s">
        <v>672</v>
      </c>
      <c r="K35" s="199"/>
      <c r="L35" s="2"/>
      <c r="N35" s="81">
        <f>O35-20</f>
        <v>68</v>
      </c>
      <c r="O35" s="81">
        <f>$F$33-42</f>
        <v>88</v>
      </c>
      <c r="P35" s="129">
        <f t="shared" ref="P35:P41" si="35">N35/$F$33</f>
        <v>0.52307692307692311</v>
      </c>
      <c r="Q35" s="129">
        <f t="shared" ref="Q35:Q41" si="36">N35/O35</f>
        <v>0.77272727272727271</v>
      </c>
      <c r="R35" s="127">
        <f t="shared" ref="R35:R41" si="37">2*(P35*Q35)/(P35+Q35)</f>
        <v>0.62385321100917424</v>
      </c>
      <c r="T35" s="81">
        <f>U35-8</f>
        <v>4</v>
      </c>
      <c r="U35" s="81">
        <f>$G$33-4</f>
        <v>12</v>
      </c>
      <c r="V35" s="129">
        <f t="shared" ref="V35:V41" si="38">T35/$G$33</f>
        <v>0.25</v>
      </c>
      <c r="W35" s="129">
        <f t="shared" ref="W35:W41" si="39">T35/U35</f>
        <v>0.33333333333333331</v>
      </c>
      <c r="X35" s="127">
        <f t="shared" ref="X35:X41" si="40">2*(V35*W35)/(V35+W35)</f>
        <v>0.28571428571428575</v>
      </c>
      <c r="Z35" s="81">
        <f>AA35-43</f>
        <v>41</v>
      </c>
      <c r="AA35" s="81">
        <f>$I$33-42</f>
        <v>84</v>
      </c>
      <c r="AB35" s="129">
        <f t="shared" ref="AB35:AB41" si="41">Z35/$I$33</f>
        <v>0.32539682539682541</v>
      </c>
      <c r="AC35" s="129">
        <f t="shared" ref="AC35:AC41" si="42">Z35/AA35</f>
        <v>0.48809523809523808</v>
      </c>
      <c r="AD35" s="127">
        <f t="shared" ref="AD35:AD41" si="43">2*(AB35*AC35)/(AB35+AC35)</f>
        <v>0.39047619047619042</v>
      </c>
      <c r="AF35" s="81">
        <f t="shared" ref="AF35:AF41" si="44">AG35-0</f>
        <v>1</v>
      </c>
      <c r="AG35" s="81">
        <v>1</v>
      </c>
      <c r="AH35" s="127">
        <f t="shared" ref="AH35:AH41" si="45">AF35/$H$33</f>
        <v>0.02</v>
      </c>
      <c r="AI35" s="127">
        <f t="shared" ref="AI35:AI41" si="46">AF35/AG35</f>
        <v>1</v>
      </c>
    </row>
    <row r="36" spans="1:55">
      <c r="A36" t="s">
        <v>307</v>
      </c>
      <c r="C36" s="98"/>
      <c r="J36" s="77" t="s">
        <v>671</v>
      </c>
      <c r="K36" s="199"/>
      <c r="L36" s="2"/>
      <c r="N36" s="81">
        <f>O36-10</f>
        <v>62</v>
      </c>
      <c r="O36" s="81">
        <f>$F$33-58</f>
        <v>72</v>
      </c>
      <c r="P36" s="129">
        <f t="shared" si="35"/>
        <v>0.47692307692307695</v>
      </c>
      <c r="Q36" s="129">
        <f t="shared" si="36"/>
        <v>0.86111111111111116</v>
      </c>
      <c r="R36" s="127">
        <f t="shared" si="37"/>
        <v>0.61386138613861385</v>
      </c>
      <c r="T36" s="81">
        <f>U36-5</f>
        <v>4</v>
      </c>
      <c r="U36" s="81">
        <f>$G$33-7</f>
        <v>9</v>
      </c>
      <c r="V36" s="129">
        <f t="shared" si="38"/>
        <v>0.25</v>
      </c>
      <c r="W36" s="129">
        <f t="shared" si="39"/>
        <v>0.44444444444444442</v>
      </c>
      <c r="X36" s="127">
        <f t="shared" si="40"/>
        <v>0.32</v>
      </c>
      <c r="Z36" s="81">
        <f>AA36-14</f>
        <v>54</v>
      </c>
      <c r="AA36" s="81">
        <f>$I$33-58</f>
        <v>68</v>
      </c>
      <c r="AB36" s="129">
        <f t="shared" si="41"/>
        <v>0.42857142857142855</v>
      </c>
      <c r="AC36" s="129">
        <f t="shared" si="42"/>
        <v>0.79411764705882348</v>
      </c>
      <c r="AD36" s="127">
        <f t="shared" si="43"/>
        <v>0.55670103092783507</v>
      </c>
      <c r="AF36" s="81">
        <f t="shared" si="44"/>
        <v>1</v>
      </c>
      <c r="AG36" s="81">
        <v>1</v>
      </c>
      <c r="AH36" s="127">
        <f t="shared" si="45"/>
        <v>0.02</v>
      </c>
      <c r="AI36" s="127">
        <f t="shared" si="46"/>
        <v>1</v>
      </c>
    </row>
    <row r="37" spans="1:55">
      <c r="A37" t="s">
        <v>308</v>
      </c>
      <c r="C37" s="98"/>
      <c r="J37" s="77" t="s">
        <v>671</v>
      </c>
      <c r="K37" s="199"/>
      <c r="L37" s="2"/>
      <c r="N37" s="81">
        <f>O37-13</f>
        <v>63</v>
      </c>
      <c r="O37" s="81">
        <f>$F$33-54</f>
        <v>76</v>
      </c>
      <c r="P37" s="129">
        <f t="shared" si="35"/>
        <v>0.48461538461538461</v>
      </c>
      <c r="Q37" s="129">
        <f t="shared" si="36"/>
        <v>0.82894736842105265</v>
      </c>
      <c r="R37" s="127">
        <f t="shared" si="37"/>
        <v>0.61165048543689315</v>
      </c>
      <c r="T37" s="81">
        <f>U37-5</f>
        <v>4</v>
      </c>
      <c r="U37" s="81">
        <f>$G$33-7</f>
        <v>9</v>
      </c>
      <c r="V37" s="129">
        <f t="shared" si="38"/>
        <v>0.25</v>
      </c>
      <c r="W37" s="129">
        <f t="shared" si="39"/>
        <v>0.44444444444444442</v>
      </c>
      <c r="X37" s="127">
        <f t="shared" si="40"/>
        <v>0.32</v>
      </c>
      <c r="Z37" s="81">
        <f>AA37-21</f>
        <v>51</v>
      </c>
      <c r="AA37" s="81">
        <f>$I$33-54</f>
        <v>72</v>
      </c>
      <c r="AB37" s="129">
        <f t="shared" si="41"/>
        <v>0.40476190476190477</v>
      </c>
      <c r="AC37" s="129">
        <f t="shared" si="42"/>
        <v>0.70833333333333337</v>
      </c>
      <c r="AD37" s="127">
        <f t="shared" si="43"/>
        <v>0.51515151515151525</v>
      </c>
      <c r="AF37" s="81">
        <f t="shared" si="44"/>
        <v>2</v>
      </c>
      <c r="AG37" s="81">
        <v>2</v>
      </c>
      <c r="AH37" s="127">
        <f t="shared" si="45"/>
        <v>0.04</v>
      </c>
      <c r="AI37" s="127">
        <f t="shared" si="46"/>
        <v>1</v>
      </c>
    </row>
    <row r="38" spans="1:55">
      <c r="A38" t="s">
        <v>309</v>
      </c>
      <c r="C38" s="98"/>
      <c r="J38" s="77" t="s">
        <v>673</v>
      </c>
      <c r="K38" s="199"/>
      <c r="L38" s="2"/>
      <c r="N38" s="81">
        <f>O38-19</f>
        <v>104</v>
      </c>
      <c r="O38" s="81">
        <f>119+4</f>
        <v>123</v>
      </c>
      <c r="P38" s="129">
        <f t="shared" si="35"/>
        <v>0.8</v>
      </c>
      <c r="Q38" s="129">
        <f t="shared" si="36"/>
        <v>0.84552845528455289</v>
      </c>
      <c r="R38" s="127">
        <f t="shared" si="37"/>
        <v>0.82213438735177879</v>
      </c>
      <c r="T38" s="81">
        <f>U38-6</f>
        <v>7</v>
      </c>
      <c r="U38" s="81">
        <f>$G$33-3</f>
        <v>13</v>
      </c>
      <c r="V38" s="129">
        <f t="shared" si="38"/>
        <v>0.4375</v>
      </c>
      <c r="W38" s="129">
        <f t="shared" si="39"/>
        <v>0.53846153846153844</v>
      </c>
      <c r="X38" s="127">
        <f t="shared" si="40"/>
        <v>0.48275862068965519</v>
      </c>
      <c r="Z38" s="81">
        <f>AA38-90</f>
        <v>29</v>
      </c>
      <c r="AA38" s="81">
        <v>119</v>
      </c>
      <c r="AB38" s="129">
        <f t="shared" si="41"/>
        <v>0.23015873015873015</v>
      </c>
      <c r="AC38" s="129">
        <f t="shared" si="42"/>
        <v>0.24369747899159663</v>
      </c>
      <c r="AD38" s="127">
        <f t="shared" si="43"/>
        <v>0.236734693877551</v>
      </c>
      <c r="AF38" s="81">
        <f t="shared" si="44"/>
        <v>1</v>
      </c>
      <c r="AG38" s="81">
        <v>1</v>
      </c>
      <c r="AH38" s="127">
        <f t="shared" si="45"/>
        <v>0.02</v>
      </c>
      <c r="AI38" s="127">
        <f t="shared" si="46"/>
        <v>1</v>
      </c>
    </row>
    <row r="39" spans="1:55">
      <c r="A39" t="s">
        <v>667</v>
      </c>
      <c r="C39" s="98"/>
      <c r="J39" s="77" t="s">
        <v>673</v>
      </c>
      <c r="K39" s="199"/>
      <c r="L39" s="2"/>
      <c r="N39" s="81">
        <f>O39-11</f>
        <v>103</v>
      </c>
      <c r="O39" s="81">
        <f>110+4</f>
        <v>114</v>
      </c>
      <c r="P39" s="129">
        <f t="shared" si="35"/>
        <v>0.79230769230769227</v>
      </c>
      <c r="Q39" s="129">
        <f t="shared" si="36"/>
        <v>0.90350877192982459</v>
      </c>
      <c r="R39" s="127">
        <f t="shared" si="37"/>
        <v>0.84426229508196726</v>
      </c>
      <c r="T39" s="81">
        <f>U39-3</f>
        <v>11</v>
      </c>
      <c r="U39" s="81">
        <f>$G$33-2</f>
        <v>14</v>
      </c>
      <c r="V39" s="129">
        <f t="shared" si="38"/>
        <v>0.6875</v>
      </c>
      <c r="W39" s="129">
        <f t="shared" si="39"/>
        <v>0.7857142857142857</v>
      </c>
      <c r="X39" s="127">
        <f t="shared" si="40"/>
        <v>0.73333333333333339</v>
      </c>
      <c r="Z39" s="81">
        <f>AA39-58</f>
        <v>52</v>
      </c>
      <c r="AA39" s="81">
        <v>110</v>
      </c>
      <c r="AB39" s="129">
        <f t="shared" si="41"/>
        <v>0.41269841269841268</v>
      </c>
      <c r="AC39" s="129">
        <f t="shared" si="42"/>
        <v>0.47272727272727272</v>
      </c>
      <c r="AD39" s="127">
        <f t="shared" si="43"/>
        <v>0.44067796610169485</v>
      </c>
      <c r="AF39" s="81">
        <f t="shared" si="44"/>
        <v>1</v>
      </c>
      <c r="AG39" s="81">
        <v>1</v>
      </c>
      <c r="AH39" s="127">
        <f t="shared" si="45"/>
        <v>0.02</v>
      </c>
      <c r="AI39" s="127">
        <f t="shared" si="46"/>
        <v>1</v>
      </c>
    </row>
    <row r="40" spans="1:55">
      <c r="A40" t="s">
        <v>668</v>
      </c>
      <c r="C40" s="98"/>
      <c r="J40" s="77" t="s">
        <v>670</v>
      </c>
      <c r="K40" s="199"/>
      <c r="L40" s="2"/>
      <c r="N40" s="81">
        <f>O40-25</f>
        <v>71</v>
      </c>
      <c r="O40" s="81">
        <f>$F$33-34</f>
        <v>96</v>
      </c>
      <c r="P40" s="129">
        <f t="shared" si="35"/>
        <v>0.5461538461538461</v>
      </c>
      <c r="Q40" s="129">
        <f t="shared" si="36"/>
        <v>0.73958333333333337</v>
      </c>
      <c r="R40" s="127">
        <f t="shared" si="37"/>
        <v>0.62831858407079644</v>
      </c>
      <c r="T40" s="81">
        <f>U40-7</f>
        <v>5</v>
      </c>
      <c r="U40" s="81">
        <f>$G$33-4</f>
        <v>12</v>
      </c>
      <c r="V40" s="129">
        <f t="shared" si="38"/>
        <v>0.3125</v>
      </c>
      <c r="W40" s="129">
        <f t="shared" si="39"/>
        <v>0.41666666666666669</v>
      </c>
      <c r="X40" s="127">
        <f t="shared" si="40"/>
        <v>0.35714285714285715</v>
      </c>
      <c r="Z40" s="81">
        <f>AA40-25</f>
        <v>67</v>
      </c>
      <c r="AA40" s="81">
        <f>$I$33-34</f>
        <v>92</v>
      </c>
      <c r="AB40" s="129">
        <f t="shared" si="41"/>
        <v>0.53174603174603174</v>
      </c>
      <c r="AC40" s="129">
        <f t="shared" si="42"/>
        <v>0.72826086956521741</v>
      </c>
      <c r="AD40" s="127">
        <f t="shared" si="43"/>
        <v>0.61467889908256879</v>
      </c>
      <c r="AF40" s="81">
        <f t="shared" si="44"/>
        <v>2</v>
      </c>
      <c r="AG40" s="81">
        <v>2</v>
      </c>
      <c r="AH40" s="127">
        <f t="shared" si="45"/>
        <v>0.04</v>
      </c>
      <c r="AI40" s="127">
        <f t="shared" si="46"/>
        <v>1</v>
      </c>
    </row>
    <row r="41" spans="1:55">
      <c r="A41" t="s">
        <v>669</v>
      </c>
      <c r="C41" s="98"/>
      <c r="J41" s="77" t="s">
        <v>670</v>
      </c>
      <c r="K41" s="199"/>
      <c r="L41" s="2"/>
      <c r="N41" s="81">
        <f>O41-17</f>
        <v>63</v>
      </c>
      <c r="O41" s="81">
        <f>$F$33-50</f>
        <v>80</v>
      </c>
      <c r="P41" s="129">
        <f t="shared" si="35"/>
        <v>0.48461538461538461</v>
      </c>
      <c r="Q41" s="129">
        <f t="shared" si="36"/>
        <v>0.78749999999999998</v>
      </c>
      <c r="R41" s="127">
        <f t="shared" si="37"/>
        <v>0.6</v>
      </c>
      <c r="T41" s="81">
        <f>U41-6</f>
        <v>4</v>
      </c>
      <c r="U41" s="81">
        <f>$G$33-6</f>
        <v>10</v>
      </c>
      <c r="V41" s="129">
        <f t="shared" si="38"/>
        <v>0.25</v>
      </c>
      <c r="W41" s="129">
        <f t="shared" si="39"/>
        <v>0.4</v>
      </c>
      <c r="X41" s="127">
        <f t="shared" si="40"/>
        <v>0.30769230769230771</v>
      </c>
      <c r="Z41" s="81">
        <f>AA41-32</f>
        <v>44</v>
      </c>
      <c r="AA41" s="81">
        <f>$I$33-50</f>
        <v>76</v>
      </c>
      <c r="AB41" s="129">
        <f t="shared" si="41"/>
        <v>0.34920634920634919</v>
      </c>
      <c r="AC41" s="129">
        <f t="shared" si="42"/>
        <v>0.57894736842105265</v>
      </c>
      <c r="AD41" s="127">
        <f t="shared" si="43"/>
        <v>0.43564356435643564</v>
      </c>
      <c r="AF41" s="81">
        <f t="shared" si="44"/>
        <v>1</v>
      </c>
      <c r="AG41" s="81">
        <v>1</v>
      </c>
      <c r="AH41" s="127">
        <f t="shared" si="45"/>
        <v>0.02</v>
      </c>
      <c r="AI41" s="127">
        <f t="shared" si="46"/>
        <v>1</v>
      </c>
    </row>
    <row r="42" spans="1:55">
      <c r="K42" s="199"/>
      <c r="L42" s="2"/>
    </row>
    <row r="43" spans="1:55" s="75" customFormat="1">
      <c r="A43" s="73" t="s">
        <v>400</v>
      </c>
      <c r="C43" s="198" t="s">
        <v>140</v>
      </c>
      <c r="D43" s="78">
        <f>VLOOKUP($C$43,Overview!$Q$2:$AS$64,23,FALSE)</f>
        <v>12.011083863483384</v>
      </c>
      <c r="E43" s="78" t="str">
        <f>VLOOKUP($C$43,Overview!$Q$2:$AS$64,24,FALSE)</f>
        <v>high</v>
      </c>
      <c r="F43" s="75">
        <f>VLOOKUP(C43,Overview!$Q$2:$AS$64,13,FALSE)</f>
        <v>169</v>
      </c>
      <c r="G43" s="75">
        <f>VLOOKUP(C43,Overview!$Q$2:$AS$64,16,FALSE)</f>
        <v>18</v>
      </c>
      <c r="H43" s="75">
        <f>VLOOKUP(C43,Overview!$Q$2:$AS$64,18,FALSE)</f>
        <v>59</v>
      </c>
      <c r="I43" s="75">
        <f>VLOOKUP($C$43,Overview!$Q$2:$AS$64,19,FALSE)</f>
        <v>165</v>
      </c>
      <c r="K43" s="96"/>
      <c r="L43" s="96"/>
      <c r="M43" s="115"/>
      <c r="N43" s="97"/>
      <c r="O43" s="97"/>
      <c r="P43" s="124"/>
      <c r="Q43" s="124"/>
      <c r="R43" s="80"/>
      <c r="S43" s="115"/>
      <c r="T43" s="97"/>
      <c r="U43" s="97"/>
      <c r="V43" s="124"/>
      <c r="W43" s="124"/>
      <c r="X43" s="80"/>
      <c r="Y43" s="115"/>
      <c r="Z43" s="97"/>
      <c r="AA43" s="97"/>
      <c r="AB43" s="124"/>
      <c r="AC43" s="124"/>
      <c r="AD43" s="80"/>
      <c r="AE43" s="115"/>
      <c r="AF43" s="97"/>
      <c r="AG43" s="97"/>
      <c r="AH43" s="80"/>
      <c r="AI43" s="97"/>
      <c r="AJ43" s="97"/>
      <c r="AK43" s="115"/>
      <c r="AL43" s="122"/>
      <c r="AM43" s="101"/>
      <c r="AP43" s="101"/>
      <c r="AQ43" s="101"/>
      <c r="AU43" s="119"/>
      <c r="AV43" s="101"/>
      <c r="AW43" s="101"/>
      <c r="AX43" s="101"/>
      <c r="AY43" s="101"/>
      <c r="AZ43" s="101"/>
      <c r="BA43" s="83"/>
      <c r="BC43" s="101"/>
    </row>
    <row r="44" spans="1:55">
      <c r="A44" t="s">
        <v>305</v>
      </c>
      <c r="C44" s="98"/>
      <c r="J44" s="77" t="s">
        <v>672</v>
      </c>
      <c r="K44" s="199"/>
      <c r="L44" s="2"/>
      <c r="N44" s="81">
        <f>O44-15</f>
        <v>53</v>
      </c>
      <c r="O44" s="81">
        <f>64+4</f>
        <v>68</v>
      </c>
      <c r="P44" s="129">
        <f t="shared" ref="P44:P51" si="47">N44/$F$43</f>
        <v>0.31360946745562129</v>
      </c>
      <c r="Q44" s="129">
        <f t="shared" ref="Q44:Q51" si="48">N44/O44</f>
        <v>0.77941176470588236</v>
      </c>
      <c r="R44" s="127">
        <f t="shared" ref="R44:R51" si="49">2*(P44*Q44)/(P44+Q44)</f>
        <v>0.44725738396624476</v>
      </c>
      <c r="T44" s="81">
        <f>U44-5</f>
        <v>5</v>
      </c>
      <c r="U44" s="81">
        <f>$G$43-8</f>
        <v>10</v>
      </c>
      <c r="V44" s="129">
        <f>T44/$G$43</f>
        <v>0.27777777777777779</v>
      </c>
      <c r="W44" s="129">
        <f>T44/U44</f>
        <v>0.5</v>
      </c>
      <c r="X44" s="127">
        <f>2*(V44*W44)/(V44+W44)</f>
        <v>0.35714285714285715</v>
      </c>
      <c r="Z44" s="81">
        <f>AA44-36</f>
        <v>28</v>
      </c>
      <c r="AA44" s="81">
        <v>64</v>
      </c>
      <c r="AB44" s="129">
        <f>Z44/$I$43</f>
        <v>0.16969696969696971</v>
      </c>
      <c r="AC44" s="129">
        <f>Z44/AA44</f>
        <v>0.4375</v>
      </c>
      <c r="AD44" s="127">
        <f>2*(AB44*AC44)/(AB44+AC44)</f>
        <v>0.24454148471615722</v>
      </c>
      <c r="AF44" s="81">
        <f>AG44-0</f>
        <v>1</v>
      </c>
      <c r="AG44" s="81">
        <v>1</v>
      </c>
      <c r="AH44" s="127">
        <f>AF44/$H$43</f>
        <v>1.6949152542372881E-2</v>
      </c>
      <c r="AI44" s="127">
        <f>AF44/AG44</f>
        <v>1</v>
      </c>
    </row>
    <row r="45" spans="1:55">
      <c r="A45" t="s">
        <v>306</v>
      </c>
      <c r="C45" s="98"/>
      <c r="J45" s="77" t="s">
        <v>672</v>
      </c>
      <c r="K45" s="199"/>
      <c r="L45" s="2"/>
      <c r="N45" s="81">
        <f>O45-16</f>
        <v>45</v>
      </c>
      <c r="O45" s="81">
        <f>57+4</f>
        <v>61</v>
      </c>
      <c r="P45" s="129">
        <f t="shared" si="47"/>
        <v>0.26627218934911245</v>
      </c>
      <c r="Q45" s="129">
        <f t="shared" si="48"/>
        <v>0.73770491803278693</v>
      </c>
      <c r="R45" s="127">
        <f t="shared" si="49"/>
        <v>0.39130434782608703</v>
      </c>
      <c r="T45" s="81">
        <f>U45-4</f>
        <v>8</v>
      </c>
      <c r="U45" s="81">
        <f>$G$43-6</f>
        <v>12</v>
      </c>
      <c r="V45" s="129">
        <f t="shared" ref="V45:V51" si="50">T45/$G$43</f>
        <v>0.44444444444444442</v>
      </c>
      <c r="W45" s="129">
        <f t="shared" ref="W45:W51" si="51">T45/U45</f>
        <v>0.66666666666666663</v>
      </c>
      <c r="X45" s="127">
        <f t="shared" ref="X45:X51" si="52">2*(V45*W45)/(V45+W45)</f>
        <v>0.53333333333333333</v>
      </c>
      <c r="Z45" s="81">
        <f>AA45-18</f>
        <v>39</v>
      </c>
      <c r="AA45" s="81">
        <v>57</v>
      </c>
      <c r="AB45" s="129">
        <f t="shared" ref="AB45:AB51" si="53">Z45/$I$43</f>
        <v>0.23636363636363636</v>
      </c>
      <c r="AC45" s="129">
        <f t="shared" ref="AC45:AC51" si="54">Z45/AA45</f>
        <v>0.68421052631578949</v>
      </c>
      <c r="AD45" s="127">
        <f t="shared" ref="AD45:AD51" si="55">2*(AB45*AC45)/(AB45+AC45)</f>
        <v>0.35135135135135137</v>
      </c>
      <c r="AF45" s="81">
        <f t="shared" ref="AF45:AF51" si="56">AG45-0</f>
        <v>1</v>
      </c>
      <c r="AG45" s="81">
        <v>1</v>
      </c>
      <c r="AH45" s="127">
        <f t="shared" ref="AH45:AH51" si="57">AF45/$H$43</f>
        <v>1.6949152542372881E-2</v>
      </c>
      <c r="AI45" s="127">
        <f t="shared" ref="AI45:AI51" si="58">AF45/AG45</f>
        <v>1</v>
      </c>
    </row>
    <row r="46" spans="1:55">
      <c r="A46" t="s">
        <v>307</v>
      </c>
      <c r="C46" s="98"/>
      <c r="J46" s="77" t="s">
        <v>671</v>
      </c>
      <c r="L46" s="2"/>
      <c r="N46" s="81">
        <f>O46-29</f>
        <v>50</v>
      </c>
      <c r="O46" s="81">
        <f>75+4</f>
        <v>79</v>
      </c>
      <c r="P46" s="129">
        <f t="shared" si="47"/>
        <v>0.29585798816568049</v>
      </c>
      <c r="Q46" s="129">
        <f t="shared" si="48"/>
        <v>0.63291139240506333</v>
      </c>
      <c r="R46" s="127">
        <f t="shared" si="49"/>
        <v>0.40322580645161293</v>
      </c>
      <c r="T46" s="81">
        <f>U46-6</f>
        <v>4</v>
      </c>
      <c r="U46" s="81">
        <f>$G$43-8</f>
        <v>10</v>
      </c>
      <c r="V46" s="129">
        <f t="shared" si="50"/>
        <v>0.22222222222222221</v>
      </c>
      <c r="W46" s="129">
        <f t="shared" si="51"/>
        <v>0.4</v>
      </c>
      <c r="X46" s="127">
        <f t="shared" si="52"/>
        <v>0.2857142857142857</v>
      </c>
      <c r="Z46" s="81">
        <f>AA46-31</f>
        <v>44</v>
      </c>
      <c r="AA46" s="81">
        <v>75</v>
      </c>
      <c r="AB46" s="129">
        <f t="shared" si="53"/>
        <v>0.26666666666666666</v>
      </c>
      <c r="AC46" s="129">
        <f t="shared" si="54"/>
        <v>0.58666666666666667</v>
      </c>
      <c r="AD46" s="127">
        <f t="shared" si="55"/>
        <v>0.3666666666666667</v>
      </c>
      <c r="AF46" s="81">
        <f t="shared" si="56"/>
        <v>1</v>
      </c>
      <c r="AG46" s="81">
        <v>1</v>
      </c>
      <c r="AH46" s="127">
        <f t="shared" si="57"/>
        <v>1.6949152542372881E-2</v>
      </c>
      <c r="AI46" s="127">
        <f t="shared" si="58"/>
        <v>1</v>
      </c>
    </row>
    <row r="47" spans="1:55">
      <c r="A47" t="s">
        <v>308</v>
      </c>
      <c r="C47" s="98"/>
      <c r="J47" s="77" t="s">
        <v>671</v>
      </c>
      <c r="L47" s="2"/>
      <c r="N47" s="81">
        <f>O47-16</f>
        <v>49</v>
      </c>
      <c r="O47" s="81">
        <f>61+4</f>
        <v>65</v>
      </c>
      <c r="P47" s="129">
        <f t="shared" si="47"/>
        <v>0.28994082840236685</v>
      </c>
      <c r="Q47" s="129">
        <f t="shared" si="48"/>
        <v>0.75384615384615383</v>
      </c>
      <c r="R47" s="127">
        <f t="shared" si="49"/>
        <v>0.41880341880341876</v>
      </c>
      <c r="T47" s="81">
        <f>U47-5</f>
        <v>5</v>
      </c>
      <c r="U47" s="81">
        <f>$G$43-8</f>
        <v>10</v>
      </c>
      <c r="V47" s="129">
        <f t="shared" si="50"/>
        <v>0.27777777777777779</v>
      </c>
      <c r="W47" s="129">
        <f t="shared" si="51"/>
        <v>0.5</v>
      </c>
      <c r="X47" s="127">
        <f t="shared" si="52"/>
        <v>0.35714285714285715</v>
      </c>
      <c r="Z47" s="81">
        <f>AA47-21</f>
        <v>40</v>
      </c>
      <c r="AA47" s="81">
        <v>61</v>
      </c>
      <c r="AB47" s="129">
        <f t="shared" si="53"/>
        <v>0.24242424242424243</v>
      </c>
      <c r="AC47" s="129">
        <f t="shared" si="54"/>
        <v>0.65573770491803274</v>
      </c>
      <c r="AD47" s="127">
        <f t="shared" si="55"/>
        <v>0.35398230088495575</v>
      </c>
      <c r="AF47" s="81">
        <f t="shared" si="56"/>
        <v>1</v>
      </c>
      <c r="AG47" s="81">
        <v>1</v>
      </c>
      <c r="AH47" s="127">
        <f t="shared" si="57"/>
        <v>1.6949152542372881E-2</v>
      </c>
      <c r="AI47" s="127">
        <f t="shared" si="58"/>
        <v>1</v>
      </c>
    </row>
    <row r="48" spans="1:55" s="7" customFormat="1">
      <c r="A48" s="7" t="s">
        <v>309</v>
      </c>
      <c r="C48" s="133"/>
      <c r="J48" s="77" t="s">
        <v>673</v>
      </c>
      <c r="K48" s="201"/>
      <c r="L48" s="201"/>
      <c r="M48" s="202"/>
      <c r="N48" s="81">
        <f>O48-40</f>
        <v>73</v>
      </c>
      <c r="O48" s="81">
        <f>F43-56</f>
        <v>113</v>
      </c>
      <c r="P48" s="146">
        <f t="shared" si="47"/>
        <v>0.43195266272189348</v>
      </c>
      <c r="Q48" s="146">
        <f t="shared" si="48"/>
        <v>0.64601769911504425</v>
      </c>
      <c r="R48" s="203">
        <f t="shared" si="49"/>
        <v>0.51773049645390068</v>
      </c>
      <c r="S48" s="115"/>
      <c r="T48" s="81">
        <f>U48-5</f>
        <v>9</v>
      </c>
      <c r="U48" s="81">
        <f>$G$43-4</f>
        <v>14</v>
      </c>
      <c r="V48" s="146">
        <f t="shared" si="50"/>
        <v>0.5</v>
      </c>
      <c r="W48" s="146">
        <f t="shared" si="51"/>
        <v>0.6428571428571429</v>
      </c>
      <c r="X48" s="203">
        <f t="shared" si="52"/>
        <v>0.56250000000000011</v>
      </c>
      <c r="Y48" s="202"/>
      <c r="Z48" s="81">
        <f>AA48-16</f>
        <v>93</v>
      </c>
      <c r="AA48" s="7">
        <f>I43-56</f>
        <v>109</v>
      </c>
      <c r="AB48" s="146">
        <f t="shared" si="53"/>
        <v>0.5636363636363636</v>
      </c>
      <c r="AC48" s="146">
        <f t="shared" si="54"/>
        <v>0.85321100917431192</v>
      </c>
      <c r="AD48" s="203">
        <f t="shared" si="55"/>
        <v>0.67883211678832123</v>
      </c>
      <c r="AE48" s="115"/>
      <c r="AF48" s="81">
        <f t="shared" si="56"/>
        <v>7</v>
      </c>
      <c r="AG48" s="163">
        <v>7</v>
      </c>
      <c r="AH48" s="203">
        <f t="shared" si="57"/>
        <v>0.11864406779661017</v>
      </c>
      <c r="AI48" s="203">
        <f t="shared" si="58"/>
        <v>1</v>
      </c>
      <c r="AK48" s="202"/>
      <c r="AL48" s="204"/>
      <c r="AM48" s="204"/>
      <c r="AP48" s="204"/>
      <c r="AQ48" s="204"/>
      <c r="AU48" s="204"/>
      <c r="AV48" s="204"/>
      <c r="AW48" s="204"/>
      <c r="AX48" s="204"/>
      <c r="AY48" s="204"/>
      <c r="AZ48" s="204"/>
      <c r="BA48" s="205"/>
      <c r="BC48" s="204"/>
    </row>
    <row r="49" spans="1:55" s="7" customFormat="1">
      <c r="A49" s="7" t="s">
        <v>667</v>
      </c>
      <c r="C49" s="133"/>
      <c r="J49" s="77" t="s">
        <v>673</v>
      </c>
      <c r="K49" s="201"/>
      <c r="L49" s="201"/>
      <c r="M49" s="202"/>
      <c r="N49" s="81">
        <f>O49-35</f>
        <v>83</v>
      </c>
      <c r="O49" s="81">
        <f>F43-51</f>
        <v>118</v>
      </c>
      <c r="P49" s="129">
        <f t="shared" si="47"/>
        <v>0.4911242603550296</v>
      </c>
      <c r="Q49" s="129">
        <f t="shared" si="48"/>
        <v>0.70338983050847459</v>
      </c>
      <c r="R49" s="127">
        <f t="shared" si="49"/>
        <v>0.57839721254355403</v>
      </c>
      <c r="S49" s="115"/>
      <c r="T49" s="81">
        <f>U49-6</f>
        <v>8</v>
      </c>
      <c r="U49" s="81">
        <f>$G$43-4</f>
        <v>14</v>
      </c>
      <c r="V49" s="146">
        <f t="shared" si="50"/>
        <v>0.44444444444444442</v>
      </c>
      <c r="W49" s="146">
        <f t="shared" si="51"/>
        <v>0.5714285714285714</v>
      </c>
      <c r="X49" s="203">
        <f t="shared" si="52"/>
        <v>0.5</v>
      </c>
      <c r="Y49" s="202"/>
      <c r="Z49" s="81">
        <f>AA49-22</f>
        <v>92</v>
      </c>
      <c r="AA49" s="7">
        <f>I43-51</f>
        <v>114</v>
      </c>
      <c r="AB49" s="146">
        <f t="shared" si="53"/>
        <v>0.55757575757575761</v>
      </c>
      <c r="AC49" s="146">
        <f t="shared" si="54"/>
        <v>0.80701754385964908</v>
      </c>
      <c r="AD49" s="203">
        <f t="shared" si="55"/>
        <v>0.65949820788530467</v>
      </c>
      <c r="AE49" s="115"/>
      <c r="AF49" s="81">
        <f t="shared" si="56"/>
        <v>15</v>
      </c>
      <c r="AG49" s="163">
        <v>15</v>
      </c>
      <c r="AH49" s="203">
        <f t="shared" si="57"/>
        <v>0.25423728813559321</v>
      </c>
      <c r="AI49" s="203">
        <f t="shared" si="58"/>
        <v>1</v>
      </c>
      <c r="AK49" s="202"/>
      <c r="AL49" s="204"/>
      <c r="AM49" s="204"/>
      <c r="AP49" s="204"/>
      <c r="AQ49" s="204"/>
      <c r="AU49" s="204"/>
      <c r="AV49" s="204"/>
      <c r="AW49" s="204"/>
      <c r="AX49" s="204"/>
      <c r="AY49" s="204"/>
      <c r="AZ49" s="204"/>
      <c r="BA49" s="205"/>
      <c r="BC49" s="204"/>
    </row>
    <row r="50" spans="1:55" s="41" customFormat="1">
      <c r="A50" s="7" t="s">
        <v>668</v>
      </c>
      <c r="C50" s="133"/>
      <c r="J50" s="77" t="s">
        <v>670</v>
      </c>
      <c r="K50" s="134"/>
      <c r="M50" s="202"/>
      <c r="N50" s="81">
        <f>O50-19</f>
        <v>85</v>
      </c>
      <c r="O50" s="81">
        <f>100+4</f>
        <v>104</v>
      </c>
      <c r="P50" s="129">
        <f t="shared" si="47"/>
        <v>0.50295857988165682</v>
      </c>
      <c r="Q50" s="129">
        <f t="shared" si="48"/>
        <v>0.81730769230769229</v>
      </c>
      <c r="R50" s="127">
        <f t="shared" si="49"/>
        <v>0.62271062271062283</v>
      </c>
      <c r="S50" s="115"/>
      <c r="T50" s="81">
        <f>U50-7</f>
        <v>5</v>
      </c>
      <c r="U50" s="81">
        <f>$G$43-6</f>
        <v>12</v>
      </c>
      <c r="V50" s="146">
        <f t="shared" si="50"/>
        <v>0.27777777777777779</v>
      </c>
      <c r="W50" s="146">
        <f t="shared" si="51"/>
        <v>0.41666666666666669</v>
      </c>
      <c r="X50" s="203">
        <f t="shared" si="52"/>
        <v>0.33333333333333337</v>
      </c>
      <c r="Y50" s="202"/>
      <c r="Z50" s="81">
        <f>AA50-31</f>
        <v>69</v>
      </c>
      <c r="AA50" s="41">
        <v>100</v>
      </c>
      <c r="AB50" s="146">
        <f t="shared" si="53"/>
        <v>0.41818181818181815</v>
      </c>
      <c r="AC50" s="146">
        <f t="shared" si="54"/>
        <v>0.69</v>
      </c>
      <c r="AD50" s="203">
        <f t="shared" si="55"/>
        <v>0.52075471698113196</v>
      </c>
      <c r="AE50" s="115"/>
      <c r="AF50" s="81">
        <f t="shared" si="56"/>
        <v>1</v>
      </c>
      <c r="AG50" s="163">
        <v>1</v>
      </c>
      <c r="AH50" s="203">
        <f t="shared" si="57"/>
        <v>1.6949152542372881E-2</v>
      </c>
      <c r="AI50" s="203">
        <f t="shared" si="58"/>
        <v>1</v>
      </c>
    </row>
    <row r="51" spans="1:55" s="41" customFormat="1">
      <c r="A51" s="7" t="s">
        <v>669</v>
      </c>
      <c r="C51" s="133"/>
      <c r="J51" s="77" t="s">
        <v>670</v>
      </c>
      <c r="K51" s="134"/>
      <c r="M51" s="202"/>
      <c r="N51" s="81">
        <f>O51-13</f>
        <v>54</v>
      </c>
      <c r="O51" s="41">
        <f>63+4</f>
        <v>67</v>
      </c>
      <c r="P51" s="129">
        <f t="shared" si="47"/>
        <v>0.31952662721893493</v>
      </c>
      <c r="Q51" s="129">
        <f t="shared" si="48"/>
        <v>0.80597014925373134</v>
      </c>
      <c r="R51" s="127">
        <f t="shared" si="49"/>
        <v>0.4576271186440678</v>
      </c>
      <c r="S51" s="115"/>
      <c r="T51" s="81">
        <f>U51-6</f>
        <v>4</v>
      </c>
      <c r="U51" s="81">
        <f>$G$43-8</f>
        <v>10</v>
      </c>
      <c r="V51" s="146">
        <f t="shared" si="50"/>
        <v>0.22222222222222221</v>
      </c>
      <c r="W51" s="146">
        <f t="shared" si="51"/>
        <v>0.4</v>
      </c>
      <c r="X51" s="203">
        <f t="shared" si="52"/>
        <v>0.2857142857142857</v>
      </c>
      <c r="Y51" s="202"/>
      <c r="Z51" s="81">
        <f>AA51-30</f>
        <v>33</v>
      </c>
      <c r="AA51" s="41">
        <v>63</v>
      </c>
      <c r="AB51" s="146">
        <f t="shared" si="53"/>
        <v>0.2</v>
      </c>
      <c r="AC51" s="146">
        <f t="shared" si="54"/>
        <v>0.52380952380952384</v>
      </c>
      <c r="AD51" s="203">
        <f t="shared" si="55"/>
        <v>0.28947368421052633</v>
      </c>
      <c r="AE51" s="115"/>
      <c r="AF51" s="81">
        <f t="shared" si="56"/>
        <v>1</v>
      </c>
      <c r="AG51" s="163">
        <v>1</v>
      </c>
      <c r="AH51" s="203">
        <f t="shared" si="57"/>
        <v>1.6949152542372881E-2</v>
      </c>
      <c r="AI51" s="203">
        <f t="shared" si="58"/>
        <v>1</v>
      </c>
    </row>
    <row r="52" spans="1:55" s="41" customFormat="1">
      <c r="C52" s="133"/>
      <c r="K52" s="134"/>
      <c r="P52" s="27"/>
      <c r="Q52" s="27"/>
      <c r="R52" s="33"/>
      <c r="V52" s="27"/>
      <c r="W52" s="27"/>
      <c r="X52" s="33"/>
      <c r="AB52" s="27"/>
      <c r="AC52" s="27"/>
      <c r="AD52" s="33"/>
      <c r="AH52" s="33"/>
    </row>
    <row r="53" spans="1:55" s="41" customFormat="1">
      <c r="C53" s="133"/>
      <c r="K53" s="134"/>
      <c r="P53" s="27"/>
      <c r="Q53" s="27"/>
      <c r="R53" s="33"/>
      <c r="V53" s="27"/>
      <c r="W53" s="27"/>
      <c r="X53" s="33"/>
      <c r="AB53" s="27"/>
      <c r="AC53" s="27"/>
      <c r="AD53" s="33"/>
      <c r="AH53" s="33"/>
    </row>
    <row r="54" spans="1:55" s="41" customFormat="1">
      <c r="C54" s="133"/>
      <c r="K54" s="134"/>
      <c r="P54" s="27"/>
      <c r="Q54" s="27"/>
      <c r="R54" s="33"/>
      <c r="V54" s="27"/>
      <c r="W54" s="27"/>
      <c r="X54" s="33"/>
      <c r="AB54" s="27"/>
      <c r="AC54" s="27"/>
      <c r="AD54" s="33"/>
      <c r="AH54" s="33"/>
    </row>
    <row r="55" spans="1:55" s="41" customFormat="1">
      <c r="C55" s="133"/>
      <c r="K55" s="134"/>
      <c r="P55" s="27"/>
      <c r="Q55" s="27"/>
      <c r="R55" s="33"/>
      <c r="V55" s="27"/>
      <c r="W55" s="27"/>
      <c r="X55" s="33"/>
      <c r="AB55" s="27"/>
      <c r="AC55" s="27"/>
      <c r="AD55" s="33"/>
      <c r="AH55" s="33"/>
    </row>
    <row r="56" spans="1:55" s="41" customFormat="1">
      <c r="C56" s="133"/>
      <c r="K56" s="134"/>
      <c r="P56" s="27"/>
      <c r="Q56" s="27"/>
      <c r="R56" s="33"/>
      <c r="V56" s="27"/>
      <c r="W56" s="27"/>
      <c r="X56" s="33"/>
      <c r="AB56" s="27"/>
      <c r="AC56" s="27"/>
      <c r="AD56" s="33"/>
      <c r="AH56" s="33"/>
    </row>
    <row r="57" spans="1:55" s="41" customFormat="1">
      <c r="C57" s="133"/>
      <c r="K57" s="134"/>
      <c r="P57" s="27"/>
      <c r="Q57" s="27"/>
      <c r="R57" s="33"/>
      <c r="V57" s="27"/>
      <c r="W57" s="27"/>
      <c r="X57" s="33"/>
      <c r="AB57" s="27"/>
      <c r="AC57" s="27"/>
      <c r="AD57" s="33"/>
      <c r="AH57" s="33"/>
    </row>
    <row r="58" spans="1:55" s="41" customFormat="1">
      <c r="C58" s="133"/>
      <c r="K58" s="134"/>
      <c r="P58" s="27"/>
      <c r="Q58" s="27"/>
      <c r="R58" s="33"/>
      <c r="V58" s="27"/>
      <c r="W58" s="27"/>
      <c r="X58" s="33"/>
      <c r="AB58" s="27"/>
      <c r="AC58" s="27"/>
      <c r="AD58" s="33"/>
      <c r="AH58" s="33"/>
    </row>
    <row r="59" spans="1:55" s="41" customFormat="1">
      <c r="C59" s="133"/>
      <c r="K59" s="134"/>
      <c r="P59" s="27"/>
      <c r="Q59" s="27"/>
      <c r="R59" s="33"/>
      <c r="V59" s="27"/>
      <c r="W59" s="27"/>
      <c r="X59" s="33"/>
      <c r="AB59" s="27"/>
      <c r="AC59" s="27"/>
      <c r="AD59" s="33"/>
      <c r="AH59" s="33"/>
    </row>
    <row r="60" spans="1:55" s="41" customFormat="1">
      <c r="C60" s="133"/>
      <c r="K60" s="134"/>
      <c r="P60" s="27"/>
      <c r="Q60" s="27"/>
      <c r="R60" s="33"/>
      <c r="V60" s="27"/>
      <c r="W60" s="27"/>
      <c r="X60" s="33"/>
      <c r="AB60" s="27"/>
      <c r="AC60" s="27"/>
      <c r="AD60" s="33"/>
      <c r="AH60" s="33"/>
    </row>
    <row r="61" spans="1:55" s="41" customFormat="1">
      <c r="C61" s="133"/>
      <c r="K61" s="134"/>
      <c r="P61" s="27"/>
      <c r="Q61" s="27"/>
      <c r="R61" s="33"/>
      <c r="V61" s="27"/>
      <c r="W61" s="27"/>
      <c r="X61" s="33"/>
      <c r="AB61" s="27"/>
      <c r="AC61" s="27"/>
      <c r="AD61" s="33"/>
      <c r="AH61" s="33"/>
    </row>
    <row r="62" spans="1:55" s="41" customFormat="1">
      <c r="C62" s="133"/>
      <c r="K62" s="134"/>
      <c r="P62" s="27"/>
      <c r="Q62" s="27"/>
      <c r="R62" s="33"/>
      <c r="V62" s="27"/>
      <c r="W62" s="27"/>
      <c r="X62" s="33"/>
      <c r="AB62" s="27"/>
      <c r="AC62" s="27"/>
      <c r="AD62" s="33"/>
      <c r="AH62" s="33"/>
    </row>
    <row r="63" spans="1:55" s="41" customFormat="1">
      <c r="C63" s="133"/>
      <c r="K63" s="134"/>
      <c r="P63" s="27"/>
      <c r="Q63" s="27"/>
      <c r="R63" s="33"/>
      <c r="V63" s="27"/>
      <c r="W63" s="27"/>
      <c r="X63" s="33"/>
      <c r="AB63" s="27"/>
      <c r="AC63" s="27"/>
      <c r="AD63" s="33"/>
      <c r="AH63" s="33"/>
    </row>
    <row r="64" spans="1:55" s="41" customFormat="1">
      <c r="C64" s="133"/>
      <c r="K64" s="134"/>
      <c r="P64" s="27"/>
      <c r="Q64" s="27"/>
      <c r="R64" s="33"/>
      <c r="V64" s="27"/>
      <c r="W64" s="27"/>
      <c r="X64" s="33"/>
      <c r="AB64" s="27"/>
      <c r="AC64" s="27"/>
      <c r="AD64" s="33"/>
      <c r="AH64" s="33"/>
    </row>
    <row r="65" spans="3:34" s="41" customFormat="1">
      <c r="C65" s="133"/>
      <c r="K65" s="134"/>
      <c r="P65" s="27"/>
      <c r="Q65" s="27"/>
      <c r="R65" s="33"/>
      <c r="V65" s="27"/>
      <c r="W65" s="27"/>
      <c r="X65" s="33"/>
      <c r="AB65" s="27"/>
      <c r="AC65" s="27"/>
      <c r="AD65" s="33"/>
      <c r="AH65" s="33"/>
    </row>
    <row r="66" spans="3:34" s="41" customFormat="1">
      <c r="C66" s="133"/>
      <c r="K66" s="134"/>
      <c r="P66" s="27"/>
      <c r="Q66" s="27"/>
      <c r="R66" s="33"/>
      <c r="V66" s="27"/>
      <c r="W66" s="27"/>
      <c r="X66" s="33"/>
      <c r="AB66" s="27"/>
      <c r="AC66" s="27"/>
      <c r="AD66" s="33"/>
      <c r="AH66" s="33"/>
    </row>
    <row r="67" spans="3:34" s="41" customFormat="1">
      <c r="C67" s="133"/>
      <c r="K67" s="134"/>
      <c r="P67" s="27"/>
      <c r="Q67" s="27"/>
      <c r="R67" s="33"/>
      <c r="V67" s="27"/>
      <c r="W67" s="27"/>
      <c r="X67" s="33"/>
      <c r="AB67" s="27"/>
      <c r="AC67" s="27"/>
      <c r="AD67" s="33"/>
      <c r="AH67" s="33"/>
    </row>
    <row r="68" spans="3:34" s="41" customFormat="1">
      <c r="C68" s="133"/>
      <c r="K68" s="134"/>
      <c r="P68" s="27"/>
      <c r="Q68" s="27"/>
      <c r="R68" s="33"/>
      <c r="V68" s="27"/>
      <c r="W68" s="27"/>
      <c r="X68" s="33"/>
      <c r="AB68" s="27"/>
      <c r="AC68" s="27"/>
      <c r="AD68" s="33"/>
      <c r="AH68" s="33"/>
    </row>
    <row r="69" spans="3:34" s="41" customFormat="1">
      <c r="C69" s="133"/>
      <c r="K69" s="134"/>
      <c r="P69" s="27"/>
      <c r="Q69" s="27"/>
      <c r="R69" s="33"/>
      <c r="V69" s="27"/>
      <c r="W69" s="27"/>
      <c r="X69" s="33"/>
      <c r="AB69" s="27"/>
      <c r="AC69" s="27"/>
      <c r="AD69" s="33"/>
      <c r="AH69" s="33"/>
    </row>
    <row r="70" spans="3:34" s="41" customFormat="1">
      <c r="C70" s="133"/>
      <c r="K70" s="134"/>
      <c r="P70" s="27"/>
      <c r="Q70" s="27"/>
      <c r="R70" s="33"/>
      <c r="V70" s="27"/>
      <c r="W70" s="27"/>
      <c r="X70" s="33"/>
      <c r="AB70" s="27"/>
      <c r="AC70" s="27"/>
      <c r="AD70" s="33"/>
      <c r="AH70" s="33"/>
    </row>
    <row r="71" spans="3:34" s="41" customFormat="1">
      <c r="C71" s="133"/>
      <c r="K71" s="134"/>
      <c r="P71" s="27"/>
      <c r="Q71" s="27"/>
      <c r="R71" s="33"/>
      <c r="V71" s="27"/>
      <c r="W71" s="27"/>
      <c r="X71" s="33"/>
      <c r="AB71" s="27"/>
      <c r="AC71" s="27"/>
      <c r="AD71" s="33"/>
      <c r="AH71" s="33"/>
    </row>
    <row r="72" spans="3:34" s="41" customFormat="1">
      <c r="C72" s="133"/>
      <c r="K72" s="134"/>
      <c r="P72" s="27"/>
      <c r="Q72" s="27"/>
      <c r="R72" s="33"/>
      <c r="V72" s="27"/>
      <c r="W72" s="27"/>
      <c r="X72" s="33"/>
      <c r="AB72" s="27"/>
      <c r="AC72" s="27"/>
      <c r="AD72" s="33"/>
      <c r="AH72" s="33"/>
    </row>
    <row r="73" spans="3:34" s="41" customFormat="1">
      <c r="C73" s="133"/>
      <c r="K73" s="134"/>
      <c r="P73" s="27"/>
      <c r="Q73" s="27"/>
      <c r="R73" s="33"/>
      <c r="V73" s="27"/>
      <c r="W73" s="27"/>
      <c r="X73" s="33"/>
      <c r="AB73" s="27"/>
      <c r="AC73" s="27"/>
      <c r="AD73" s="33"/>
      <c r="AH73" s="33"/>
    </row>
    <row r="74" spans="3:34" s="41" customFormat="1">
      <c r="C74" s="133"/>
      <c r="K74" s="134"/>
      <c r="P74" s="27"/>
      <c r="Q74" s="27"/>
      <c r="R74" s="33"/>
      <c r="V74" s="27"/>
      <c r="W74" s="27"/>
      <c r="X74" s="33"/>
      <c r="AB74" s="27"/>
      <c r="AC74" s="27"/>
      <c r="AD74" s="33"/>
      <c r="AH74" s="33"/>
    </row>
    <row r="75" spans="3:34" s="41" customFormat="1">
      <c r="C75" s="133"/>
      <c r="K75" s="134"/>
      <c r="P75" s="27"/>
      <c r="Q75" s="27"/>
      <c r="R75" s="33"/>
      <c r="V75" s="27"/>
      <c r="W75" s="27"/>
      <c r="X75" s="33"/>
      <c r="AB75" s="27"/>
      <c r="AC75" s="27"/>
      <c r="AD75" s="33"/>
      <c r="AH75" s="33"/>
    </row>
    <row r="76" spans="3:34" s="41" customFormat="1">
      <c r="C76" s="133"/>
      <c r="K76" s="134"/>
      <c r="P76" s="27"/>
      <c r="Q76" s="27"/>
      <c r="R76" s="33"/>
      <c r="V76" s="27"/>
      <c r="W76" s="27"/>
      <c r="X76" s="33"/>
      <c r="AB76" s="27"/>
      <c r="AC76" s="27"/>
      <c r="AD76" s="33"/>
      <c r="AH76" s="33"/>
    </row>
    <row r="77" spans="3:34" s="41" customFormat="1">
      <c r="C77" s="133"/>
      <c r="K77" s="134"/>
      <c r="P77" s="27"/>
      <c r="Q77" s="27"/>
      <c r="R77" s="33"/>
      <c r="V77" s="27"/>
      <c r="W77" s="27"/>
      <c r="X77" s="33"/>
      <c r="AB77" s="27"/>
      <c r="AC77" s="27"/>
      <c r="AD77" s="33"/>
      <c r="AH77" s="33"/>
    </row>
    <row r="78" spans="3:34" s="41" customFormat="1">
      <c r="C78" s="133"/>
      <c r="K78" s="134"/>
      <c r="P78" s="27"/>
      <c r="Q78" s="27"/>
      <c r="R78" s="33"/>
      <c r="V78" s="27"/>
      <c r="W78" s="27"/>
      <c r="X78" s="33"/>
      <c r="AB78" s="27"/>
      <c r="AC78" s="27"/>
      <c r="AD78" s="33"/>
      <c r="AH78" s="33"/>
    </row>
    <row r="79" spans="3:34" s="41" customFormat="1">
      <c r="C79" s="133"/>
      <c r="K79" s="134"/>
      <c r="P79" s="27"/>
      <c r="Q79" s="27"/>
      <c r="R79" s="33"/>
      <c r="V79" s="27"/>
      <c r="W79" s="27"/>
      <c r="X79" s="33"/>
      <c r="AB79" s="27"/>
      <c r="AC79" s="27"/>
      <c r="AD79" s="33"/>
      <c r="AH79" s="33"/>
    </row>
    <row r="80" spans="3:34" s="41" customFormat="1">
      <c r="C80" s="133"/>
      <c r="K80" s="134"/>
      <c r="P80" s="27"/>
      <c r="Q80" s="27"/>
      <c r="R80" s="33"/>
      <c r="V80" s="27"/>
      <c r="W80" s="27"/>
      <c r="X80" s="33"/>
      <c r="AB80" s="27"/>
      <c r="AC80" s="27"/>
      <c r="AD80" s="33"/>
      <c r="AH80" s="33"/>
    </row>
    <row r="81" spans="3:34" s="41" customFormat="1">
      <c r="C81" s="133"/>
      <c r="K81" s="134"/>
      <c r="P81" s="27"/>
      <c r="Q81" s="27"/>
      <c r="R81" s="33"/>
      <c r="V81" s="27"/>
      <c r="W81" s="27"/>
      <c r="X81" s="33"/>
      <c r="AB81" s="27"/>
      <c r="AC81" s="27"/>
      <c r="AD81" s="33"/>
      <c r="AH81" s="33"/>
    </row>
    <row r="82" spans="3:34" s="41" customFormat="1">
      <c r="C82" s="133"/>
      <c r="K82" s="134"/>
      <c r="P82" s="27"/>
      <c r="Q82" s="27"/>
      <c r="R82" s="33"/>
      <c r="V82" s="27"/>
      <c r="W82" s="27"/>
      <c r="X82" s="33"/>
      <c r="AB82" s="27"/>
      <c r="AC82" s="27"/>
      <c r="AD82" s="33"/>
      <c r="AH82" s="33"/>
    </row>
    <row r="83" spans="3:34" s="41" customFormat="1">
      <c r="C83" s="133"/>
      <c r="K83" s="134"/>
      <c r="P83" s="27"/>
      <c r="Q83" s="27"/>
      <c r="R83" s="33"/>
      <c r="V83" s="27"/>
      <c r="W83" s="27"/>
      <c r="X83" s="33"/>
      <c r="AB83" s="27"/>
      <c r="AC83" s="27"/>
      <c r="AD83" s="33"/>
      <c r="AH83" s="33"/>
    </row>
    <row r="84" spans="3:34" s="41" customFormat="1">
      <c r="C84" s="133"/>
      <c r="K84" s="134"/>
      <c r="P84" s="27"/>
      <c r="Q84" s="27"/>
      <c r="R84" s="33"/>
      <c r="V84" s="27"/>
      <c r="W84" s="27"/>
      <c r="X84" s="33"/>
      <c r="AB84" s="27"/>
      <c r="AC84" s="27"/>
      <c r="AD84" s="33"/>
      <c r="AH84" s="33"/>
    </row>
    <row r="85" spans="3:34" s="41" customFormat="1">
      <c r="C85" s="133"/>
      <c r="K85" s="134"/>
      <c r="P85" s="27"/>
      <c r="Q85" s="27"/>
      <c r="R85" s="33"/>
      <c r="V85" s="27"/>
      <c r="W85" s="27"/>
      <c r="X85" s="33"/>
      <c r="AB85" s="27"/>
      <c r="AC85" s="27"/>
      <c r="AD85" s="33"/>
      <c r="AH85" s="33"/>
    </row>
    <row r="86" spans="3:34" s="41" customFormat="1">
      <c r="C86" s="133"/>
      <c r="K86" s="134"/>
      <c r="P86" s="27"/>
      <c r="Q86" s="27"/>
      <c r="R86" s="33"/>
      <c r="V86" s="27"/>
      <c r="W86" s="27"/>
      <c r="X86" s="33"/>
      <c r="AB86" s="27"/>
      <c r="AC86" s="27"/>
      <c r="AD86" s="33"/>
      <c r="AH86" s="33"/>
    </row>
    <row r="87" spans="3:34" s="41" customFormat="1">
      <c r="C87" s="133"/>
      <c r="K87" s="134"/>
      <c r="P87" s="27"/>
      <c r="Q87" s="27"/>
      <c r="R87" s="33"/>
      <c r="V87" s="27"/>
      <c r="W87" s="27"/>
      <c r="X87" s="33"/>
      <c r="AB87" s="27"/>
      <c r="AC87" s="27"/>
      <c r="AD87" s="33"/>
      <c r="AH87" s="33"/>
    </row>
    <row r="88" spans="3:34" s="41" customFormat="1">
      <c r="C88" s="133"/>
      <c r="K88" s="134"/>
      <c r="P88" s="27"/>
      <c r="Q88" s="27"/>
      <c r="R88" s="33"/>
      <c r="V88" s="27"/>
      <c r="W88" s="27"/>
      <c r="X88" s="33"/>
      <c r="AB88" s="27"/>
      <c r="AC88" s="27"/>
      <c r="AD88" s="33"/>
      <c r="AH88" s="33"/>
    </row>
    <row r="89" spans="3:34" s="41" customFormat="1">
      <c r="C89" s="133"/>
      <c r="K89" s="134"/>
      <c r="P89" s="27"/>
      <c r="Q89" s="27"/>
      <c r="R89" s="33"/>
      <c r="V89" s="27"/>
      <c r="W89" s="27"/>
      <c r="X89" s="33"/>
      <c r="AB89" s="27"/>
      <c r="AC89" s="27"/>
      <c r="AD89" s="33"/>
      <c r="AH89" s="33"/>
    </row>
    <row r="90" spans="3:34" s="41" customFormat="1">
      <c r="C90" s="133"/>
      <c r="K90" s="134"/>
      <c r="P90" s="27"/>
      <c r="Q90" s="27"/>
      <c r="R90" s="33"/>
      <c r="V90" s="27"/>
      <c r="W90" s="27"/>
      <c r="X90" s="33"/>
      <c r="AB90" s="27"/>
      <c r="AC90" s="27"/>
      <c r="AD90" s="33"/>
      <c r="AH90" s="33"/>
    </row>
    <row r="91" spans="3:34" s="41" customFormat="1">
      <c r="C91" s="133"/>
      <c r="K91" s="134"/>
      <c r="P91" s="27"/>
      <c r="Q91" s="27"/>
      <c r="R91" s="33"/>
      <c r="V91" s="27"/>
      <c r="W91" s="27"/>
      <c r="X91" s="33"/>
      <c r="AB91" s="27"/>
      <c r="AC91" s="27"/>
      <c r="AD91" s="33"/>
      <c r="AH91" s="33"/>
    </row>
    <row r="92" spans="3:34" s="41" customFormat="1">
      <c r="C92" s="133"/>
      <c r="K92" s="134"/>
      <c r="P92" s="27"/>
      <c r="Q92" s="27"/>
      <c r="R92" s="33"/>
      <c r="V92" s="27"/>
      <c r="W92" s="27"/>
      <c r="X92" s="33"/>
      <c r="AB92" s="27"/>
      <c r="AC92" s="27"/>
      <c r="AD92" s="33"/>
      <c r="AH92" s="33"/>
    </row>
    <row r="93" spans="3:34" s="41" customFormat="1">
      <c r="C93" s="133"/>
      <c r="K93" s="134"/>
      <c r="P93" s="27"/>
      <c r="Q93" s="27"/>
      <c r="R93" s="33"/>
      <c r="V93" s="27"/>
      <c r="W93" s="27"/>
      <c r="X93" s="33"/>
      <c r="AB93" s="27"/>
      <c r="AC93" s="27"/>
      <c r="AD93" s="33"/>
      <c r="AH93" s="33"/>
    </row>
    <row r="94" spans="3:34" s="41" customFormat="1">
      <c r="C94" s="133"/>
      <c r="K94" s="134"/>
      <c r="P94" s="27"/>
      <c r="Q94" s="27"/>
      <c r="R94" s="33"/>
      <c r="V94" s="27"/>
      <c r="W94" s="27"/>
      <c r="X94" s="33"/>
      <c r="AB94" s="27"/>
      <c r="AC94" s="27"/>
      <c r="AD94" s="33"/>
      <c r="AH94" s="33"/>
    </row>
    <row r="95" spans="3:34" s="41" customFormat="1">
      <c r="C95" s="133"/>
      <c r="K95" s="134"/>
      <c r="P95" s="27"/>
      <c r="Q95" s="27"/>
      <c r="R95" s="33"/>
      <c r="V95" s="27"/>
      <c r="W95" s="27"/>
      <c r="X95" s="33"/>
      <c r="AB95" s="27"/>
      <c r="AC95" s="27"/>
      <c r="AD95" s="33"/>
      <c r="AH95" s="33"/>
    </row>
    <row r="96" spans="3:34" s="41" customFormat="1">
      <c r="C96" s="133"/>
      <c r="K96" s="134"/>
      <c r="P96" s="27"/>
      <c r="Q96" s="27"/>
      <c r="R96" s="33"/>
      <c r="V96" s="27"/>
      <c r="W96" s="27"/>
      <c r="X96" s="33"/>
      <c r="AB96" s="27"/>
      <c r="AC96" s="27"/>
      <c r="AD96" s="33"/>
      <c r="AH96" s="33"/>
    </row>
    <row r="97" spans="3:34" s="41" customFormat="1">
      <c r="C97" s="133"/>
      <c r="K97" s="134"/>
      <c r="P97" s="27"/>
      <c r="Q97" s="27"/>
      <c r="R97" s="33"/>
      <c r="V97" s="27"/>
      <c r="W97" s="27"/>
      <c r="X97" s="33"/>
      <c r="AB97" s="27"/>
      <c r="AC97" s="27"/>
      <c r="AD97" s="33"/>
      <c r="AH97" s="33"/>
    </row>
    <row r="98" spans="3:34" s="41" customFormat="1">
      <c r="C98" s="133"/>
      <c r="K98" s="134"/>
      <c r="P98" s="27"/>
      <c r="Q98" s="27"/>
      <c r="R98" s="33"/>
      <c r="V98" s="27"/>
      <c r="W98" s="27"/>
      <c r="X98" s="33"/>
      <c r="AB98" s="27"/>
      <c r="AC98" s="27"/>
      <c r="AD98" s="33"/>
      <c r="AH98" s="33"/>
    </row>
    <row r="99" spans="3:34" s="41" customFormat="1">
      <c r="C99" s="133"/>
      <c r="K99" s="134"/>
      <c r="P99" s="27"/>
      <c r="Q99" s="27"/>
      <c r="R99" s="33"/>
      <c r="V99" s="27"/>
      <c r="W99" s="27"/>
      <c r="X99" s="33"/>
      <c r="AB99" s="27"/>
      <c r="AC99" s="27"/>
      <c r="AD99" s="33"/>
      <c r="AH99" s="33"/>
    </row>
    <row r="100" spans="3:34" s="41" customFormat="1">
      <c r="C100" s="133"/>
      <c r="K100" s="134"/>
      <c r="P100" s="27"/>
      <c r="Q100" s="27"/>
      <c r="R100" s="33"/>
      <c r="V100" s="27"/>
      <c r="W100" s="27"/>
      <c r="X100" s="33"/>
      <c r="AB100" s="27"/>
      <c r="AC100" s="27"/>
      <c r="AD100" s="33"/>
      <c r="AH100" s="33"/>
    </row>
    <row r="101" spans="3:34" s="41" customFormat="1">
      <c r="C101" s="133"/>
      <c r="K101" s="134"/>
      <c r="P101" s="27"/>
      <c r="Q101" s="27"/>
      <c r="R101" s="33"/>
      <c r="V101" s="27"/>
      <c r="W101" s="27"/>
      <c r="X101" s="33"/>
      <c r="AB101" s="27"/>
      <c r="AC101" s="27"/>
      <c r="AD101" s="33"/>
      <c r="AH101" s="33"/>
    </row>
    <row r="102" spans="3:34" s="41" customFormat="1">
      <c r="C102" s="133"/>
      <c r="K102" s="134"/>
      <c r="P102" s="27"/>
      <c r="Q102" s="27"/>
      <c r="R102" s="33"/>
      <c r="V102" s="27"/>
      <c r="W102" s="27"/>
      <c r="X102" s="33"/>
      <c r="AB102" s="27"/>
      <c r="AC102" s="27"/>
      <c r="AD102" s="33"/>
      <c r="AH102" s="33"/>
    </row>
    <row r="103" spans="3:34" s="41" customFormat="1">
      <c r="C103" s="133"/>
      <c r="K103" s="134"/>
      <c r="P103" s="27"/>
      <c r="Q103" s="27"/>
      <c r="R103" s="33"/>
      <c r="V103" s="27"/>
      <c r="W103" s="27"/>
      <c r="X103" s="33"/>
      <c r="AB103" s="27"/>
      <c r="AC103" s="27"/>
      <c r="AD103" s="33"/>
      <c r="AH103" s="33"/>
    </row>
    <row r="104" spans="3:34" s="41" customFormat="1">
      <c r="C104" s="133"/>
      <c r="K104" s="134"/>
      <c r="P104" s="27"/>
      <c r="Q104" s="27"/>
      <c r="R104" s="33"/>
      <c r="V104" s="27"/>
      <c r="W104" s="27"/>
      <c r="X104" s="33"/>
      <c r="AB104" s="27"/>
      <c r="AC104" s="27"/>
      <c r="AD104" s="33"/>
      <c r="AH104" s="33"/>
    </row>
    <row r="105" spans="3:34" s="41" customFormat="1">
      <c r="C105" s="133"/>
      <c r="K105" s="134"/>
      <c r="P105" s="27"/>
      <c r="Q105" s="27"/>
      <c r="R105" s="33"/>
      <c r="V105" s="27"/>
      <c r="W105" s="27"/>
      <c r="X105" s="33"/>
      <c r="AB105" s="27"/>
      <c r="AC105" s="27"/>
      <c r="AD105" s="33"/>
      <c r="AH105" s="33"/>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CC2C-1BD0-1F47-94B9-B1F8D182663E}">
  <dimension ref="A1:BW278"/>
  <sheetViews>
    <sheetView zoomScale="75" zoomScaleNormal="90" workbookViewId="0">
      <pane ySplit="1" topLeftCell="A2" activePane="bottomLeft" state="frozen"/>
      <selection pane="bottomLeft" activeCell="M213" sqref="M213"/>
    </sheetView>
  </sheetViews>
  <sheetFormatPr baseColWidth="10" defaultRowHeight="15"/>
  <cols>
    <col min="3" max="3" width="8.33203125" style="76" customWidth="1"/>
    <col min="4" max="4" width="10.5" customWidth="1"/>
    <col min="5" max="5" width="10.33203125" customWidth="1"/>
    <col min="6" max="9" width="9.6640625" customWidth="1"/>
    <col min="10" max="10" width="11.6640625" bestFit="1" customWidth="1"/>
    <col min="11" max="11" width="11.6640625" customWidth="1"/>
    <col min="12" max="12" width="13" style="2" customWidth="1"/>
    <col min="13" max="13" width="14.1640625" customWidth="1"/>
    <col min="14" max="14" width="9.6640625" style="115" customWidth="1"/>
    <col min="15" max="16" width="9.6640625" style="81" customWidth="1"/>
    <col min="17" max="18" width="9.6640625" style="125" customWidth="1"/>
    <col min="19" max="19" width="9.6640625" style="82" customWidth="1"/>
    <col min="20" max="20" width="9.6640625" style="115" customWidth="1"/>
    <col min="21" max="22" width="9.6640625" style="81" customWidth="1"/>
    <col min="23" max="24" width="9.6640625" style="125" customWidth="1"/>
    <col min="25" max="25" width="9.6640625" style="82" customWidth="1"/>
    <col min="26" max="26" width="9.6640625" style="115" customWidth="1"/>
    <col min="27" max="28" width="9.6640625" style="81" customWidth="1"/>
    <col min="29" max="30" width="9.6640625" style="125" customWidth="1"/>
    <col min="31" max="31" width="9.6640625" style="82" customWidth="1"/>
    <col min="32" max="32" width="9.6640625" style="115" customWidth="1"/>
    <col min="33" max="34" width="9.6640625" style="81" customWidth="1"/>
    <col min="35" max="35" width="9.6640625" style="82" customWidth="1"/>
    <col min="36" max="36" width="9.6640625" style="81" customWidth="1"/>
    <col min="37" max="37" width="9.6640625" style="81" hidden="1" customWidth="1"/>
    <col min="38" max="38" width="9.6640625" style="115" hidden="1" customWidth="1"/>
    <col min="39" max="39" width="9.6640625" style="122" hidden="1" customWidth="1"/>
    <col min="40" max="40" width="9" style="101" hidden="1" customWidth="1"/>
    <col min="41" max="41" width="7.1640625" hidden="1" customWidth="1"/>
    <col min="42" max="42" width="10.6640625" hidden="1" customWidth="1"/>
    <col min="43" max="44" width="0" style="101" hidden="1" customWidth="1"/>
    <col min="45" max="47" width="0" hidden="1" customWidth="1"/>
    <col min="48" max="48" width="8" style="119" hidden="1" customWidth="1"/>
    <col min="49" max="50" width="0" style="101" hidden="1" customWidth="1"/>
    <col min="51" max="51" width="15.1640625" style="101" hidden="1" customWidth="1"/>
    <col min="52" max="53" width="0" style="101" hidden="1" customWidth="1"/>
    <col min="54" max="54" width="15.1640625" style="85" hidden="1" customWidth="1"/>
    <col min="55" max="55" width="12.6640625" hidden="1" customWidth="1"/>
    <col min="56" max="56" width="0" style="101" hidden="1" customWidth="1"/>
    <col min="57" max="59" width="0" hidden="1" customWidth="1"/>
    <col min="60" max="60" width="26" hidden="1" customWidth="1"/>
    <col min="61" max="61" width="0" hidden="1" customWidth="1"/>
    <col min="63" max="67" width="10.83203125" hidden="1" customWidth="1"/>
    <col min="68" max="68" width="10.83203125" customWidth="1"/>
  </cols>
  <sheetData>
    <row r="1" spans="1:75" s="86" customFormat="1" ht="88" customHeight="1">
      <c r="B1" s="86" t="s">
        <v>311</v>
      </c>
      <c r="C1" s="86" t="s">
        <v>303</v>
      </c>
      <c r="D1" s="86" t="s">
        <v>304</v>
      </c>
      <c r="E1" s="86" t="s">
        <v>362</v>
      </c>
      <c r="F1" s="86" t="s">
        <v>355</v>
      </c>
      <c r="G1" s="86" t="s">
        <v>356</v>
      </c>
      <c r="H1" s="86" t="s">
        <v>372</v>
      </c>
      <c r="I1" s="86" t="s">
        <v>532</v>
      </c>
      <c r="J1" s="86" t="s">
        <v>361</v>
      </c>
      <c r="K1" s="86" t="s">
        <v>593</v>
      </c>
      <c r="L1" s="86" t="s">
        <v>310</v>
      </c>
      <c r="M1" s="87" t="s">
        <v>363</v>
      </c>
      <c r="N1" s="113" t="s">
        <v>527</v>
      </c>
      <c r="O1" s="116" t="s">
        <v>522</v>
      </c>
      <c r="P1" s="116" t="s">
        <v>523</v>
      </c>
      <c r="Q1" s="116" t="s">
        <v>519</v>
      </c>
      <c r="R1" s="116" t="s">
        <v>520</v>
      </c>
      <c r="S1" s="88" t="s">
        <v>521</v>
      </c>
      <c r="T1" s="113" t="s">
        <v>526</v>
      </c>
      <c r="U1" s="116" t="s">
        <v>524</v>
      </c>
      <c r="V1" s="116" t="s">
        <v>525</v>
      </c>
      <c r="W1" s="116" t="s">
        <v>519</v>
      </c>
      <c r="X1" s="116" t="s">
        <v>520</v>
      </c>
      <c r="Y1" s="88" t="s">
        <v>521</v>
      </c>
      <c r="Z1" s="113" t="s">
        <v>528</v>
      </c>
      <c r="AA1" s="116" t="s">
        <v>533</v>
      </c>
      <c r="AB1" s="116" t="s">
        <v>534</v>
      </c>
      <c r="AC1" s="116" t="s">
        <v>519</v>
      </c>
      <c r="AD1" s="116" t="s">
        <v>520</v>
      </c>
      <c r="AE1" s="88" t="s">
        <v>521</v>
      </c>
      <c r="AF1" s="113" t="s">
        <v>529</v>
      </c>
      <c r="AG1" s="116" t="s">
        <v>531</v>
      </c>
      <c r="AH1" s="116" t="s">
        <v>530</v>
      </c>
      <c r="AI1" s="88" t="s">
        <v>535</v>
      </c>
      <c r="AJ1" s="88" t="s">
        <v>520</v>
      </c>
      <c r="AK1" s="88" t="s">
        <v>521</v>
      </c>
      <c r="AL1" s="113" t="s">
        <v>536</v>
      </c>
      <c r="AM1" s="117" t="s">
        <v>354</v>
      </c>
      <c r="AN1" s="117" t="s">
        <v>357</v>
      </c>
      <c r="AO1" s="88" t="s">
        <v>370</v>
      </c>
      <c r="AP1" s="88" t="s">
        <v>368</v>
      </c>
      <c r="AQ1" s="117" t="s">
        <v>384</v>
      </c>
      <c r="AR1" s="117" t="s">
        <v>385</v>
      </c>
      <c r="AS1" s="88" t="s">
        <v>367</v>
      </c>
      <c r="AT1" s="88" t="s">
        <v>413</v>
      </c>
      <c r="AU1" s="88" t="s">
        <v>369</v>
      </c>
      <c r="AV1" s="117" t="s">
        <v>373</v>
      </c>
      <c r="AW1" s="123" t="s">
        <v>518</v>
      </c>
      <c r="AX1" s="123"/>
      <c r="AY1" s="117" t="s">
        <v>517</v>
      </c>
      <c r="AZ1" s="117" t="s">
        <v>386</v>
      </c>
      <c r="BA1" s="117" t="s">
        <v>414</v>
      </c>
      <c r="BB1" s="112" t="s">
        <v>415</v>
      </c>
      <c r="BC1" s="89" t="s">
        <v>364</v>
      </c>
      <c r="BD1" s="117" t="s">
        <v>365</v>
      </c>
      <c r="BE1" s="90" t="s">
        <v>371</v>
      </c>
      <c r="BF1" s="117" t="s">
        <v>416</v>
      </c>
      <c r="BG1" s="117" t="s">
        <v>408</v>
      </c>
      <c r="BH1" s="86" t="s">
        <v>366</v>
      </c>
      <c r="BI1" s="86" t="s">
        <v>358</v>
      </c>
    </row>
    <row r="2" spans="1:75" s="75" customFormat="1">
      <c r="A2" s="73" t="s">
        <v>343</v>
      </c>
      <c r="B2" s="94">
        <v>45178</v>
      </c>
      <c r="C2" s="99" t="s">
        <v>156</v>
      </c>
      <c r="D2" s="78">
        <f>VLOOKUP($C$2,Overview!$Q$2:$AS$64,23,FALSE)</f>
        <v>0.12287169416637536</v>
      </c>
      <c r="E2" s="78" t="str">
        <f>VLOOKUP($C$2,Overview!$Q$2:$AS$64,24,FALSE)</f>
        <v>low</v>
      </c>
      <c r="F2" s="75">
        <f>VLOOKUP($C$2,Overview!$Q$2:$AS$64,13,FALSE)</f>
        <v>14</v>
      </c>
      <c r="G2" s="75">
        <f>VLOOKUP($C$2,Overview!$Q$2:$AS$64,16,FALSE)</f>
        <v>6</v>
      </c>
      <c r="H2" s="75">
        <f>VLOOKUP($C$2,Overview!$Q$2:$AS$64,18,FALSE)</f>
        <v>6</v>
      </c>
      <c r="I2" s="75">
        <f>VLOOKUP($C$2,Overview!$Q$2:$AS$64,19,FALSE)</f>
        <v>12</v>
      </c>
      <c r="J2" s="191"/>
      <c r="K2" s="157" t="str">
        <f>VLOOKUP($C$2,Overview!$Q$2:$AS$64,5,FALSE)</f>
        <v>8-2, 3-8</v>
      </c>
      <c r="L2" s="91"/>
      <c r="M2" s="73"/>
      <c r="N2" s="114"/>
      <c r="O2" s="80"/>
      <c r="P2" s="80"/>
      <c r="Q2" s="124"/>
      <c r="R2" s="124"/>
      <c r="S2" s="80"/>
      <c r="T2" s="114"/>
      <c r="U2" s="80"/>
      <c r="V2" s="80"/>
      <c r="W2" s="124"/>
      <c r="X2" s="124"/>
      <c r="Y2" s="80"/>
      <c r="Z2" s="114"/>
      <c r="AA2" s="80"/>
      <c r="AB2" s="80"/>
      <c r="AC2" s="124"/>
      <c r="AD2" s="124"/>
      <c r="AE2" s="80"/>
      <c r="AF2" s="114"/>
      <c r="AI2" s="80"/>
      <c r="AJ2" s="80"/>
      <c r="AK2" s="80"/>
      <c r="AL2" s="114"/>
      <c r="AM2" s="121"/>
      <c r="AN2" s="101"/>
      <c r="AQ2" s="101"/>
      <c r="AR2" s="101"/>
      <c r="AV2" s="119"/>
      <c r="AW2" s="101"/>
      <c r="AX2" s="101"/>
      <c r="AY2" s="101"/>
      <c r="AZ2" s="102"/>
      <c r="BA2" s="102"/>
      <c r="BB2" s="84"/>
      <c r="BD2" s="101"/>
      <c r="BH2" s="73"/>
      <c r="BI2" s="74"/>
      <c r="BK2" s="74"/>
      <c r="BL2" s="74"/>
      <c r="BM2" s="74"/>
      <c r="BN2" s="74"/>
      <c r="BO2" s="74"/>
      <c r="BP2" s="74"/>
    </row>
    <row r="3" spans="1:75" ht="16">
      <c r="A3" t="s">
        <v>305</v>
      </c>
      <c r="C3" s="310"/>
      <c r="L3" s="174" t="s">
        <v>610</v>
      </c>
      <c r="M3" s="77"/>
      <c r="O3" s="81">
        <f>P3-0</f>
        <v>13</v>
      </c>
      <c r="P3" s="81">
        <f>$F$2-1</f>
        <v>13</v>
      </c>
      <c r="Q3" s="129">
        <f>O3/$F$2</f>
        <v>0.9285714285714286</v>
      </c>
      <c r="R3" s="129">
        <f>O3/P3</f>
        <v>1</v>
      </c>
      <c r="S3" s="127">
        <f>2*(Q3*R3)/(Q3+R3)</f>
        <v>0.96296296296296302</v>
      </c>
      <c r="U3" s="81">
        <f>V3-0</f>
        <v>6</v>
      </c>
      <c r="V3" s="81">
        <f>$G$2-0</f>
        <v>6</v>
      </c>
      <c r="W3" s="129">
        <f>U3/$G$2</f>
        <v>1</v>
      </c>
      <c r="X3" s="129">
        <f>U3/V3</f>
        <v>1</v>
      </c>
      <c r="Y3" s="127">
        <f>2*(W3*X3)/(W3+X3)</f>
        <v>1</v>
      </c>
      <c r="AA3" s="81">
        <f>AB3-0</f>
        <v>11</v>
      </c>
      <c r="AB3" s="81">
        <f>$I$2-1</f>
        <v>11</v>
      </c>
      <c r="AC3" s="129">
        <f>AA3/$I$2</f>
        <v>0.91666666666666663</v>
      </c>
      <c r="AD3" s="129">
        <f>AA3/AB3</f>
        <v>1</v>
      </c>
      <c r="AE3" s="127">
        <f>2*(AC3*AD3)/(AC3+AD3)</f>
        <v>0.95652173913043481</v>
      </c>
      <c r="AG3" s="41">
        <f>AH3-0</f>
        <v>8</v>
      </c>
      <c r="AH3">
        <v>8</v>
      </c>
      <c r="AI3" s="127">
        <f>AG3/$H$2</f>
        <v>1.3333333333333333</v>
      </c>
      <c r="AJ3" s="127">
        <f>AG3/AH3</f>
        <v>1</v>
      </c>
      <c r="AK3" s="81">
        <f>2*(AI3*AJ3)/(AI3+AJ3)</f>
        <v>1.142857142857143</v>
      </c>
      <c r="AM3" s="122">
        <v>0</v>
      </c>
      <c r="AN3" s="101">
        <v>0</v>
      </c>
      <c r="AO3">
        <v>263</v>
      </c>
      <c r="AP3">
        <v>15</v>
      </c>
      <c r="AQ3" s="101">
        <v>8</v>
      </c>
      <c r="AR3" s="101">
        <v>7</v>
      </c>
      <c r="AS3">
        <v>6</v>
      </c>
      <c r="AT3" s="107"/>
      <c r="AU3">
        <v>1</v>
      </c>
      <c r="AV3" s="119">
        <v>3</v>
      </c>
      <c r="AW3" s="101">
        <f>($F$2-N3)/$F$2</f>
        <v>1</v>
      </c>
      <c r="AY3" s="101">
        <f>($G$2-AN3)/$G$2</f>
        <v>1</v>
      </c>
      <c r="AZ3" s="101">
        <f>AR3/AQ3</f>
        <v>0.875</v>
      </c>
      <c r="BA3" s="101">
        <f>AT3/AS3</f>
        <v>0</v>
      </c>
      <c r="BB3" s="85">
        <f>(AW3+AY3+AZ3+BA3)/4</f>
        <v>0.71875</v>
      </c>
      <c r="BC3" s="13">
        <f>AP3/$H$2</f>
        <v>2.5</v>
      </c>
      <c r="BD3" s="118">
        <f>AV3/AP3</f>
        <v>0.2</v>
      </c>
      <c r="BE3" s="13">
        <f>AO3/AP3</f>
        <v>17.533333333333335</v>
      </c>
      <c r="BF3" s="13">
        <f>AT3/$H$2</f>
        <v>0</v>
      </c>
      <c r="BG3" s="13">
        <f>AR3/$H$2</f>
        <v>1.1666666666666667</v>
      </c>
      <c r="BQ3" t="str">
        <f>_xlfn.CONCAT($C$2," &amp; ",C3," &amp; ",Q3," &amp; ",R3," &amp; ",S3," &amp; ",W3," &amp; ",X3," &amp; ",Y3," &amp; ",AC3," &amp; ",AD3," &amp; ",AE3," &amp; ",AG3," &amp; ",AH3," &amp; ",AI3," &amp; ",AJ3, " \\ \hline")</f>
        <v>6-2 &amp;  &amp; 0.928571428571429 &amp; 1 &amp; 0.962962962962963 &amp; 1 &amp; 1 &amp; 1 &amp; 0.916666666666667 &amp; 1 &amp; 0.956521739130435 &amp; 8 &amp; 8 &amp; 1.33333333333333 &amp; 1 \\ \hline</v>
      </c>
      <c r="BU3" s="46"/>
      <c r="BV3" s="46"/>
      <c r="BW3" s="46"/>
    </row>
    <row r="4" spans="1:75" ht="16">
      <c r="A4" t="s">
        <v>306</v>
      </c>
      <c r="C4" s="310"/>
      <c r="L4" s="174" t="s">
        <v>611</v>
      </c>
      <c r="M4" s="108"/>
      <c r="O4" s="81">
        <f>P4-0</f>
        <v>13</v>
      </c>
      <c r="P4" s="81">
        <f>$F$2-1</f>
        <v>13</v>
      </c>
      <c r="Q4" s="129">
        <f>O4/$F$2</f>
        <v>0.9285714285714286</v>
      </c>
      <c r="R4" s="129">
        <f>O4/P4</f>
        <v>1</v>
      </c>
      <c r="S4" s="127">
        <f>2*(Q4*R4)/(Q4+R4)</f>
        <v>0.96296296296296302</v>
      </c>
      <c r="U4" s="81">
        <f>V4-0</f>
        <v>6</v>
      </c>
      <c r="V4" s="81">
        <f>$G$2-0</f>
        <v>6</v>
      </c>
      <c r="W4" s="129">
        <f>U4/$G$2</f>
        <v>1</v>
      </c>
      <c r="X4" s="129">
        <f>U4/V4</f>
        <v>1</v>
      </c>
      <c r="Y4" s="127">
        <f>2*(W4*X4)/(W4+X4)</f>
        <v>1</v>
      </c>
      <c r="AA4" s="81">
        <f>AB4-0</f>
        <v>11</v>
      </c>
      <c r="AB4" s="81">
        <f>$I$2-1</f>
        <v>11</v>
      </c>
      <c r="AC4" s="129">
        <f>AA4/$I$2</f>
        <v>0.91666666666666663</v>
      </c>
      <c r="AD4" s="129">
        <f>AA4/AB4</f>
        <v>1</v>
      </c>
      <c r="AE4" s="127">
        <f>2*(AC4*AD4)/(AC4+AD4)</f>
        <v>0.95652173913043481</v>
      </c>
      <c r="AG4" s="41">
        <f>AH4-0</f>
        <v>8</v>
      </c>
      <c r="AH4">
        <v>8</v>
      </c>
      <c r="AI4" s="127">
        <f>AG4/$H$2</f>
        <v>1.3333333333333333</v>
      </c>
      <c r="AJ4" s="127">
        <f>AG4/AH4</f>
        <v>1</v>
      </c>
      <c r="AK4" s="81">
        <f>2*(AI4*AJ4)/(AI4+AJ4)</f>
        <v>1.142857142857143</v>
      </c>
      <c r="AM4" s="122">
        <v>0</v>
      </c>
      <c r="AN4" s="101">
        <v>0</v>
      </c>
      <c r="AO4">
        <v>268</v>
      </c>
      <c r="AP4">
        <v>14</v>
      </c>
      <c r="AQ4" s="101">
        <v>6</v>
      </c>
      <c r="AR4" s="101">
        <v>6</v>
      </c>
      <c r="AS4">
        <v>8</v>
      </c>
      <c r="AT4" s="107"/>
      <c r="AU4">
        <v>0</v>
      </c>
      <c r="AV4" s="119">
        <v>5</v>
      </c>
      <c r="AW4" s="101">
        <f>($F$2-N4)/$F$2</f>
        <v>1</v>
      </c>
      <c r="AY4" s="101">
        <f>($G$2-AN4)/$G$2</f>
        <v>1</v>
      </c>
      <c r="AZ4" s="101">
        <f>AR4/AQ4</f>
        <v>1</v>
      </c>
      <c r="BA4" s="101">
        <f>AT4/AS4</f>
        <v>0</v>
      </c>
      <c r="BB4" s="85">
        <f>(AW4+AY4+AZ4+BA4)/4</f>
        <v>0.75</v>
      </c>
      <c r="BC4" s="13">
        <f>AP4/$H$2</f>
        <v>2.3333333333333335</v>
      </c>
      <c r="BD4" s="118">
        <f>AV4/AP4</f>
        <v>0.35714285714285715</v>
      </c>
      <c r="BE4" s="13">
        <f>AO4/AP4</f>
        <v>19.142857142857142</v>
      </c>
      <c r="BF4" s="13">
        <f>AT4/$H$2</f>
        <v>0</v>
      </c>
      <c r="BG4" s="13">
        <f>AR4/$H$2</f>
        <v>1</v>
      </c>
      <c r="BQ4" t="str">
        <f t="shared" ref="BQ4:BQ6" si="0">_xlfn.CONCAT($C$2," &amp; ",C4," &amp; ",Q4," &amp; ",R4," &amp; ",S4," &amp; ",W4," &amp; ",X4," &amp; ",Y4," &amp; ",AC4," &amp; ",AD4," &amp; ",AE4," &amp; ",AG4," &amp; ",AH4," &amp; ",AI4," &amp; ",AJ4, " \\ \hline")</f>
        <v>6-2 &amp;  &amp; 0.928571428571429 &amp; 1 &amp; 0.962962962962963 &amp; 1 &amp; 1 &amp; 1 &amp; 0.916666666666667 &amp; 1 &amp; 0.956521739130435 &amp; 8 &amp; 8 &amp; 1.33333333333333 &amp; 1 \\ \hline</v>
      </c>
    </row>
    <row r="5" spans="1:75" ht="16">
      <c r="A5" t="s">
        <v>307</v>
      </c>
      <c r="C5" s="310"/>
      <c r="L5" s="174" t="s">
        <v>612</v>
      </c>
      <c r="M5" s="77"/>
      <c r="O5" s="81">
        <f>P5-0</f>
        <v>13</v>
      </c>
      <c r="P5" s="81">
        <f>$F$2-1</f>
        <v>13</v>
      </c>
      <c r="Q5" s="129">
        <f>O5/$F$2</f>
        <v>0.9285714285714286</v>
      </c>
      <c r="R5" s="129">
        <f>O5/P5</f>
        <v>1</v>
      </c>
      <c r="S5" s="127">
        <f>2*(Q5*R5)/(Q5+R5)</f>
        <v>0.96296296296296302</v>
      </c>
      <c r="U5" s="81">
        <f>V5-0</f>
        <v>6</v>
      </c>
      <c r="V5" s="81">
        <f>$G$2-0</f>
        <v>6</v>
      </c>
      <c r="W5" s="129">
        <f>U5/$G$2</f>
        <v>1</v>
      </c>
      <c r="X5" s="129">
        <f>U5/V5</f>
        <v>1</v>
      </c>
      <c r="Y5" s="127">
        <f>2*(W5*X5)/(W5+X5)</f>
        <v>1</v>
      </c>
      <c r="AA5" s="81">
        <f>AB5-0</f>
        <v>11</v>
      </c>
      <c r="AB5" s="81">
        <f>$I$2-1</f>
        <v>11</v>
      </c>
      <c r="AC5" s="129">
        <f>AA5/$I$2</f>
        <v>0.91666666666666663</v>
      </c>
      <c r="AD5" s="129">
        <f>AA5/AB5</f>
        <v>1</v>
      </c>
      <c r="AE5" s="127">
        <f>2*(AC5*AD5)/(AC5+AD5)</f>
        <v>0.95652173913043481</v>
      </c>
      <c r="AG5" s="41">
        <f>AH5-0</f>
        <v>8</v>
      </c>
      <c r="AH5">
        <v>8</v>
      </c>
      <c r="AI5" s="127">
        <f>AG5/$H$2</f>
        <v>1.3333333333333333</v>
      </c>
      <c r="AJ5" s="127">
        <f>AG5/AH5</f>
        <v>1</v>
      </c>
      <c r="AK5" s="81">
        <f>2*(AI5*AJ5)/(AI5+AJ5)</f>
        <v>1.142857142857143</v>
      </c>
      <c r="AM5" s="122">
        <v>0</v>
      </c>
      <c r="AN5" s="101">
        <v>0</v>
      </c>
      <c r="AO5">
        <v>310</v>
      </c>
      <c r="AP5">
        <v>19</v>
      </c>
      <c r="AQ5" s="101">
        <v>7</v>
      </c>
      <c r="AR5" s="101">
        <v>7</v>
      </c>
      <c r="AS5">
        <v>15</v>
      </c>
      <c r="AT5" s="107"/>
      <c r="AU5">
        <v>0</v>
      </c>
      <c r="AV5" s="119">
        <v>7</v>
      </c>
      <c r="AW5" s="101">
        <f>($F$2-N5)/$F$2</f>
        <v>1</v>
      </c>
      <c r="AY5" s="101">
        <f>($G$2-AN5)/$G$2</f>
        <v>1</v>
      </c>
      <c r="AZ5" s="101">
        <f>AR5/AQ5</f>
        <v>1</v>
      </c>
      <c r="BA5" s="101">
        <f>AT5/AS5</f>
        <v>0</v>
      </c>
      <c r="BB5" s="85">
        <f>(AW5+AY5+AZ5+BA5)/4</f>
        <v>0.75</v>
      </c>
      <c r="BC5" s="13">
        <f>AP5/$H$2</f>
        <v>3.1666666666666665</v>
      </c>
      <c r="BD5" s="118">
        <f>AV5/AP5</f>
        <v>0.36842105263157893</v>
      </c>
      <c r="BE5" s="13">
        <f>AO5/AP5</f>
        <v>16.315789473684209</v>
      </c>
      <c r="BF5" s="13">
        <f>AT5/$H$2</f>
        <v>0</v>
      </c>
      <c r="BG5" s="13">
        <f>AR5/$H$2</f>
        <v>1.1666666666666667</v>
      </c>
      <c r="BQ5" t="str">
        <f t="shared" si="0"/>
        <v>6-2 &amp;  &amp; 0.928571428571429 &amp; 1 &amp; 0.962962962962963 &amp; 1 &amp; 1 &amp; 1 &amp; 0.916666666666667 &amp; 1 &amp; 0.956521739130435 &amp; 8 &amp; 8 &amp; 1.33333333333333 &amp; 1 \\ \hline</v>
      </c>
    </row>
    <row r="6" spans="1:75" ht="16">
      <c r="A6" t="s">
        <v>308</v>
      </c>
      <c r="C6" s="310"/>
      <c r="L6" s="174" t="s">
        <v>613</v>
      </c>
      <c r="M6" s="77"/>
      <c r="O6" s="81">
        <f>P6-0</f>
        <v>13</v>
      </c>
      <c r="P6" s="81">
        <f>$F$2-1</f>
        <v>13</v>
      </c>
      <c r="Q6" s="129">
        <f>O6/$F$2</f>
        <v>0.9285714285714286</v>
      </c>
      <c r="R6" s="129">
        <f>O6/P6</f>
        <v>1</v>
      </c>
      <c r="S6" s="127">
        <f>2*(Q6*R6)/(Q6+R6)</f>
        <v>0.96296296296296302</v>
      </c>
      <c r="U6" s="81">
        <f>V6-0</f>
        <v>6</v>
      </c>
      <c r="V6" s="81">
        <f>$G$2-0</f>
        <v>6</v>
      </c>
      <c r="W6" s="129">
        <f>U6/$G$2</f>
        <v>1</v>
      </c>
      <c r="X6" s="129">
        <f>U6/V6</f>
        <v>1</v>
      </c>
      <c r="Y6" s="127">
        <f>2*(W6*X6)/(W6+X6)</f>
        <v>1</v>
      </c>
      <c r="AA6" s="81">
        <f>AB6-0</f>
        <v>11</v>
      </c>
      <c r="AB6" s="81">
        <f>$I$2-1</f>
        <v>11</v>
      </c>
      <c r="AC6" s="129">
        <f>AA6/$I$2</f>
        <v>0.91666666666666663</v>
      </c>
      <c r="AD6" s="129">
        <f>AA6/AB6</f>
        <v>1</v>
      </c>
      <c r="AE6" s="127">
        <f>2*(AC6*AD6)/(AC6+AD6)</f>
        <v>0.95652173913043481</v>
      </c>
      <c r="AG6" s="41">
        <f>AH6-0</f>
        <v>6</v>
      </c>
      <c r="AH6">
        <v>6</v>
      </c>
      <c r="AI6" s="127">
        <f>AG6/$H$2</f>
        <v>1</v>
      </c>
      <c r="AJ6" s="127">
        <f>AG6/AH6</f>
        <v>1</v>
      </c>
      <c r="AK6" s="81">
        <f>2*(AI6*AJ6)/(AI6+AJ6)</f>
        <v>1</v>
      </c>
      <c r="AM6" s="122">
        <v>0</v>
      </c>
      <c r="AN6" s="101">
        <v>0</v>
      </c>
      <c r="AO6">
        <v>180</v>
      </c>
      <c r="AP6">
        <v>11</v>
      </c>
      <c r="AQ6" s="101">
        <v>9</v>
      </c>
      <c r="AR6" s="101">
        <v>9</v>
      </c>
      <c r="AS6">
        <v>1</v>
      </c>
      <c r="AT6" s="107"/>
      <c r="AU6">
        <v>1</v>
      </c>
      <c r="AV6" s="119">
        <v>7</v>
      </c>
      <c r="AW6" s="101">
        <f>($F$2-N6)/$F$2</f>
        <v>1</v>
      </c>
      <c r="AY6" s="101">
        <f>($G$2-AN6)/$G$2</f>
        <v>1</v>
      </c>
      <c r="AZ6" s="101">
        <f>AR6/AQ6</f>
        <v>1</v>
      </c>
      <c r="BA6" s="101">
        <f>AT6/AS6</f>
        <v>0</v>
      </c>
      <c r="BB6" s="85">
        <f>(AW6+AY6+AZ6+BA6)/4</f>
        <v>0.75</v>
      </c>
      <c r="BC6" s="13">
        <f>AP6/$H$2</f>
        <v>1.8333333333333333</v>
      </c>
      <c r="BD6" s="118">
        <f>AV6/AP6</f>
        <v>0.63636363636363635</v>
      </c>
      <c r="BE6" s="13">
        <f>AO6/AP6</f>
        <v>16.363636363636363</v>
      </c>
      <c r="BF6" s="13">
        <f>AT6/$H$2</f>
        <v>0</v>
      </c>
      <c r="BG6" s="13">
        <f>AR6/$H$2</f>
        <v>1.5</v>
      </c>
      <c r="BQ6" t="str">
        <f t="shared" si="0"/>
        <v>6-2 &amp;  &amp; 0.928571428571429 &amp; 1 &amp; 0.962962962962963 &amp; 1 &amp; 1 &amp; 1 &amp; 0.916666666666667 &amp; 1 &amp; 0.956521739130435 &amp; 6 &amp; 6 &amp; 1 &amp; 1 \\ \hline</v>
      </c>
    </row>
    <row r="7" spans="1:75">
      <c r="C7" s="98"/>
      <c r="Q7" s="129"/>
      <c r="R7" s="129"/>
      <c r="S7" s="127"/>
      <c r="W7" s="129"/>
      <c r="X7" s="129"/>
      <c r="Y7" s="127"/>
      <c r="AC7" s="129"/>
      <c r="AD7" s="129"/>
      <c r="AE7" s="127"/>
      <c r="AG7"/>
      <c r="AH7"/>
      <c r="AI7" s="127"/>
      <c r="AJ7" s="131"/>
    </row>
    <row r="8" spans="1:75" s="73" customFormat="1">
      <c r="A8" s="73" t="s">
        <v>344</v>
      </c>
      <c r="B8" s="94">
        <v>45178</v>
      </c>
      <c r="C8" s="99" t="s">
        <v>151</v>
      </c>
      <c r="D8" s="78">
        <f>VLOOKUP($C$8,Overview!$Q$2:$AS$64,23,FALSE)</f>
        <v>0.13115245937088071</v>
      </c>
      <c r="E8" s="78" t="str">
        <f>VLOOKUP($C$8,Overview!$Q$2:$AS$64,24,FALSE)</f>
        <v>low</v>
      </c>
      <c r="F8" s="75">
        <f>VLOOKUP(C8,Overview!$Q$2:$AS$64,13,FALSE)</f>
        <v>13</v>
      </c>
      <c r="G8" s="75">
        <f>VLOOKUP(C8,Overview!$Q$2:$AS$64,16,FALSE)</f>
        <v>6</v>
      </c>
      <c r="H8" s="75">
        <f>VLOOKUP(C8,Overview!$Q$2:$AS$64,18,FALSE)</f>
        <v>7</v>
      </c>
      <c r="I8" s="75">
        <f>VLOOKUP($C$8,Overview!$Q$2:$AS$64,19,FALSE)</f>
        <v>13</v>
      </c>
      <c r="J8" s="106"/>
      <c r="K8" s="157" t="str">
        <f>VLOOKUP($C$8,Overview!$Q$2:$AS$64,5,FALSE)</f>
        <v>3-7, 3-8</v>
      </c>
      <c r="L8" s="91"/>
      <c r="N8" s="114"/>
      <c r="O8" s="80"/>
      <c r="P8" s="80"/>
      <c r="Q8" s="130"/>
      <c r="R8" s="130"/>
      <c r="S8" s="128"/>
      <c r="T8" s="114"/>
      <c r="U8" s="80"/>
      <c r="V8" s="80"/>
      <c r="W8" s="130"/>
      <c r="X8" s="130"/>
      <c r="Y8" s="128"/>
      <c r="Z8" s="114"/>
      <c r="AA8" s="80"/>
      <c r="AB8" s="80"/>
      <c r="AC8" s="130"/>
      <c r="AD8" s="130"/>
      <c r="AE8" s="128"/>
      <c r="AF8" s="114"/>
      <c r="AI8" s="128"/>
      <c r="AJ8" s="128"/>
      <c r="AK8" s="80"/>
      <c r="AL8" s="114"/>
      <c r="AM8" s="121"/>
      <c r="AN8" s="100"/>
      <c r="AQ8" s="100"/>
      <c r="AR8" s="100"/>
      <c r="AV8" s="120"/>
      <c r="AW8" s="100"/>
      <c r="AX8" s="100"/>
      <c r="AY8" s="100"/>
      <c r="AZ8" s="100"/>
      <c r="BA8" s="100"/>
      <c r="BB8" s="84"/>
      <c r="BD8" s="100"/>
      <c r="BQ8"/>
    </row>
    <row r="9" spans="1:75" ht="16">
      <c r="A9" t="s">
        <v>305</v>
      </c>
      <c r="C9" s="310"/>
      <c r="L9" s="174" t="s">
        <v>610</v>
      </c>
      <c r="M9" s="77"/>
      <c r="O9" s="81">
        <f>P9-2</f>
        <v>11</v>
      </c>
      <c r="P9" s="81">
        <f>$F$8-0</f>
        <v>13</v>
      </c>
      <c r="Q9" s="129">
        <f>O9/$F$8</f>
        <v>0.84615384615384615</v>
      </c>
      <c r="R9" s="129">
        <f>O9/P9</f>
        <v>0.84615384615384615</v>
      </c>
      <c r="S9" s="127">
        <f>2*(Q9*R9)/(Q9+R9)</f>
        <v>0.84615384615384615</v>
      </c>
      <c r="U9" s="81">
        <f>V9-1</f>
        <v>4</v>
      </c>
      <c r="V9" s="81">
        <f>$G$8-1</f>
        <v>5</v>
      </c>
      <c r="W9" s="129">
        <f>U9/$G$8</f>
        <v>0.66666666666666663</v>
      </c>
      <c r="X9" s="129">
        <f>U9/V9</f>
        <v>0.8</v>
      </c>
      <c r="Y9" s="127">
        <f>2*(W9*X9)/(W9+X9)</f>
        <v>0.72727272727272718</v>
      </c>
      <c r="AA9" s="81">
        <f>AB9-2</f>
        <v>11</v>
      </c>
      <c r="AB9" s="81">
        <f>$I$8-0</f>
        <v>13</v>
      </c>
      <c r="AC9" s="129">
        <f>AA9/$I$8</f>
        <v>0.84615384615384615</v>
      </c>
      <c r="AD9" s="129">
        <f>AA9/AB9</f>
        <v>0.84615384615384615</v>
      </c>
      <c r="AE9" s="127">
        <f>2*(AC9*AD9)/(AC9+AD9)</f>
        <v>0.84615384615384615</v>
      </c>
      <c r="AG9" s="14">
        <f>AH9-2</f>
        <v>10</v>
      </c>
      <c r="AH9">
        <v>12</v>
      </c>
      <c r="AI9" s="127">
        <f>AG9/$H$8</f>
        <v>1.4285714285714286</v>
      </c>
      <c r="AJ9" s="127">
        <f>AG9/AH9</f>
        <v>0.83333333333333337</v>
      </c>
      <c r="AM9" s="122">
        <v>1</v>
      </c>
      <c r="AN9" s="101">
        <v>1</v>
      </c>
      <c r="AO9">
        <v>262</v>
      </c>
      <c r="AP9">
        <v>11</v>
      </c>
      <c r="AQ9" s="101">
        <v>7</v>
      </c>
      <c r="AR9" s="101">
        <v>6</v>
      </c>
      <c r="AS9">
        <v>2</v>
      </c>
      <c r="AT9" s="107"/>
      <c r="AU9">
        <v>2</v>
      </c>
      <c r="AV9" s="119">
        <v>5</v>
      </c>
      <c r="AW9" s="101">
        <f>($F$8-N9)/$F$8</f>
        <v>1</v>
      </c>
      <c r="AY9" s="101">
        <f>($G$8-AN9)/$G$8</f>
        <v>0.83333333333333337</v>
      </c>
      <c r="AZ9" s="101">
        <f>AR9/AQ9</f>
        <v>0.8571428571428571</v>
      </c>
      <c r="BA9" s="101">
        <f>AT9/AS9</f>
        <v>0</v>
      </c>
      <c r="BB9" s="85">
        <f>(AW9+AY9+AZ9)/3</f>
        <v>0.89682539682539686</v>
      </c>
      <c r="BC9" s="13">
        <f>AP9/$H$8</f>
        <v>1.5714285714285714</v>
      </c>
      <c r="BD9" s="118">
        <f>AV9/AP9</f>
        <v>0.45454545454545453</v>
      </c>
      <c r="BE9" s="13">
        <f>AO9/AP9</f>
        <v>23.818181818181817</v>
      </c>
      <c r="BF9" s="13">
        <f>AT9/$H$2</f>
        <v>0</v>
      </c>
      <c r="BG9" s="13">
        <f>AR9/$H$8</f>
        <v>0.8571428571428571</v>
      </c>
      <c r="BQ9" t="str">
        <f>_xlfn.CONCAT($C$8," &amp; ",C9," &amp; ",Q9," &amp; ",R9," &amp; ",S9," &amp; ",W9," &amp; ",X9," &amp; ",Y9," &amp; ",AC9," &amp; ",AD9," &amp; ",AE9," &amp; ",AG9," &amp; ",AH9," &amp; ",AI9," &amp; ",AJ9, " \\ \hline")</f>
        <v>5-1 &amp;  &amp; 0.846153846153846 &amp; 0.846153846153846 &amp; 0.846153846153846 &amp; 0.666666666666667 &amp; 0.8 &amp; 0.727272727272727 &amp; 0.846153846153846 &amp; 0.846153846153846 &amp; 0.846153846153846 &amp; 10 &amp; 12 &amp; 1.42857142857143 &amp; 0.833333333333333 \\ \hline</v>
      </c>
    </row>
    <row r="10" spans="1:75" ht="16">
      <c r="A10" t="s">
        <v>306</v>
      </c>
      <c r="C10" s="310"/>
      <c r="L10" s="174" t="s">
        <v>611</v>
      </c>
      <c r="M10" s="108"/>
      <c r="O10" s="81">
        <f>P10-5</f>
        <v>8</v>
      </c>
      <c r="P10" s="81">
        <f>$F$8-0</f>
        <v>13</v>
      </c>
      <c r="Q10" s="129">
        <f>O10/$F$8</f>
        <v>0.61538461538461542</v>
      </c>
      <c r="R10" s="129">
        <f>O10/P10</f>
        <v>0.61538461538461542</v>
      </c>
      <c r="S10" s="127">
        <f>2*(Q10*R10)/(Q10+R10)</f>
        <v>0.61538461538461542</v>
      </c>
      <c r="U10" s="81">
        <f>V10-1</f>
        <v>3</v>
      </c>
      <c r="V10" s="81">
        <f>$G$8-2</f>
        <v>4</v>
      </c>
      <c r="W10" s="129">
        <f>U10/$G$8</f>
        <v>0.5</v>
      </c>
      <c r="X10" s="129">
        <f>U10/V10</f>
        <v>0.75</v>
      </c>
      <c r="Y10" s="127">
        <f>2*(W10*X10)/(W10+X10)</f>
        <v>0.6</v>
      </c>
      <c r="AA10" s="81">
        <f>AB10-2</f>
        <v>11</v>
      </c>
      <c r="AB10" s="81">
        <f>$I$8-0</f>
        <v>13</v>
      </c>
      <c r="AC10" s="129">
        <f>AA10/$I$8</f>
        <v>0.84615384615384615</v>
      </c>
      <c r="AD10" s="129">
        <f>AA10/AB10</f>
        <v>0.84615384615384615</v>
      </c>
      <c r="AE10" s="127">
        <f>2*(AC10*AD10)/(AC10+AD10)</f>
        <v>0.84615384615384615</v>
      </c>
      <c r="AG10" s="14">
        <f>AH10-0</f>
        <v>9</v>
      </c>
      <c r="AH10">
        <v>9</v>
      </c>
      <c r="AI10" s="127">
        <f>AG10/$H$8</f>
        <v>1.2857142857142858</v>
      </c>
      <c r="AJ10" s="127">
        <f>AG10/AH10</f>
        <v>1</v>
      </c>
      <c r="AM10" s="122">
        <v>1</v>
      </c>
      <c r="AN10" s="101">
        <v>1</v>
      </c>
      <c r="AO10">
        <v>327</v>
      </c>
      <c r="AP10">
        <v>15</v>
      </c>
      <c r="AQ10" s="101">
        <v>7</v>
      </c>
      <c r="AR10" s="101">
        <v>6</v>
      </c>
      <c r="AS10">
        <v>8</v>
      </c>
      <c r="AT10" s="107"/>
      <c r="AU10">
        <v>0</v>
      </c>
      <c r="AV10" s="119">
        <v>7</v>
      </c>
      <c r="AW10" s="101">
        <f>($F$8-N10)/$F$8</f>
        <v>1</v>
      </c>
      <c r="AY10" s="101">
        <f>($G$8-AN10)/$G$8</f>
        <v>0.83333333333333337</v>
      </c>
      <c r="AZ10" s="101">
        <f>AR10/AQ10</f>
        <v>0.8571428571428571</v>
      </c>
      <c r="BA10" s="101">
        <f>AT10/AS10</f>
        <v>0</v>
      </c>
      <c r="BB10" s="85">
        <f>(AW10+AY10+AZ10)/3</f>
        <v>0.89682539682539686</v>
      </c>
      <c r="BC10" s="13">
        <f>AP10/$H$8</f>
        <v>2.1428571428571428</v>
      </c>
      <c r="BD10" s="118">
        <f>AV10/AP10</f>
        <v>0.46666666666666667</v>
      </c>
      <c r="BE10" s="13">
        <f>AO10/AP10</f>
        <v>21.8</v>
      </c>
      <c r="BF10" s="13">
        <f>AT10/$H$2</f>
        <v>0</v>
      </c>
      <c r="BG10" s="13">
        <f>AR10/$H$8</f>
        <v>0.8571428571428571</v>
      </c>
      <c r="BQ10" t="str">
        <f t="shared" ref="BQ10:BQ12" si="1">_xlfn.CONCAT($C$8," &amp; ",C10," &amp; ",Q10," &amp; ",R10," &amp; ",S10," &amp; ",W10," &amp; ",X10," &amp; ",Y10," &amp; ",AC10," &amp; ",AD10," &amp; ",AE10," &amp; ",AG10," &amp; ",AH10," &amp; ",AI10," &amp; ",AJ10, " \\ \hline")</f>
        <v>5-1 &amp;  &amp; 0.615384615384615 &amp; 0.615384615384615 &amp; 0.615384615384615 &amp; 0.5 &amp; 0.75 &amp; 0.6 &amp; 0.846153846153846 &amp; 0.846153846153846 &amp; 0.846153846153846 &amp; 9 &amp; 9 &amp; 1.28571428571429 &amp; 1 \\ \hline</v>
      </c>
    </row>
    <row r="11" spans="1:75" ht="16">
      <c r="A11" t="s">
        <v>307</v>
      </c>
      <c r="C11" s="310"/>
      <c r="L11" s="174" t="s">
        <v>612</v>
      </c>
      <c r="M11" s="77"/>
      <c r="O11" s="81">
        <f>P11-1</f>
        <v>12</v>
      </c>
      <c r="P11" s="81">
        <f>$F$8-0</f>
        <v>13</v>
      </c>
      <c r="Q11" s="129">
        <f>O11/$F$8</f>
        <v>0.92307692307692313</v>
      </c>
      <c r="R11" s="129">
        <f>O11/P11</f>
        <v>0.92307692307692313</v>
      </c>
      <c r="S11" s="127">
        <f>2*(Q11*R11)/(Q11+R11)</f>
        <v>0.92307692307692313</v>
      </c>
      <c r="U11" s="81">
        <f>V11-0</f>
        <v>5</v>
      </c>
      <c r="V11" s="81">
        <f>$G$8-1</f>
        <v>5</v>
      </c>
      <c r="W11" s="129">
        <f>U11/$G$8</f>
        <v>0.83333333333333337</v>
      </c>
      <c r="X11" s="129">
        <f>U11/V11</f>
        <v>1</v>
      </c>
      <c r="Y11" s="127">
        <f>2*(W11*X11)/(W11+X11)</f>
        <v>0.90909090909090906</v>
      </c>
      <c r="AA11" s="81">
        <f>AB11-2</f>
        <v>11</v>
      </c>
      <c r="AB11" s="81">
        <f>$I$8-0</f>
        <v>13</v>
      </c>
      <c r="AC11" s="129">
        <f>AA11/$I$8</f>
        <v>0.84615384615384615</v>
      </c>
      <c r="AD11" s="129">
        <f>AA11/AB11</f>
        <v>0.84615384615384615</v>
      </c>
      <c r="AE11" s="127">
        <f>2*(AC11*AD11)/(AC11+AD11)</f>
        <v>0.84615384615384615</v>
      </c>
      <c r="AG11" s="14">
        <f>AH11-0</f>
        <v>9</v>
      </c>
      <c r="AH11">
        <v>9</v>
      </c>
      <c r="AI11" s="127">
        <f>AG11/$H$8</f>
        <v>1.2857142857142858</v>
      </c>
      <c r="AJ11" s="127">
        <f>AG11/AH11</f>
        <v>1</v>
      </c>
      <c r="AM11" s="122">
        <v>1</v>
      </c>
      <c r="AN11" s="101">
        <v>1</v>
      </c>
      <c r="AO11">
        <v>260</v>
      </c>
      <c r="AP11" s="107">
        <v>16</v>
      </c>
      <c r="AQ11" s="101">
        <v>7</v>
      </c>
      <c r="AR11" s="101">
        <v>6</v>
      </c>
      <c r="AS11">
        <v>7</v>
      </c>
      <c r="AT11" s="107"/>
      <c r="AU11">
        <v>2</v>
      </c>
      <c r="AV11" s="119">
        <v>9</v>
      </c>
      <c r="AW11" s="101">
        <f>($F$8-N11)/$F$8</f>
        <v>1</v>
      </c>
      <c r="AY11" s="101">
        <f>($G$8-AN11)/$G$8</f>
        <v>0.83333333333333337</v>
      </c>
      <c r="AZ11" s="101">
        <f>AR11/AQ11</f>
        <v>0.8571428571428571</v>
      </c>
      <c r="BA11" s="101">
        <f>AT11/AS11</f>
        <v>0</v>
      </c>
      <c r="BB11" s="85">
        <f>(AW11+AY11+AZ11)/3</f>
        <v>0.89682539682539686</v>
      </c>
      <c r="BC11" s="13">
        <f>AP11/$H$8</f>
        <v>2.2857142857142856</v>
      </c>
      <c r="BD11" s="118">
        <f>AV11/AP11</f>
        <v>0.5625</v>
      </c>
      <c r="BE11" s="13">
        <f>AO11/AP11</f>
        <v>16.25</v>
      </c>
      <c r="BF11" s="13">
        <f>AT11/$H$2</f>
        <v>0</v>
      </c>
      <c r="BG11" s="13">
        <f>AR11/$H$8</f>
        <v>0.8571428571428571</v>
      </c>
      <c r="BQ11" t="str">
        <f t="shared" si="1"/>
        <v>5-1 &amp;  &amp; 0.923076923076923 &amp; 0.923076923076923 &amp; 0.923076923076923 &amp; 0.833333333333333 &amp; 1 &amp; 0.909090909090909 &amp; 0.846153846153846 &amp; 0.846153846153846 &amp; 0.846153846153846 &amp; 9 &amp; 9 &amp; 1.28571428571429 &amp; 1 \\ \hline</v>
      </c>
    </row>
    <row r="12" spans="1:75" ht="16">
      <c r="A12" t="s">
        <v>308</v>
      </c>
      <c r="C12" s="310"/>
      <c r="L12" s="174" t="s">
        <v>613</v>
      </c>
      <c r="M12" s="77"/>
      <c r="O12" s="81">
        <f>P12-1</f>
        <v>12</v>
      </c>
      <c r="P12" s="81">
        <f>$F$8-0</f>
        <v>13</v>
      </c>
      <c r="Q12" s="129">
        <f>O12/$F$8</f>
        <v>0.92307692307692313</v>
      </c>
      <c r="R12" s="129">
        <f>O12/P12</f>
        <v>0.92307692307692313</v>
      </c>
      <c r="S12" s="127">
        <f>2*(Q12*R12)/(Q12+R12)</f>
        <v>0.92307692307692313</v>
      </c>
      <c r="U12" s="81">
        <f>V12-0</f>
        <v>5</v>
      </c>
      <c r="V12" s="81">
        <f>$G$8-1</f>
        <v>5</v>
      </c>
      <c r="W12" s="129">
        <f>U12/$G$8</f>
        <v>0.83333333333333337</v>
      </c>
      <c r="X12" s="129">
        <f>U12/V12</f>
        <v>1</v>
      </c>
      <c r="Y12" s="127">
        <f>2*(W12*X12)/(W12+X12)</f>
        <v>0.90909090909090906</v>
      </c>
      <c r="AA12" s="81">
        <f>AB12-2</f>
        <v>11</v>
      </c>
      <c r="AB12" s="81">
        <f>$I$8-0</f>
        <v>13</v>
      </c>
      <c r="AC12" s="129">
        <f>AA12/$I$8</f>
        <v>0.84615384615384615</v>
      </c>
      <c r="AD12" s="129">
        <f>AA12/AB12</f>
        <v>0.84615384615384615</v>
      </c>
      <c r="AE12" s="127">
        <f>2*(AC12*AD12)/(AC12+AD12)</f>
        <v>0.84615384615384615</v>
      </c>
      <c r="AG12" s="14">
        <f>AH12-2</f>
        <v>8</v>
      </c>
      <c r="AH12">
        <v>10</v>
      </c>
      <c r="AI12" s="127">
        <f>AG12/$H$8</f>
        <v>1.1428571428571428</v>
      </c>
      <c r="AJ12" s="127">
        <f>AG12/AH12</f>
        <v>0.8</v>
      </c>
      <c r="AM12" s="122">
        <v>1</v>
      </c>
      <c r="AN12" s="101">
        <v>1</v>
      </c>
      <c r="AO12">
        <v>309</v>
      </c>
      <c r="AP12">
        <v>16</v>
      </c>
      <c r="AQ12" s="101">
        <v>8</v>
      </c>
      <c r="AR12" s="101">
        <v>7</v>
      </c>
      <c r="AS12">
        <v>8</v>
      </c>
      <c r="AT12" s="107"/>
      <c r="AU12">
        <v>0</v>
      </c>
      <c r="AV12" s="119">
        <v>6</v>
      </c>
      <c r="AW12" s="101">
        <f>($F$8-N12)/$F$8</f>
        <v>1</v>
      </c>
      <c r="AY12" s="101">
        <f>($G$8-AN12)/$G$8</f>
        <v>0.83333333333333337</v>
      </c>
      <c r="AZ12" s="101">
        <f>AR12/AQ12</f>
        <v>0.875</v>
      </c>
      <c r="BA12" s="101">
        <f>AT12/AS12</f>
        <v>0</v>
      </c>
      <c r="BB12" s="85">
        <f>(AW12+AY12+AZ12)/3</f>
        <v>0.90277777777777779</v>
      </c>
      <c r="BC12" s="13">
        <f>AP12/$H$8</f>
        <v>2.2857142857142856</v>
      </c>
      <c r="BD12" s="118">
        <f>AV12/AP12</f>
        <v>0.375</v>
      </c>
      <c r="BE12" s="13">
        <f>AO12/AP12</f>
        <v>19.3125</v>
      </c>
      <c r="BF12" s="13">
        <f>AT12/$H$2</f>
        <v>0</v>
      </c>
      <c r="BG12" s="13">
        <f>AR12/$H$8</f>
        <v>1</v>
      </c>
      <c r="BQ12" t="str">
        <f t="shared" si="1"/>
        <v>5-1 &amp;  &amp; 0.923076923076923 &amp; 0.923076923076923 &amp; 0.923076923076923 &amp; 0.833333333333333 &amp; 1 &amp; 0.909090909090909 &amp; 0.846153846153846 &amp; 0.846153846153846 &amp; 0.846153846153846 &amp; 8 &amp; 10 &amp; 1.14285714285714 &amp; 0.8 \\ \hline</v>
      </c>
    </row>
    <row r="13" spans="1:75">
      <c r="C13" s="98"/>
      <c r="Q13" s="129"/>
      <c r="R13" s="129"/>
      <c r="S13" s="127"/>
      <c r="W13" s="129"/>
      <c r="X13" s="129"/>
      <c r="Y13" s="127"/>
      <c r="AC13" s="129"/>
      <c r="AD13" s="129"/>
      <c r="AE13" s="127"/>
      <c r="AG13" s="14"/>
      <c r="AH13"/>
      <c r="AI13" s="127"/>
      <c r="AJ13" s="131"/>
    </row>
    <row r="14" spans="1:75" s="73" customFormat="1">
      <c r="A14" s="73" t="s">
        <v>312</v>
      </c>
      <c r="B14" s="94">
        <v>45178</v>
      </c>
      <c r="C14" s="93" t="s">
        <v>145</v>
      </c>
      <c r="D14" s="78">
        <f>VLOOKUP($C$14,Overview!$Q$2:$AS$64,23,FALSE)</f>
        <v>0.15253833769305328</v>
      </c>
      <c r="E14" s="78" t="str">
        <f>VLOOKUP($C$14,Overview!$Q$2:$AS$64,24,FALSE)</f>
        <v>low</v>
      </c>
      <c r="F14" s="75">
        <f>VLOOKUP(C14,Overview!$Q$2:$AS$64,13,FALSE)</f>
        <v>14</v>
      </c>
      <c r="G14" s="75">
        <f>VLOOKUP(C14,Overview!$Q$2:$AS$64,16,FALSE)</f>
        <v>7</v>
      </c>
      <c r="H14" s="75">
        <f>VLOOKUP(C14,Overview!$Q$2:$AS$64,18,FALSE)</f>
        <v>7</v>
      </c>
      <c r="I14" s="75">
        <f>VLOOKUP($C$14,Overview!$Q$2:$AS$64,19,FALSE)</f>
        <v>14</v>
      </c>
      <c r="J14" s="106" t="s">
        <v>360</v>
      </c>
      <c r="K14" s="75" t="str">
        <f>VLOOKUP($C$14,Overview!$Q$2:$AS$64,5,FALSE)</f>
        <v>5-1, 3-8</v>
      </c>
      <c r="L14" s="91"/>
      <c r="N14" s="114"/>
      <c r="O14" s="80"/>
      <c r="P14" s="80"/>
      <c r="Q14" s="130"/>
      <c r="R14" s="130"/>
      <c r="S14" s="128"/>
      <c r="T14" s="114"/>
      <c r="U14" s="80"/>
      <c r="V14" s="80"/>
      <c r="W14" s="130"/>
      <c r="X14" s="130"/>
      <c r="Y14" s="128"/>
      <c r="Z14" s="114"/>
      <c r="AA14" s="80"/>
      <c r="AB14" s="80"/>
      <c r="AC14" s="130"/>
      <c r="AD14" s="130"/>
      <c r="AE14" s="128"/>
      <c r="AF14" s="114"/>
      <c r="AI14" s="128"/>
      <c r="AJ14" s="128"/>
      <c r="AK14" s="80"/>
      <c r="AL14" s="114"/>
      <c r="AM14" s="121"/>
      <c r="AN14" s="100"/>
      <c r="AQ14" s="100"/>
      <c r="AR14" s="100"/>
      <c r="AV14" s="120"/>
      <c r="AW14" s="100"/>
      <c r="AX14" s="100"/>
      <c r="AY14" s="100"/>
      <c r="AZ14" s="100"/>
      <c r="BA14" s="100"/>
      <c r="BB14" s="84"/>
      <c r="BD14" s="100"/>
      <c r="BQ14"/>
    </row>
    <row r="15" spans="1:75" ht="16">
      <c r="A15" t="s">
        <v>305</v>
      </c>
      <c r="C15" s="310"/>
      <c r="L15" s="47" t="s">
        <v>610</v>
      </c>
      <c r="M15" s="77"/>
      <c r="O15" s="81">
        <f>P15-3</f>
        <v>11</v>
      </c>
      <c r="P15" s="81">
        <f>F14-0</f>
        <v>14</v>
      </c>
      <c r="Q15" s="129">
        <f>O15/$F$14</f>
        <v>0.7857142857142857</v>
      </c>
      <c r="R15" s="129">
        <f>O15/P15</f>
        <v>0.7857142857142857</v>
      </c>
      <c r="S15" s="127">
        <f>2*(Q15*R15)/(Q15+R15)</f>
        <v>0.7857142857142857</v>
      </c>
      <c r="U15" s="81">
        <f>V15-2</f>
        <v>4</v>
      </c>
      <c r="V15" s="81">
        <f>G14-1</f>
        <v>6</v>
      </c>
      <c r="W15" s="129">
        <f>U15/$G$14</f>
        <v>0.5714285714285714</v>
      </c>
      <c r="X15" s="129">
        <f>U15/V15</f>
        <v>0.66666666666666663</v>
      </c>
      <c r="Y15" s="127">
        <f>2*(W15*X15)/(W15+X15)</f>
        <v>0.61538461538461531</v>
      </c>
      <c r="AA15" s="81">
        <f>AB15-1</f>
        <v>13</v>
      </c>
      <c r="AB15" s="81">
        <f>I14</f>
        <v>14</v>
      </c>
      <c r="AC15" s="129">
        <f>AA15/$I$14</f>
        <v>0.9285714285714286</v>
      </c>
      <c r="AD15" s="129">
        <f>AA15/AB15</f>
        <v>0.9285714285714286</v>
      </c>
      <c r="AE15" s="127">
        <f>2*(AC15*AD15)/(AC15+AD15)</f>
        <v>0.9285714285714286</v>
      </c>
      <c r="AG15">
        <v>6</v>
      </c>
      <c r="AH15">
        <v>6</v>
      </c>
      <c r="AI15" s="127">
        <f>AG15/$H$14</f>
        <v>0.8571428571428571</v>
      </c>
      <c r="AJ15" s="127">
        <f>AG15/AH15</f>
        <v>1</v>
      </c>
      <c r="AM15" s="122">
        <v>1</v>
      </c>
      <c r="AN15" s="101">
        <v>1</v>
      </c>
      <c r="AO15">
        <v>187</v>
      </c>
      <c r="AP15">
        <v>12</v>
      </c>
      <c r="AQ15" s="101">
        <v>12</v>
      </c>
      <c r="AR15" s="101">
        <v>10</v>
      </c>
      <c r="AS15">
        <v>0</v>
      </c>
      <c r="AT15">
        <v>0</v>
      </c>
      <c r="AU15">
        <v>0</v>
      </c>
      <c r="AV15" s="119">
        <v>8</v>
      </c>
      <c r="AW15" s="101">
        <f>($F$14-N15)/$F$14</f>
        <v>1</v>
      </c>
      <c r="AY15" s="101">
        <f>($G$14-AN15)/$G$14</f>
        <v>0.8571428571428571</v>
      </c>
      <c r="AZ15" s="101">
        <f>AR15/AQ15</f>
        <v>0.83333333333333337</v>
      </c>
      <c r="BA15" s="101">
        <v>0</v>
      </c>
      <c r="BB15" s="85">
        <f>(AW15+AY15+AZ15+BA15)/4</f>
        <v>0.67261904761904767</v>
      </c>
      <c r="BC15" s="13">
        <f>AP15/$H$14</f>
        <v>1.7142857142857142</v>
      </c>
      <c r="BD15" s="118">
        <f>AV15/AP15</f>
        <v>0.66666666666666663</v>
      </c>
      <c r="BE15" s="13">
        <f>AO15/AP15</f>
        <v>15.583333333333334</v>
      </c>
      <c r="BF15" s="13">
        <f>AT15/$H$14</f>
        <v>0</v>
      </c>
      <c r="BG15" s="13">
        <f>AR15/$H$14</f>
        <v>1.4285714285714286</v>
      </c>
      <c r="BQ15" t="str">
        <f>_xlfn.CONCAT($C$14," &amp; ",C15," &amp; ",Q15," &amp; ",R15," &amp; ",S15," &amp; ",W15," &amp; ",X15," &amp; ",Y15," &amp; ",AC15," &amp; ",AD15," &amp; ",AE15," &amp; ",AG15," &amp; ",AH15," &amp; ",AI15," &amp; ",AJ15, " \\ \hline")</f>
        <v>3-4 &amp;  &amp; 0.785714285714286 &amp; 0.785714285714286 &amp; 0.785714285714286 &amp; 0.571428571428571 &amp; 0.666666666666667 &amp; 0.615384615384615 &amp; 0.928571428571429 &amp; 0.928571428571429 &amp; 0.928571428571429 &amp; 6 &amp; 6 &amp; 0.857142857142857 &amp; 1 \\ \hline</v>
      </c>
    </row>
    <row r="16" spans="1:75" ht="16">
      <c r="A16" t="s">
        <v>306</v>
      </c>
      <c r="C16" s="310"/>
      <c r="L16" s="47" t="s">
        <v>611</v>
      </c>
      <c r="M16" s="77"/>
      <c r="O16" s="81">
        <f>P16-2</f>
        <v>12</v>
      </c>
      <c r="P16" s="81">
        <f>$F$14-0</f>
        <v>14</v>
      </c>
      <c r="Q16" s="129">
        <f>O16/$F$14</f>
        <v>0.8571428571428571</v>
      </c>
      <c r="R16" s="129">
        <f>O16/P16</f>
        <v>0.8571428571428571</v>
      </c>
      <c r="S16" s="127">
        <f>2*(Q16*R16)/(Q16+R16)</f>
        <v>0.8571428571428571</v>
      </c>
      <c r="U16" s="81">
        <f>V16-2</f>
        <v>5</v>
      </c>
      <c r="V16" s="81">
        <f>$G$14</f>
        <v>7</v>
      </c>
      <c r="W16" s="129">
        <f>U16/$G$14</f>
        <v>0.7142857142857143</v>
      </c>
      <c r="X16" s="129">
        <f>U16/V16</f>
        <v>0.7142857142857143</v>
      </c>
      <c r="Y16" s="127">
        <f>2*(W16*X16)/(W16+X16)</f>
        <v>0.7142857142857143</v>
      </c>
      <c r="AA16" s="81">
        <f>AB16-1</f>
        <v>13</v>
      </c>
      <c r="AB16" s="81">
        <f>$I$14</f>
        <v>14</v>
      </c>
      <c r="AC16" s="129">
        <f>AA16/$I$14</f>
        <v>0.9285714285714286</v>
      </c>
      <c r="AD16" s="129">
        <f>AA16/AB16</f>
        <v>0.9285714285714286</v>
      </c>
      <c r="AE16" s="127">
        <f>2*(AC16*AD16)/(AC16+AD16)</f>
        <v>0.9285714285714286</v>
      </c>
      <c r="AG16">
        <f>AH16</f>
        <v>11</v>
      </c>
      <c r="AH16">
        <v>11</v>
      </c>
      <c r="AI16" s="127">
        <f>AG16/$H$14</f>
        <v>1.5714285714285714</v>
      </c>
      <c r="AJ16" s="127">
        <f>AG16/AH16</f>
        <v>1</v>
      </c>
      <c r="AM16" s="122">
        <v>1</v>
      </c>
      <c r="AN16" s="101">
        <v>1</v>
      </c>
      <c r="AO16">
        <v>357</v>
      </c>
      <c r="AP16" s="107">
        <v>24</v>
      </c>
      <c r="AQ16" s="101">
        <v>10</v>
      </c>
      <c r="AR16" s="101">
        <v>9</v>
      </c>
      <c r="AS16">
        <v>7</v>
      </c>
      <c r="AT16">
        <v>6</v>
      </c>
      <c r="AU16">
        <v>1</v>
      </c>
      <c r="AV16" s="119">
        <v>8</v>
      </c>
      <c r="AW16" s="101">
        <f>($F$14-N16)/$F$14</f>
        <v>1</v>
      </c>
      <c r="AY16" s="101">
        <f>($G$14-AN16)/$G$14</f>
        <v>0.8571428571428571</v>
      </c>
      <c r="AZ16" s="101">
        <f>AR16/AQ16</f>
        <v>0.9</v>
      </c>
      <c r="BA16" s="101">
        <f>AT16/AS16</f>
        <v>0.8571428571428571</v>
      </c>
      <c r="BB16" s="85">
        <f>(AW16+AY16+AZ16+BA16)/4</f>
        <v>0.90357142857142858</v>
      </c>
      <c r="BC16" s="13">
        <f>AP16/$H$14</f>
        <v>3.4285714285714284</v>
      </c>
      <c r="BD16" s="118">
        <f>AV16/AP16</f>
        <v>0.33333333333333331</v>
      </c>
      <c r="BE16" s="13">
        <f>AO16/AP16</f>
        <v>14.875</v>
      </c>
      <c r="BF16" s="13">
        <f>AT16/$H$14</f>
        <v>0.8571428571428571</v>
      </c>
      <c r="BG16" s="13">
        <f>AR16/$H$14</f>
        <v>1.2857142857142858</v>
      </c>
      <c r="BQ16" t="str">
        <f t="shared" ref="BQ16:BQ18" si="2">_xlfn.CONCAT($C$14," &amp; ",C16," &amp; ",Q16," &amp; ",R16," &amp; ",S16," &amp; ",W16," &amp; ",X16," &amp; ",Y16," &amp; ",AC16," &amp; ",AD16," &amp; ",AE16," &amp; ",AG16," &amp; ",AH16," &amp; ",AI16," &amp; ",AJ16, " \\ \hline")</f>
        <v>3-4 &amp;  &amp; 0.857142857142857 &amp; 0.857142857142857 &amp; 0.857142857142857 &amp; 0.714285714285714 &amp; 0.714285714285714 &amp; 0.714285714285714 &amp; 0.928571428571429 &amp; 0.928571428571429 &amp; 0.928571428571429 &amp; 11 &amp; 11 &amp; 1.57142857142857 &amp; 1 \\ \hline</v>
      </c>
    </row>
    <row r="17" spans="1:69" ht="16">
      <c r="A17" t="s">
        <v>307</v>
      </c>
      <c r="C17" s="310"/>
      <c r="L17" s="47" t="s">
        <v>612</v>
      </c>
      <c r="M17" s="108"/>
      <c r="O17" s="81">
        <f>P17-3</f>
        <v>11</v>
      </c>
      <c r="P17" s="81">
        <f>$F$14-0</f>
        <v>14</v>
      </c>
      <c r="Q17" s="129">
        <f>O17/$F$14</f>
        <v>0.7857142857142857</v>
      </c>
      <c r="R17" s="129">
        <f>O17/P17</f>
        <v>0.7857142857142857</v>
      </c>
      <c r="S17" s="127">
        <f>2*(Q17*R17)/(Q17+R17)</f>
        <v>0.7857142857142857</v>
      </c>
      <c r="U17" s="81">
        <f>V17-2</f>
        <v>4</v>
      </c>
      <c r="V17" s="81">
        <f>$G$14-1</f>
        <v>6</v>
      </c>
      <c r="W17" s="129">
        <f>U17/$G$14</f>
        <v>0.5714285714285714</v>
      </c>
      <c r="X17" s="129">
        <f>U17/V17</f>
        <v>0.66666666666666663</v>
      </c>
      <c r="Y17" s="127">
        <f>2*(W17*X17)/(W17+X17)</f>
        <v>0.61538461538461531</v>
      </c>
      <c r="AA17" s="81">
        <f>AB17-1</f>
        <v>13</v>
      </c>
      <c r="AB17" s="81">
        <f>$I$14</f>
        <v>14</v>
      </c>
      <c r="AC17" s="129">
        <f>AA17/$I$14</f>
        <v>0.9285714285714286</v>
      </c>
      <c r="AD17" s="129">
        <f>AA17/AB17</f>
        <v>0.9285714285714286</v>
      </c>
      <c r="AE17" s="127">
        <f>2*(AC17*AD17)/(AC17+AD17)</f>
        <v>0.9285714285714286</v>
      </c>
      <c r="AG17">
        <f>AH17</f>
        <v>10</v>
      </c>
      <c r="AH17">
        <v>10</v>
      </c>
      <c r="AI17" s="127">
        <f>AG17/$H$14</f>
        <v>1.4285714285714286</v>
      </c>
      <c r="AJ17" s="127">
        <f>AG17/AH17</f>
        <v>1</v>
      </c>
      <c r="AM17" s="122">
        <v>0</v>
      </c>
      <c r="AN17" s="101">
        <v>0</v>
      </c>
      <c r="AO17">
        <v>246</v>
      </c>
      <c r="AP17">
        <v>15</v>
      </c>
      <c r="AQ17" s="101">
        <v>9</v>
      </c>
      <c r="AR17" s="101">
        <v>9</v>
      </c>
      <c r="AS17">
        <v>6</v>
      </c>
      <c r="AT17">
        <v>6</v>
      </c>
      <c r="AU17">
        <v>0</v>
      </c>
      <c r="AV17" s="119">
        <v>9</v>
      </c>
      <c r="AW17" s="101">
        <f>($F$14-N17)/$F$14</f>
        <v>1</v>
      </c>
      <c r="AY17" s="101">
        <f>($G$14-AN17)/$G$14</f>
        <v>1</v>
      </c>
      <c r="AZ17" s="101">
        <f>AR17/AQ17</f>
        <v>1</v>
      </c>
      <c r="BA17" s="101">
        <f>AT17/AS17</f>
        <v>1</v>
      </c>
      <c r="BB17" s="85">
        <f>(AW17+AY17+AZ17+BA17)/4</f>
        <v>1</v>
      </c>
      <c r="BC17" s="13">
        <f>AP17/$H$14</f>
        <v>2.1428571428571428</v>
      </c>
      <c r="BD17" s="118">
        <f>AV17/AP17</f>
        <v>0.6</v>
      </c>
      <c r="BE17" s="13">
        <f>AO17/AP17</f>
        <v>16.399999999999999</v>
      </c>
      <c r="BF17" s="13">
        <f>AT17/$H$14</f>
        <v>0.8571428571428571</v>
      </c>
      <c r="BG17" s="13">
        <f>AR17/$H$14</f>
        <v>1.2857142857142858</v>
      </c>
      <c r="BQ17" t="str">
        <f t="shared" si="2"/>
        <v>3-4 &amp;  &amp; 0.785714285714286 &amp; 0.785714285714286 &amp; 0.785714285714286 &amp; 0.571428571428571 &amp; 0.666666666666667 &amp; 0.615384615384615 &amp; 0.928571428571429 &amp; 0.928571428571429 &amp; 0.928571428571429 &amp; 10 &amp; 10 &amp; 1.42857142857143 &amp; 1 \\ \hline</v>
      </c>
    </row>
    <row r="18" spans="1:69" ht="16">
      <c r="A18" t="s">
        <v>308</v>
      </c>
      <c r="C18" s="310"/>
      <c r="L18" s="47" t="s">
        <v>613</v>
      </c>
      <c r="M18" s="77"/>
      <c r="O18" s="81">
        <f>P18-1</f>
        <v>13</v>
      </c>
      <c r="P18" s="81">
        <f>$F$14-0</f>
        <v>14</v>
      </c>
      <c r="Q18" s="129">
        <f>O18/$F$14</f>
        <v>0.9285714285714286</v>
      </c>
      <c r="R18" s="129">
        <f>O18/P18</f>
        <v>0.9285714285714286</v>
      </c>
      <c r="S18" s="127">
        <f>2*(Q18*R18)/(Q18+R18)</f>
        <v>0.9285714285714286</v>
      </c>
      <c r="U18" s="81">
        <v>6</v>
      </c>
      <c r="V18" s="81">
        <f>$G$14</f>
        <v>7</v>
      </c>
      <c r="W18" s="129">
        <f>U18/$G$14</f>
        <v>0.8571428571428571</v>
      </c>
      <c r="X18" s="129">
        <f>U18/V18</f>
        <v>0.8571428571428571</v>
      </c>
      <c r="Y18" s="127">
        <f>2*(W18*X18)/(W18+X18)</f>
        <v>0.8571428571428571</v>
      </c>
      <c r="AA18" s="81">
        <f>AB18-1</f>
        <v>13</v>
      </c>
      <c r="AB18" s="81">
        <f>$I$14</f>
        <v>14</v>
      </c>
      <c r="AC18" s="129">
        <f>AA18/$I$14</f>
        <v>0.9285714285714286</v>
      </c>
      <c r="AD18" s="129">
        <f>AA18/AB18</f>
        <v>0.9285714285714286</v>
      </c>
      <c r="AE18" s="127">
        <f>2*(AC18*AD18)/(AC18+AD18)</f>
        <v>0.9285714285714286</v>
      </c>
      <c r="AG18">
        <f>AH18</f>
        <v>10</v>
      </c>
      <c r="AH18">
        <v>10</v>
      </c>
      <c r="AI18" s="127">
        <f>AG18/$H$14</f>
        <v>1.4285714285714286</v>
      </c>
      <c r="AJ18" s="127">
        <f>AG18/AH18</f>
        <v>1</v>
      </c>
      <c r="AM18" s="122">
        <v>0</v>
      </c>
      <c r="AN18" s="101">
        <v>0</v>
      </c>
      <c r="AO18">
        <v>273</v>
      </c>
      <c r="AP18">
        <v>17</v>
      </c>
      <c r="AQ18" s="101">
        <v>14</v>
      </c>
      <c r="AR18" s="101">
        <v>13</v>
      </c>
      <c r="AS18">
        <v>3</v>
      </c>
      <c r="AT18">
        <v>3</v>
      </c>
      <c r="AU18">
        <v>0</v>
      </c>
      <c r="AV18" s="119">
        <v>9</v>
      </c>
      <c r="AW18" s="101">
        <f>($F$14-N18)/$F$14</f>
        <v>1</v>
      </c>
      <c r="AY18" s="101">
        <f>($G$14-AN18)/$G$14</f>
        <v>1</v>
      </c>
      <c r="AZ18" s="101">
        <f>AR18/AQ18</f>
        <v>0.9285714285714286</v>
      </c>
      <c r="BA18" s="101">
        <f>AT18/AS18</f>
        <v>1</v>
      </c>
      <c r="BB18" s="85">
        <f>(AW18+AY18+AZ18+BA18)/4</f>
        <v>0.98214285714285721</v>
      </c>
      <c r="BC18" s="13">
        <f>AP18/$H$14</f>
        <v>2.4285714285714284</v>
      </c>
      <c r="BD18" s="118">
        <f>AV18/AP18</f>
        <v>0.52941176470588236</v>
      </c>
      <c r="BE18" s="13">
        <f>AO18/AP18</f>
        <v>16.058823529411764</v>
      </c>
      <c r="BF18" s="13">
        <f>AT18/$H$14</f>
        <v>0.42857142857142855</v>
      </c>
      <c r="BG18" s="13">
        <f>AR18/$H$14</f>
        <v>1.8571428571428572</v>
      </c>
      <c r="BQ18" t="str">
        <f t="shared" si="2"/>
        <v>3-4 &amp;  &amp; 0.928571428571429 &amp; 0.928571428571429 &amp; 0.928571428571429 &amp; 0.857142857142857 &amp; 0.857142857142857 &amp; 0.857142857142857 &amp; 0.928571428571429 &amp; 0.928571428571429 &amp; 0.928571428571429 &amp; 10 &amp; 10 &amp; 1.42857142857143 &amp; 1 \\ \hline</v>
      </c>
    </row>
    <row r="19" spans="1:69">
      <c r="C19" s="98"/>
      <c r="Q19" s="129"/>
      <c r="R19" s="129"/>
      <c r="S19" s="127"/>
      <c r="W19" s="129"/>
      <c r="X19" s="129"/>
      <c r="Y19" s="127"/>
      <c r="AC19" s="129"/>
      <c r="AD19" s="129"/>
      <c r="AE19" s="127"/>
      <c r="AG19"/>
      <c r="AH19"/>
      <c r="AI19" s="127"/>
      <c r="AJ19" s="131"/>
    </row>
    <row r="20" spans="1:69" s="73" customFormat="1">
      <c r="A20" s="73" t="s">
        <v>313</v>
      </c>
      <c r="B20" s="94">
        <v>45178</v>
      </c>
      <c r="C20" s="93" t="s">
        <v>143</v>
      </c>
      <c r="D20" s="78">
        <f>VLOOKUP($C$20,Overview!$Q$2:$AS$64,23,FALSE)</f>
        <v>0.22130077615194707</v>
      </c>
      <c r="E20" s="78" t="str">
        <f>VLOOKUP($C$20,Overview!$Q$2:$AS$64,24,FALSE)</f>
        <v>low</v>
      </c>
      <c r="F20" s="75">
        <f>VLOOKUP(C20,Overview!$Q$2:$AS$64,13,FALSE)</f>
        <v>21</v>
      </c>
      <c r="G20" s="75">
        <f>VLOOKUP(C20,Overview!$Q$2:$AS$64,16,FALSE)</f>
        <v>4</v>
      </c>
      <c r="H20" s="75">
        <f>VLOOKUP(C20,Overview!$Q$2:$AS$64,18,FALSE)</f>
        <v>10</v>
      </c>
      <c r="I20" s="75">
        <f>VLOOKUP($C$20,Overview!$Q$2:$AS$64,19,FALSE)</f>
        <v>21</v>
      </c>
      <c r="K20" s="75" t="str">
        <f>VLOOKUP($C$20,Overview!$Q$2:$AS$64,5,FALSE)</f>
        <v>5-1, 3-8</v>
      </c>
      <c r="L20" s="91"/>
      <c r="N20" s="114"/>
      <c r="O20" s="80"/>
      <c r="P20" s="80"/>
      <c r="Q20" s="130"/>
      <c r="R20" s="130"/>
      <c r="S20" s="128"/>
      <c r="T20" s="114"/>
      <c r="U20" s="80"/>
      <c r="V20" s="80"/>
      <c r="W20" s="130"/>
      <c r="X20" s="130"/>
      <c r="Y20" s="128"/>
      <c r="Z20" s="114"/>
      <c r="AA20" s="80"/>
      <c r="AB20" s="80"/>
      <c r="AC20" s="130"/>
      <c r="AD20" s="130"/>
      <c r="AE20" s="128"/>
      <c r="AF20" s="114"/>
      <c r="AI20" s="128"/>
      <c r="AJ20" s="128"/>
      <c r="AK20" s="80"/>
      <c r="AL20" s="114"/>
      <c r="AM20" s="121"/>
      <c r="AN20" s="100"/>
      <c r="AQ20" s="100"/>
      <c r="AR20" s="100"/>
      <c r="AV20" s="120"/>
      <c r="AW20" s="100"/>
      <c r="AX20" s="100"/>
      <c r="AY20" s="100"/>
      <c r="AZ20" s="100"/>
      <c r="BA20" s="100"/>
      <c r="BB20" s="84"/>
      <c r="BD20" s="100"/>
      <c r="BQ20"/>
    </row>
    <row r="21" spans="1:69" ht="16">
      <c r="A21" t="s">
        <v>305</v>
      </c>
      <c r="C21" s="310"/>
      <c r="L21" s="47" t="s">
        <v>610</v>
      </c>
      <c r="M21" s="77"/>
      <c r="O21" s="81">
        <f>P21-0</f>
        <v>21</v>
      </c>
      <c r="P21" s="81">
        <f>$F$20</f>
        <v>21</v>
      </c>
      <c r="Q21" s="129">
        <f>O21/$F$20</f>
        <v>1</v>
      </c>
      <c r="R21" s="129">
        <f>O21/P21</f>
        <v>1</v>
      </c>
      <c r="S21" s="127">
        <f>2*(Q21*R21)/(Q21+R21)</f>
        <v>1</v>
      </c>
      <c r="U21" s="81">
        <f>V21-0</f>
        <v>4</v>
      </c>
      <c r="V21" s="81">
        <f>G20</f>
        <v>4</v>
      </c>
      <c r="W21" s="129">
        <f>U21/$G$20</f>
        <v>1</v>
      </c>
      <c r="X21" s="129">
        <f>U21/V21</f>
        <v>1</v>
      </c>
      <c r="Y21" s="127">
        <f>2*(W21*X21)/(W21+X21)</f>
        <v>1</v>
      </c>
      <c r="AA21" s="81">
        <f>AB21-0</f>
        <v>21</v>
      </c>
      <c r="AB21" s="81">
        <f>I20</f>
        <v>21</v>
      </c>
      <c r="AC21" s="129">
        <f>AA21/$I$20</f>
        <v>1</v>
      </c>
      <c r="AD21" s="129">
        <f>AA21/AB21</f>
        <v>1</v>
      </c>
      <c r="AE21" s="127">
        <f>2*(AC21*AD21)/(AC21+AD21)</f>
        <v>1</v>
      </c>
      <c r="AG21">
        <f>AH21-0</f>
        <v>4</v>
      </c>
      <c r="AH21">
        <v>4</v>
      </c>
      <c r="AI21" s="127">
        <f>AG21/$H$20</f>
        <v>0.4</v>
      </c>
      <c r="AJ21" s="127">
        <f>AG21/AH21</f>
        <v>1</v>
      </c>
      <c r="AM21" s="122">
        <v>0</v>
      </c>
      <c r="AN21" s="101">
        <v>0</v>
      </c>
      <c r="AO21">
        <v>199</v>
      </c>
      <c r="AP21">
        <v>13</v>
      </c>
      <c r="AQ21" s="101">
        <v>13</v>
      </c>
      <c r="AR21" s="101">
        <v>13</v>
      </c>
      <c r="AS21">
        <v>0</v>
      </c>
      <c r="AT21">
        <v>0</v>
      </c>
      <c r="AU21">
        <v>0</v>
      </c>
      <c r="AV21" s="119">
        <v>11</v>
      </c>
      <c r="AW21" s="101">
        <f>($F$20-N21)/$F$20</f>
        <v>1</v>
      </c>
      <c r="AY21" s="101">
        <f>($G$20-AN21)/$G$20</f>
        <v>1</v>
      </c>
      <c r="AZ21" s="101">
        <f>AR21/AQ21</f>
        <v>1</v>
      </c>
      <c r="BA21" s="101">
        <v>0</v>
      </c>
      <c r="BB21" s="85">
        <f>(AW21+AY21+AZ21+BA21)/4</f>
        <v>0.75</v>
      </c>
      <c r="BC21" s="13">
        <f>AP21/$H$20</f>
        <v>1.3</v>
      </c>
      <c r="BD21" s="118">
        <f>AV21/AP21</f>
        <v>0.84615384615384615</v>
      </c>
      <c r="BE21" s="13">
        <f>AO21/AP21</f>
        <v>15.307692307692308</v>
      </c>
      <c r="BF21" s="13">
        <f>AT21/$H$20</f>
        <v>0</v>
      </c>
      <c r="BG21" s="13">
        <f>AR21/$H$20</f>
        <v>1.3</v>
      </c>
      <c r="BQ21" t="str">
        <f>_xlfn.CONCAT($C$20," &amp; ",C21," &amp; ",Q21," &amp; ",R21," &amp; ",S21," &amp; ",W21," &amp; ",X21," &amp; ",Y21," &amp; ",AC21," &amp; ",AD21," &amp; ",AE21," &amp; ",AG21," &amp; ",AH21," &amp; ",AI21," &amp; ",AJ21, " \\ \hline")</f>
        <v>3-2 &amp;  &amp; 1 &amp; 1 &amp; 1 &amp; 1 &amp; 1 &amp; 1 &amp; 1 &amp; 1 &amp; 1 &amp; 4 &amp; 4 &amp; 0.4 &amp; 1 \\ \hline</v>
      </c>
    </row>
    <row r="22" spans="1:69" ht="16">
      <c r="A22" t="s">
        <v>306</v>
      </c>
      <c r="C22" s="310"/>
      <c r="L22" s="47" t="s">
        <v>611</v>
      </c>
      <c r="M22" s="77"/>
      <c r="O22" s="81">
        <f>P22-0</f>
        <v>21</v>
      </c>
      <c r="P22" s="81">
        <f>$F$20</f>
        <v>21</v>
      </c>
      <c r="Q22" s="129">
        <f>O22/$F$20</f>
        <v>1</v>
      </c>
      <c r="R22" s="129">
        <f>O22/P22</f>
        <v>1</v>
      </c>
      <c r="S22" s="127">
        <f>2*(Q22*R22)/(Q22+R22)</f>
        <v>1</v>
      </c>
      <c r="U22" s="81">
        <v>4</v>
      </c>
      <c r="V22" s="81">
        <v>4</v>
      </c>
      <c r="W22" s="129">
        <f>U22/$G$20</f>
        <v>1</v>
      </c>
      <c r="X22" s="129">
        <f>U22/V22</f>
        <v>1</v>
      </c>
      <c r="Y22" s="127">
        <f>2*(W22*X22)/(W22+X22)</f>
        <v>1</v>
      </c>
      <c r="AA22" s="81">
        <v>21</v>
      </c>
      <c r="AB22" s="81">
        <v>21</v>
      </c>
      <c r="AC22" s="129">
        <f>AA22/$I$20</f>
        <v>1</v>
      </c>
      <c r="AD22" s="129">
        <f>AA22/AB22</f>
        <v>1</v>
      </c>
      <c r="AE22" s="127">
        <f>2*(AC22*AD22)/(AC22+AD22)</f>
        <v>1</v>
      </c>
      <c r="AG22">
        <v>5</v>
      </c>
      <c r="AH22">
        <v>5</v>
      </c>
      <c r="AI22" s="127">
        <f>AG22/$H$20</f>
        <v>0.5</v>
      </c>
      <c r="AJ22" s="127">
        <f>AG22/AH22</f>
        <v>1</v>
      </c>
      <c r="AM22" s="122">
        <v>0</v>
      </c>
      <c r="AN22" s="101">
        <v>0</v>
      </c>
      <c r="AO22">
        <v>397</v>
      </c>
      <c r="AP22" s="107">
        <v>22</v>
      </c>
      <c r="AQ22" s="101">
        <v>12</v>
      </c>
      <c r="AR22" s="101">
        <v>12</v>
      </c>
      <c r="AS22">
        <v>8</v>
      </c>
      <c r="AT22">
        <v>8</v>
      </c>
      <c r="AU22">
        <v>2</v>
      </c>
      <c r="AV22" s="119">
        <v>9</v>
      </c>
      <c r="AW22" s="101">
        <f>($F$14-N22)/$F$14</f>
        <v>1</v>
      </c>
      <c r="AY22" s="101">
        <f>($G$14-AN22)/$G$14</f>
        <v>1</v>
      </c>
      <c r="AZ22" s="101">
        <f>AR22/AQ22</f>
        <v>1</v>
      </c>
      <c r="BA22" s="101">
        <f>AT22/AS22</f>
        <v>1</v>
      </c>
      <c r="BB22" s="85">
        <f>(AW22+AY22+AZ22+BA22)/4</f>
        <v>1</v>
      </c>
      <c r="BC22" s="13">
        <f>AP22/$H$20</f>
        <v>2.2000000000000002</v>
      </c>
      <c r="BD22" s="118">
        <f>AV22/AP22</f>
        <v>0.40909090909090912</v>
      </c>
      <c r="BE22" s="13">
        <f>AO22/AP22</f>
        <v>18.045454545454547</v>
      </c>
      <c r="BF22" s="13">
        <f>AT22/$H$20</f>
        <v>0.8</v>
      </c>
      <c r="BG22" s="13">
        <f>AR22/$H$20</f>
        <v>1.2</v>
      </c>
      <c r="BQ22" t="str">
        <f t="shared" ref="BQ22:BQ24" si="3">_xlfn.CONCAT($C$20," &amp; ",C22," &amp; ",Q22," &amp; ",R22," &amp; ",S22," &amp; ",W22," &amp; ",X22," &amp; ",Y22," &amp; ",AC22," &amp; ",AD22," &amp; ",AE22," &amp; ",AG22," &amp; ",AH22," &amp; ",AI22," &amp; ",AJ22, " \\ \hline")</f>
        <v>3-2 &amp;  &amp; 1 &amp; 1 &amp; 1 &amp; 1 &amp; 1 &amp; 1 &amp; 1 &amp; 1 &amp; 1 &amp; 5 &amp; 5 &amp; 0.5 &amp; 1 \\ \hline</v>
      </c>
    </row>
    <row r="23" spans="1:69" ht="16">
      <c r="A23" t="s">
        <v>307</v>
      </c>
      <c r="C23" s="310"/>
      <c r="L23" s="47" t="s">
        <v>612</v>
      </c>
      <c r="M23" s="77"/>
      <c r="O23" s="81">
        <f>P23-0</f>
        <v>21</v>
      </c>
      <c r="P23" s="81">
        <f>$F$20</f>
        <v>21</v>
      </c>
      <c r="Q23" s="129">
        <f>O23/$F$20</f>
        <v>1</v>
      </c>
      <c r="R23" s="129">
        <f>O23/P23</f>
        <v>1</v>
      </c>
      <c r="S23" s="127">
        <f>2*(Q23*R23)/(Q23+R23)</f>
        <v>1</v>
      </c>
      <c r="U23" s="81">
        <v>4</v>
      </c>
      <c r="V23" s="81">
        <v>4</v>
      </c>
      <c r="W23" s="129">
        <f>U23/$G$20</f>
        <v>1</v>
      </c>
      <c r="X23" s="129">
        <f>U23/V23</f>
        <v>1</v>
      </c>
      <c r="Y23" s="127">
        <f>2*(W23*X23)/(W23+X23)</f>
        <v>1</v>
      </c>
      <c r="AA23" s="81">
        <v>21</v>
      </c>
      <c r="AB23" s="81">
        <v>21</v>
      </c>
      <c r="AC23" s="129">
        <f>AA23/$I$20</f>
        <v>1</v>
      </c>
      <c r="AD23" s="129">
        <f>AA23/AB23</f>
        <v>1</v>
      </c>
      <c r="AE23" s="127">
        <f>2*(AC23*AD23)/(AC23+AD23)</f>
        <v>1</v>
      </c>
      <c r="AG23">
        <f>AH23</f>
        <v>7</v>
      </c>
      <c r="AH23">
        <v>7</v>
      </c>
      <c r="AI23" s="127">
        <f>AG23/$H$20</f>
        <v>0.7</v>
      </c>
      <c r="AJ23" s="127">
        <f>AG23/AH23</f>
        <v>1</v>
      </c>
      <c r="AM23" s="122">
        <v>0</v>
      </c>
      <c r="AN23" s="101">
        <v>0</v>
      </c>
      <c r="AO23">
        <v>216</v>
      </c>
      <c r="AP23">
        <v>14</v>
      </c>
      <c r="AQ23" s="101">
        <v>11</v>
      </c>
      <c r="AR23" s="101">
        <v>11</v>
      </c>
      <c r="AS23">
        <v>3</v>
      </c>
      <c r="AT23">
        <v>3</v>
      </c>
      <c r="AU23">
        <v>0</v>
      </c>
      <c r="AV23" s="119">
        <v>8</v>
      </c>
      <c r="AW23" s="101">
        <f>($F$14-N23)/$F$14</f>
        <v>1</v>
      </c>
      <c r="AY23" s="101">
        <f>($G$14-AN23)/$G$14</f>
        <v>1</v>
      </c>
      <c r="AZ23" s="101">
        <f>AR23/AQ23</f>
        <v>1</v>
      </c>
      <c r="BA23" s="101">
        <f>AT23/AS23</f>
        <v>1</v>
      </c>
      <c r="BB23" s="85">
        <f>(AW23+AY23+AZ23+BA23)/4</f>
        <v>1</v>
      </c>
      <c r="BC23" s="13">
        <f>AP23/$H$20</f>
        <v>1.4</v>
      </c>
      <c r="BD23" s="118">
        <f>AV23/AP23</f>
        <v>0.5714285714285714</v>
      </c>
      <c r="BE23" s="13">
        <f>AO23/AP23</f>
        <v>15.428571428571429</v>
      </c>
      <c r="BF23" s="13">
        <f>AT23/$H$20</f>
        <v>0.3</v>
      </c>
      <c r="BG23" s="13">
        <f>AR23/$H$20</f>
        <v>1.1000000000000001</v>
      </c>
      <c r="BQ23" t="str">
        <f t="shared" si="3"/>
        <v>3-2 &amp;  &amp; 1 &amp; 1 &amp; 1 &amp; 1 &amp; 1 &amp; 1 &amp; 1 &amp; 1 &amp; 1 &amp; 7 &amp; 7 &amp; 0.7 &amp; 1 \\ \hline</v>
      </c>
    </row>
    <row r="24" spans="1:69" ht="16">
      <c r="A24" t="s">
        <v>308</v>
      </c>
      <c r="C24" s="310"/>
      <c r="L24" s="47" t="s">
        <v>613</v>
      </c>
      <c r="M24" s="77"/>
      <c r="O24" s="81">
        <f>P24-0</f>
        <v>21</v>
      </c>
      <c r="P24" s="81">
        <f>$F$20</f>
        <v>21</v>
      </c>
      <c r="Q24" s="129">
        <f>O24/$F$20</f>
        <v>1</v>
      </c>
      <c r="R24" s="129">
        <f>O24/P24</f>
        <v>1</v>
      </c>
      <c r="S24" s="127">
        <f>2*(Q24*R24)/(Q24+R24)</f>
        <v>1</v>
      </c>
      <c r="U24" s="81">
        <v>4</v>
      </c>
      <c r="V24" s="81">
        <v>4</v>
      </c>
      <c r="W24" s="129">
        <f>U24/$G$20</f>
        <v>1</v>
      </c>
      <c r="X24" s="129">
        <f>U24/V24</f>
        <v>1</v>
      </c>
      <c r="Y24" s="127">
        <f>2*(W24*X24)/(W24+X24)</f>
        <v>1</v>
      </c>
      <c r="AA24" s="81">
        <v>21</v>
      </c>
      <c r="AB24" s="81">
        <v>21</v>
      </c>
      <c r="AC24" s="129">
        <f>AA24/$I$20</f>
        <v>1</v>
      </c>
      <c r="AD24" s="129">
        <f>AA24/AB24</f>
        <v>1</v>
      </c>
      <c r="AE24" s="127">
        <f>2*(AC24*AD24)/(AC24+AD24)</f>
        <v>1</v>
      </c>
      <c r="AG24">
        <v>7</v>
      </c>
      <c r="AH24">
        <v>7</v>
      </c>
      <c r="AI24" s="127">
        <f>AG24/$H$20</f>
        <v>0.7</v>
      </c>
      <c r="AJ24" s="127">
        <f>AG24/AH24</f>
        <v>1</v>
      </c>
      <c r="AM24" s="122">
        <v>0</v>
      </c>
      <c r="AN24" s="101">
        <v>0</v>
      </c>
      <c r="AO24">
        <v>215</v>
      </c>
      <c r="AP24">
        <v>14</v>
      </c>
      <c r="AQ24" s="101">
        <v>12</v>
      </c>
      <c r="AR24" s="101">
        <v>12</v>
      </c>
      <c r="AS24">
        <v>2</v>
      </c>
      <c r="AT24">
        <v>2</v>
      </c>
      <c r="AU24">
        <v>0</v>
      </c>
      <c r="AV24" s="119">
        <v>10</v>
      </c>
      <c r="AW24" s="101">
        <f>($F$14-N24)/$F$14</f>
        <v>1</v>
      </c>
      <c r="AY24" s="101">
        <f>($G$14-AN24)/$G$14</f>
        <v>1</v>
      </c>
      <c r="AZ24" s="101">
        <f>AR24/AQ24</f>
        <v>1</v>
      </c>
      <c r="BA24" s="101">
        <f>AT24/AS24</f>
        <v>1</v>
      </c>
      <c r="BB24" s="85">
        <f>(AW24+AY24+AZ24+BA24)/4</f>
        <v>1</v>
      </c>
      <c r="BC24" s="13">
        <f>AP24/$H$20</f>
        <v>1.4</v>
      </c>
      <c r="BD24" s="118">
        <f>AV24/AP24</f>
        <v>0.7142857142857143</v>
      </c>
      <c r="BE24" s="13">
        <f>AO24/AP24</f>
        <v>15.357142857142858</v>
      </c>
      <c r="BF24" s="13">
        <f>AT24/$H$20</f>
        <v>0.2</v>
      </c>
      <c r="BG24" s="13">
        <f>AR24/$H$20</f>
        <v>1.2</v>
      </c>
      <c r="BQ24" t="str">
        <f t="shared" si="3"/>
        <v>3-2 &amp;  &amp; 1 &amp; 1 &amp; 1 &amp; 1 &amp; 1 &amp; 1 &amp; 1 &amp; 1 &amp; 1 &amp; 7 &amp; 7 &amp; 0.7 &amp; 1 \\ \hline</v>
      </c>
    </row>
    <row r="25" spans="1:69">
      <c r="C25" s="98"/>
      <c r="Q25" s="129"/>
      <c r="R25" s="129"/>
      <c r="S25" s="127"/>
      <c r="W25" s="129"/>
      <c r="X25" s="129"/>
      <c r="Y25" s="127"/>
      <c r="AC25" s="129"/>
      <c r="AD25" s="129"/>
      <c r="AE25" s="127"/>
      <c r="AG25"/>
      <c r="AH25"/>
      <c r="AI25" s="127"/>
      <c r="AJ25" s="131"/>
    </row>
    <row r="26" spans="1:69" s="73" customFormat="1">
      <c r="A26" s="73" t="s">
        <v>314</v>
      </c>
      <c r="B26" s="94">
        <v>45178</v>
      </c>
      <c r="C26" s="93" t="s">
        <v>173</v>
      </c>
      <c r="D26" s="78">
        <f>VLOOKUP($C$26,Overview!$Q$2:$AS$64,23,FALSE)</f>
        <v>0.22869210498506434</v>
      </c>
      <c r="E26" s="78" t="str">
        <f>VLOOKUP($C$26,Overview!$Q$2:$AS$64,24,FALSE)</f>
        <v>low</v>
      </c>
      <c r="F26" s="75">
        <f>VLOOKUP(C26,Overview!$Q$2:$AS$64,13,FALSE)</f>
        <v>19</v>
      </c>
      <c r="G26" s="75">
        <f>VLOOKUP(C26,Overview!$Q$2:$AS$64,16,FALSE)</f>
        <v>9</v>
      </c>
      <c r="H26" s="75">
        <f>VLOOKUP(C26,Overview!$Q$2:$AS$64,18,FALSE)</f>
        <v>8</v>
      </c>
      <c r="I26" s="75">
        <f>VLOOKUP($C$26,Overview!$Q$2:$AS$64,19,FALSE)</f>
        <v>17</v>
      </c>
      <c r="K26" s="157" t="str">
        <f>VLOOKUP($C$26,Overview!$Q$2:$AS$64,5,FALSE)</f>
        <v>6-2, 3-8</v>
      </c>
      <c r="L26" s="91"/>
      <c r="N26" s="114"/>
      <c r="O26" s="80"/>
      <c r="P26" s="80"/>
      <c r="Q26" s="130"/>
      <c r="R26" s="130"/>
      <c r="S26" s="128"/>
      <c r="T26" s="114"/>
      <c r="U26" s="80"/>
      <c r="V26" s="80"/>
      <c r="W26" s="130"/>
      <c r="X26" s="130"/>
      <c r="Y26" s="128"/>
      <c r="Z26" s="114"/>
      <c r="AA26" s="80"/>
      <c r="AB26" s="80"/>
      <c r="AC26" s="130"/>
      <c r="AD26" s="130"/>
      <c r="AE26" s="128"/>
      <c r="AF26" s="114"/>
      <c r="AI26" s="128"/>
      <c r="AJ26" s="128"/>
      <c r="AK26" s="80"/>
      <c r="AL26" s="114"/>
      <c r="AM26" s="121"/>
      <c r="AN26" s="100"/>
      <c r="AQ26" s="100"/>
      <c r="AR26" s="100"/>
      <c r="AV26" s="120"/>
      <c r="AW26" s="100"/>
      <c r="AX26" s="100"/>
      <c r="AY26" s="100"/>
      <c r="AZ26" s="100"/>
      <c r="BA26" s="100"/>
      <c r="BB26" s="84"/>
      <c r="BD26" s="100"/>
      <c r="BQ26"/>
    </row>
    <row r="27" spans="1:69" ht="16">
      <c r="A27" t="s">
        <v>305</v>
      </c>
      <c r="C27" s="310"/>
      <c r="L27" s="47" t="s">
        <v>610</v>
      </c>
      <c r="M27" s="77"/>
      <c r="O27" s="81">
        <f>P27-6</f>
        <v>10</v>
      </c>
      <c r="P27" s="81">
        <f>$F$26-3</f>
        <v>16</v>
      </c>
      <c r="Q27" s="129">
        <f>O27/$F$26</f>
        <v>0.52631578947368418</v>
      </c>
      <c r="R27" s="129">
        <f>O27/P27</f>
        <v>0.625</v>
      </c>
      <c r="S27" s="127">
        <f>2*(Q27*R27)/(Q27+R27)</f>
        <v>0.5714285714285714</v>
      </c>
      <c r="U27" s="81">
        <f>V27-0</f>
        <v>5</v>
      </c>
      <c r="V27" s="81">
        <f>$G$26-4</f>
        <v>5</v>
      </c>
      <c r="W27" s="129">
        <f>U27/$G$26</f>
        <v>0.55555555555555558</v>
      </c>
      <c r="X27" s="129">
        <f>U27/V27</f>
        <v>1</v>
      </c>
      <c r="Y27" s="127">
        <f>2*(W27*X27)/(W27+X27)</f>
        <v>0.7142857142857143</v>
      </c>
      <c r="AA27" s="81">
        <f>AB27-5</f>
        <v>9</v>
      </c>
      <c r="AB27" s="81">
        <f>$I$26-3</f>
        <v>14</v>
      </c>
      <c r="AC27" s="129">
        <f>AA27/$I$26</f>
        <v>0.52941176470588236</v>
      </c>
      <c r="AD27" s="129">
        <f>AA27/AB27</f>
        <v>0.6428571428571429</v>
      </c>
      <c r="AE27" s="127">
        <f>2*(AC27*AD27)/(AC27+AD27)</f>
        <v>0.58064516129032262</v>
      </c>
      <c r="AG27">
        <f>AH27-0</f>
        <v>9</v>
      </c>
      <c r="AH27">
        <v>9</v>
      </c>
      <c r="AI27" s="127">
        <f>AG27/$H$26</f>
        <v>1.125</v>
      </c>
      <c r="AJ27" s="127">
        <f>AG27/AH27</f>
        <v>1</v>
      </c>
      <c r="AM27" s="122">
        <v>0</v>
      </c>
      <c r="AN27" s="101">
        <v>0</v>
      </c>
      <c r="AO27">
        <v>276</v>
      </c>
      <c r="AP27">
        <v>13</v>
      </c>
      <c r="AQ27" s="101">
        <v>11</v>
      </c>
      <c r="AR27" s="101">
        <v>11</v>
      </c>
      <c r="AS27">
        <v>2</v>
      </c>
      <c r="AT27">
        <v>2</v>
      </c>
      <c r="AU27">
        <v>0</v>
      </c>
      <c r="AV27" s="119">
        <v>10</v>
      </c>
      <c r="AW27" s="101">
        <f>($F$26-N27)/$F$26</f>
        <v>1</v>
      </c>
      <c r="AY27" s="101">
        <f>($G$26-AN27)/$G$26</f>
        <v>1</v>
      </c>
      <c r="AZ27" s="101">
        <f>AR27/AQ27</f>
        <v>1</v>
      </c>
      <c r="BA27" s="101">
        <f>AT27/AS27</f>
        <v>1</v>
      </c>
      <c r="BB27" s="85">
        <f>(AW27+AY27+AZ27+BA27)/4</f>
        <v>1</v>
      </c>
      <c r="BC27" s="13">
        <f>AP27/$H$26</f>
        <v>1.625</v>
      </c>
      <c r="BD27" s="118">
        <f>AV27/AP27</f>
        <v>0.76923076923076927</v>
      </c>
      <c r="BE27" s="13">
        <f>AO27/AP27</f>
        <v>21.23076923076923</v>
      </c>
      <c r="BF27" s="13">
        <f>AT27/$H$26</f>
        <v>0.25</v>
      </c>
      <c r="BG27" s="13">
        <f>AR27/$H$26</f>
        <v>1.375</v>
      </c>
      <c r="BQ27" t="str">
        <f>_xlfn.CONCAT($C$26," &amp; ",C27," &amp; ",Q27," &amp; ",R27," &amp; ",S27," &amp; ",W27," &amp; ",X27," &amp; ",Y27," &amp; ",AC27," &amp; ",AD27," &amp; ",AE27," &amp; ",AG27," &amp; ",AH27," &amp; ",AI27," &amp; ",AJ27, " \\ \hline")</f>
        <v>10-5 &amp;  &amp; 0.526315789473684 &amp; 0.625 &amp; 0.571428571428571 &amp; 0.555555555555556 &amp; 1 &amp; 0.714285714285714 &amp; 0.529411764705882 &amp; 0.642857142857143 &amp; 0.580645161290323 &amp; 9 &amp; 9 &amp; 1.125 &amp; 1 \\ \hline</v>
      </c>
    </row>
    <row r="28" spans="1:69" ht="16">
      <c r="A28" t="s">
        <v>306</v>
      </c>
      <c r="C28" s="310"/>
      <c r="L28" s="47" t="s">
        <v>611</v>
      </c>
      <c r="M28" s="109"/>
      <c r="O28" s="81">
        <f>P28-2</f>
        <v>14</v>
      </c>
      <c r="P28" s="81">
        <f>$F$26-3</f>
        <v>16</v>
      </c>
      <c r="Q28" s="129">
        <f>O28/$F$26</f>
        <v>0.73684210526315785</v>
      </c>
      <c r="R28" s="129">
        <f>O28/P28</f>
        <v>0.875</v>
      </c>
      <c r="S28" s="127">
        <f>2*(Q28*R28)/(Q28+R28)</f>
        <v>0.79999999999999993</v>
      </c>
      <c r="U28" s="81">
        <f>V28-0</f>
        <v>8</v>
      </c>
      <c r="V28" s="81">
        <f>$G$26-1</f>
        <v>8</v>
      </c>
      <c r="W28" s="129">
        <f>U28/$G$26</f>
        <v>0.88888888888888884</v>
      </c>
      <c r="X28" s="129">
        <f>U28/V28</f>
        <v>1</v>
      </c>
      <c r="Y28" s="127">
        <f>2*(W28*X28)/(W28+X28)</f>
        <v>0.94117647058823528</v>
      </c>
      <c r="AA28" s="81">
        <f>AB28</f>
        <v>14</v>
      </c>
      <c r="AB28" s="81">
        <f>$I$26-3</f>
        <v>14</v>
      </c>
      <c r="AC28" s="129">
        <f>AA28/$I$26</f>
        <v>0.82352941176470584</v>
      </c>
      <c r="AD28" s="129">
        <f>AA28/AB28</f>
        <v>1</v>
      </c>
      <c r="AE28" s="127">
        <f>2*(AC28*AD28)/(AC28+AD28)</f>
        <v>0.90322580645161288</v>
      </c>
      <c r="AG28">
        <f>AH28-0</f>
        <v>6</v>
      </c>
      <c r="AH28">
        <v>6</v>
      </c>
      <c r="AI28" s="127">
        <f>AG28/$H$26</f>
        <v>0.75</v>
      </c>
      <c r="AJ28" s="127">
        <f>AG28/AH28</f>
        <v>1</v>
      </c>
      <c r="AM28" s="122">
        <v>0</v>
      </c>
      <c r="AN28" s="101">
        <v>0</v>
      </c>
      <c r="AO28">
        <v>295</v>
      </c>
      <c r="AP28">
        <v>17</v>
      </c>
      <c r="AQ28" s="101">
        <v>10</v>
      </c>
      <c r="AR28" s="101">
        <v>10</v>
      </c>
      <c r="AS28">
        <v>5</v>
      </c>
      <c r="AT28">
        <v>5</v>
      </c>
      <c r="AU28">
        <v>0</v>
      </c>
      <c r="AV28" s="119">
        <v>7</v>
      </c>
      <c r="AW28" s="101">
        <f>($F$14-N28)/$F$14</f>
        <v>1</v>
      </c>
      <c r="AY28" s="101">
        <f>($G$14-AN28)/$G$14</f>
        <v>1</v>
      </c>
      <c r="AZ28" s="101">
        <f>AR28/AQ28</f>
        <v>1</v>
      </c>
      <c r="BA28" s="101">
        <f>AT28/AS28</f>
        <v>1</v>
      </c>
      <c r="BB28" s="85">
        <f>(AW28+AY28+AZ28+BA28)/4</f>
        <v>1</v>
      </c>
      <c r="BC28" s="13">
        <f>AP28/$H$26</f>
        <v>2.125</v>
      </c>
      <c r="BD28" s="118">
        <f>AV28/AP28</f>
        <v>0.41176470588235292</v>
      </c>
      <c r="BE28" s="13">
        <f>AO28/AP28</f>
        <v>17.352941176470587</v>
      </c>
      <c r="BF28" s="13">
        <f>AT28/$H$26</f>
        <v>0.625</v>
      </c>
      <c r="BG28" s="13">
        <f>AR28/$H$26</f>
        <v>1.25</v>
      </c>
      <c r="BQ28" t="str">
        <f t="shared" ref="BQ28:BQ30" si="4">_xlfn.CONCAT($C$26," &amp; ",C28," &amp; ",Q28," &amp; ",R28," &amp; ",S28," &amp; ",W28," &amp; ",X28," &amp; ",Y28," &amp; ",AC28," &amp; ",AD28," &amp; ",AE28," &amp; ",AG28," &amp; ",AH28," &amp; ",AI28," &amp; ",AJ28, " \\ \hline")</f>
        <v>10-5 &amp;  &amp; 0.736842105263158 &amp; 0.875 &amp; 0.8 &amp; 0.888888888888889 &amp; 1 &amp; 0.941176470588235 &amp; 0.823529411764706 &amp; 1 &amp; 0.903225806451613 &amp; 6 &amp; 6 &amp; 0.75 &amp; 1 \\ \hline</v>
      </c>
    </row>
    <row r="29" spans="1:69" ht="16">
      <c r="A29" t="s">
        <v>307</v>
      </c>
      <c r="C29" s="310"/>
      <c r="L29" s="47" t="s">
        <v>612</v>
      </c>
      <c r="M29" s="77"/>
      <c r="O29" s="81">
        <f>P29-1</f>
        <v>15</v>
      </c>
      <c r="P29" s="81">
        <f>$F$26-3</f>
        <v>16</v>
      </c>
      <c r="Q29" s="129">
        <f>O29/$F$26</f>
        <v>0.78947368421052633</v>
      </c>
      <c r="R29" s="129">
        <f>O29/P29</f>
        <v>0.9375</v>
      </c>
      <c r="S29" s="127">
        <f>2*(Q29*R29)/(Q29+R29)</f>
        <v>0.85714285714285721</v>
      </c>
      <c r="U29" s="81">
        <f>V29-0</f>
        <v>8</v>
      </c>
      <c r="V29" s="81">
        <f>$G$26-1</f>
        <v>8</v>
      </c>
      <c r="W29" s="129">
        <f>U29/$G$26</f>
        <v>0.88888888888888884</v>
      </c>
      <c r="X29" s="129">
        <f>U29/V29</f>
        <v>1</v>
      </c>
      <c r="Y29" s="127">
        <f>2*(W29*X29)/(W29+X29)</f>
        <v>0.94117647058823528</v>
      </c>
      <c r="AA29" s="81">
        <f>AB29-0</f>
        <v>14</v>
      </c>
      <c r="AB29" s="81">
        <f>$I$26-3</f>
        <v>14</v>
      </c>
      <c r="AC29" s="129">
        <f>AA29/$I$26</f>
        <v>0.82352941176470584</v>
      </c>
      <c r="AD29" s="129">
        <f>AA29/AB29</f>
        <v>1</v>
      </c>
      <c r="AE29" s="127">
        <f>2*(AC29*AD29)/(AC29+AD29)</f>
        <v>0.90322580645161288</v>
      </c>
      <c r="AG29">
        <f>AH29-0</f>
        <v>12</v>
      </c>
      <c r="AH29">
        <v>12</v>
      </c>
      <c r="AI29" s="127">
        <f>AG29/$H$26</f>
        <v>1.5</v>
      </c>
      <c r="AJ29" s="127">
        <f>AG29/AH29</f>
        <v>1</v>
      </c>
      <c r="AM29" s="122">
        <v>0</v>
      </c>
      <c r="AN29" s="101">
        <v>0</v>
      </c>
      <c r="AO29">
        <v>344</v>
      </c>
      <c r="AP29">
        <v>19</v>
      </c>
      <c r="AQ29" s="101">
        <v>13</v>
      </c>
      <c r="AR29" s="101">
        <v>13</v>
      </c>
      <c r="AS29">
        <v>5</v>
      </c>
      <c r="AT29">
        <v>5</v>
      </c>
      <c r="AU29">
        <v>0</v>
      </c>
      <c r="AV29" s="119">
        <v>7</v>
      </c>
      <c r="AW29" s="101">
        <f>($F$14-N29)/$F$14</f>
        <v>1</v>
      </c>
      <c r="AY29" s="101">
        <f>($G$14-AN29)/$G$14</f>
        <v>1</v>
      </c>
      <c r="AZ29" s="101">
        <f>AR29/AQ29</f>
        <v>1</v>
      </c>
      <c r="BA29" s="101">
        <f>AT29/AS29</f>
        <v>1</v>
      </c>
      <c r="BB29" s="85">
        <f>(AW29+AY29+AZ29+BA29)/4</f>
        <v>1</v>
      </c>
      <c r="BC29" s="13">
        <f>AP29/$H$26</f>
        <v>2.375</v>
      </c>
      <c r="BD29" s="118">
        <f>AV29/AP29</f>
        <v>0.36842105263157893</v>
      </c>
      <c r="BE29" s="13">
        <f>AO29/AP29</f>
        <v>18.105263157894736</v>
      </c>
      <c r="BF29" s="13">
        <f>AT29/$H$26</f>
        <v>0.625</v>
      </c>
      <c r="BG29" s="13">
        <f>AR29/$H$26</f>
        <v>1.625</v>
      </c>
      <c r="BQ29" t="str">
        <f t="shared" si="4"/>
        <v>10-5 &amp;  &amp; 0.789473684210526 &amp; 0.9375 &amp; 0.857142857142857 &amp; 0.888888888888889 &amp; 1 &amp; 0.941176470588235 &amp; 0.823529411764706 &amp; 1 &amp; 0.903225806451613 &amp; 12 &amp; 12 &amp; 1.5 &amp; 1 \\ \hline</v>
      </c>
    </row>
    <row r="30" spans="1:69" ht="16">
      <c r="A30" t="s">
        <v>308</v>
      </c>
      <c r="C30" s="310"/>
      <c r="L30" s="47" t="s">
        <v>613</v>
      </c>
      <c r="M30" s="77"/>
      <c r="O30" s="81">
        <f>P30-2</f>
        <v>14</v>
      </c>
      <c r="P30" s="81">
        <f>$F$26-3</f>
        <v>16</v>
      </c>
      <c r="Q30" s="129">
        <f>O30/$F$26</f>
        <v>0.73684210526315785</v>
      </c>
      <c r="R30" s="129">
        <f>O30/P30</f>
        <v>0.875</v>
      </c>
      <c r="S30" s="127">
        <f>2*(Q30*R30)/(Q30+R30)</f>
        <v>0.79999999999999993</v>
      </c>
      <c r="U30" s="81">
        <f>V30-0</f>
        <v>7</v>
      </c>
      <c r="V30" s="81">
        <f>$G$26-2</f>
        <v>7</v>
      </c>
      <c r="W30" s="129">
        <f>U30/$G$26</f>
        <v>0.77777777777777779</v>
      </c>
      <c r="X30" s="129">
        <f>U30/V30</f>
        <v>1</v>
      </c>
      <c r="Y30" s="127">
        <f>2*(W30*X30)/(W30+X30)</f>
        <v>0.87500000000000011</v>
      </c>
      <c r="AA30" s="81">
        <f>AB30-1</f>
        <v>13</v>
      </c>
      <c r="AB30" s="81">
        <f>$I$26-3</f>
        <v>14</v>
      </c>
      <c r="AC30" s="129">
        <f>AA30/$I$26</f>
        <v>0.76470588235294112</v>
      </c>
      <c r="AD30" s="129">
        <f>AA30/AB30</f>
        <v>0.9285714285714286</v>
      </c>
      <c r="AE30" s="127">
        <f>2*(AC30*AD30)/(AC30+AD30)</f>
        <v>0.83870967741935487</v>
      </c>
      <c r="AG30">
        <f>AH30-0</f>
        <v>5</v>
      </c>
      <c r="AH30">
        <v>5</v>
      </c>
      <c r="AI30" s="127">
        <f>AG30/$H$26</f>
        <v>0.625</v>
      </c>
      <c r="AJ30" s="127">
        <f>AG30/AH30</f>
        <v>1</v>
      </c>
      <c r="AM30" s="122">
        <v>0</v>
      </c>
      <c r="AN30" s="101">
        <v>0</v>
      </c>
      <c r="AO30">
        <v>323</v>
      </c>
      <c r="AP30">
        <v>16</v>
      </c>
      <c r="AQ30" s="101">
        <v>9</v>
      </c>
      <c r="AR30" s="101">
        <v>9</v>
      </c>
      <c r="AS30">
        <v>7</v>
      </c>
      <c r="AT30">
        <v>7</v>
      </c>
      <c r="AU30">
        <v>0</v>
      </c>
      <c r="AV30" s="119">
        <v>11</v>
      </c>
      <c r="AW30" s="101">
        <f>($F$14-N30)/$F$14</f>
        <v>1</v>
      </c>
      <c r="AY30" s="101">
        <f>($G$14-AN30)/$G$14</f>
        <v>1</v>
      </c>
      <c r="AZ30" s="101">
        <f>AR30/AQ30</f>
        <v>1</v>
      </c>
      <c r="BA30" s="101">
        <f>AT30/AS30</f>
        <v>1</v>
      </c>
      <c r="BB30" s="85">
        <f>(AW30+AY30+AZ30+BA30)/4</f>
        <v>1</v>
      </c>
      <c r="BC30" s="13">
        <f>AP30/$H$26</f>
        <v>2</v>
      </c>
      <c r="BD30" s="118">
        <f>AV30/AP30</f>
        <v>0.6875</v>
      </c>
      <c r="BE30" s="13">
        <f>AO30/AP30</f>
        <v>20.1875</v>
      </c>
      <c r="BF30" s="13">
        <f>AT30/$H$26</f>
        <v>0.875</v>
      </c>
      <c r="BG30" s="13">
        <f>AR30/$H$26</f>
        <v>1.125</v>
      </c>
      <c r="BQ30" t="str">
        <f t="shared" si="4"/>
        <v>10-5 &amp;  &amp; 0.736842105263158 &amp; 0.875 &amp; 0.8 &amp; 0.777777777777778 &amp; 1 &amp; 0.875 &amp; 0.764705882352941 &amp; 0.928571428571429 &amp; 0.838709677419355 &amp; 5 &amp; 5 &amp; 0.625 &amp; 1 \\ \hline</v>
      </c>
    </row>
    <row r="31" spans="1:69">
      <c r="C31" s="98"/>
      <c r="L31" s="48"/>
      <c r="M31" s="77"/>
      <c r="Q31" s="129"/>
      <c r="R31" s="129"/>
      <c r="S31" s="127"/>
      <c r="W31" s="129"/>
      <c r="X31" s="129"/>
      <c r="Y31" s="127"/>
      <c r="AC31" s="129"/>
      <c r="AD31" s="129"/>
      <c r="AE31" s="127"/>
      <c r="AG31"/>
      <c r="AH31"/>
      <c r="AI31" s="127"/>
      <c r="AJ31" s="127"/>
      <c r="BC31" s="13"/>
      <c r="BD31" s="118"/>
      <c r="BE31" s="13"/>
      <c r="BF31" s="13"/>
      <c r="BG31" s="13"/>
    </row>
    <row r="32" spans="1:69" s="73" customFormat="1">
      <c r="A32" s="73" t="s">
        <v>345</v>
      </c>
      <c r="B32" s="94">
        <v>45178</v>
      </c>
      <c r="C32" s="99" t="s">
        <v>152</v>
      </c>
      <c r="D32" s="78">
        <f>VLOOKUP($C$32,Overview!$Q$2:$AS$64,23,FALSE)</f>
        <v>0.27921546848638013</v>
      </c>
      <c r="E32" s="78" t="str">
        <f>VLOOKUP($C$32,Overview!$Q$2:$AS$64,24,FALSE)</f>
        <v>low</v>
      </c>
      <c r="F32" s="75">
        <f>VLOOKUP(C32,Overview!$Q$2:$AS$64,13,FALSE)</f>
        <v>20</v>
      </c>
      <c r="G32" s="75">
        <f>VLOOKUP(C32,Overview!$Q$2:$AS$64,16,FALSE)</f>
        <v>8</v>
      </c>
      <c r="H32" s="75">
        <f>VLOOKUP(C32,Overview!$Q$2:$AS$64,18,FALSE)</f>
        <v>8</v>
      </c>
      <c r="I32" s="75">
        <f>VLOOKUP($C$32,Overview!$Q$2:$AS$64,19,FALSE)</f>
        <v>16</v>
      </c>
      <c r="K32" s="75" t="str">
        <f>VLOOKUP($C$32,Overview!$Q$2:$AS$64,5,FALSE)</f>
        <v>6-2, 3-8</v>
      </c>
      <c r="L32" s="91"/>
      <c r="N32" s="114"/>
      <c r="O32" s="80"/>
      <c r="P32" s="80"/>
      <c r="Q32" s="130"/>
      <c r="R32" s="130"/>
      <c r="S32" s="128"/>
      <c r="T32" s="114"/>
      <c r="U32" s="80"/>
      <c r="V32" s="80"/>
      <c r="W32" s="130"/>
      <c r="X32" s="130"/>
      <c r="Y32" s="128"/>
      <c r="Z32" s="114"/>
      <c r="AA32" s="80"/>
      <c r="AB32" s="80"/>
      <c r="AC32" s="130"/>
      <c r="AD32" s="130"/>
      <c r="AE32" s="128"/>
      <c r="AF32" s="114"/>
      <c r="AI32" s="128"/>
      <c r="AJ32" s="128"/>
      <c r="AK32" s="80"/>
      <c r="AL32" s="114"/>
      <c r="AM32" s="121"/>
      <c r="AN32" s="100"/>
      <c r="AQ32" s="100"/>
      <c r="AR32" s="100"/>
      <c r="AV32" s="120"/>
      <c r="AW32" s="100"/>
      <c r="AX32" s="100"/>
      <c r="AY32" s="100"/>
      <c r="AZ32" s="100"/>
      <c r="BA32" s="100"/>
      <c r="BB32" s="84"/>
      <c r="BD32" s="100"/>
      <c r="BQ32"/>
    </row>
    <row r="33" spans="1:69" ht="16">
      <c r="A33" t="s">
        <v>305</v>
      </c>
      <c r="C33" s="310"/>
      <c r="L33" s="174" t="s">
        <v>610</v>
      </c>
      <c r="M33" s="77"/>
      <c r="O33" s="81">
        <f>P33-0</f>
        <v>19</v>
      </c>
      <c r="P33" s="81">
        <f>$F$32-1</f>
        <v>19</v>
      </c>
      <c r="Q33" s="129">
        <f>O33/$F$32</f>
        <v>0.95</v>
      </c>
      <c r="R33" s="129">
        <f>O33/P33</f>
        <v>1</v>
      </c>
      <c r="S33" s="127">
        <f>2*(Q33*R33)/(Q33+R33)</f>
        <v>0.97435897435897434</v>
      </c>
      <c r="U33" s="81">
        <f>V33-0</f>
        <v>7</v>
      </c>
      <c r="V33" s="81">
        <f>$G$32-1</f>
        <v>7</v>
      </c>
      <c r="W33" s="129">
        <f>U33/$G$32</f>
        <v>0.875</v>
      </c>
      <c r="X33" s="129">
        <f>U33/V33</f>
        <v>1</v>
      </c>
      <c r="Y33" s="127">
        <f>2*(W33*X33)/(W33+X33)</f>
        <v>0.93333333333333335</v>
      </c>
      <c r="AA33" s="81">
        <f>AB33-0</f>
        <v>16</v>
      </c>
      <c r="AB33" s="81">
        <f>$I$32-0</f>
        <v>16</v>
      </c>
      <c r="AC33" s="129">
        <f>AA33/$I$32</f>
        <v>1</v>
      </c>
      <c r="AD33" s="129">
        <f>AA33/AB33</f>
        <v>1</v>
      </c>
      <c r="AE33" s="127">
        <f>2*(AC33*AD33)/(AC33+AD33)</f>
        <v>1</v>
      </c>
      <c r="AG33">
        <f>AH33-0</f>
        <v>9</v>
      </c>
      <c r="AH33">
        <v>9</v>
      </c>
      <c r="AI33" s="127">
        <f>AG33/$H$32</f>
        <v>1.125</v>
      </c>
      <c r="AJ33" s="127">
        <f>AG33/AH33</f>
        <v>1</v>
      </c>
      <c r="AM33" s="122">
        <v>0</v>
      </c>
      <c r="AN33" s="101">
        <v>0</v>
      </c>
      <c r="AO33">
        <v>255</v>
      </c>
      <c r="AP33">
        <v>12</v>
      </c>
      <c r="AQ33" s="101">
        <v>9</v>
      </c>
      <c r="AR33" s="101">
        <v>9</v>
      </c>
      <c r="AS33">
        <v>2</v>
      </c>
      <c r="AT33">
        <v>2</v>
      </c>
      <c r="AU33">
        <v>1</v>
      </c>
      <c r="AV33" s="119">
        <v>7</v>
      </c>
      <c r="AW33" s="101">
        <f>($F$32-N33)/$F$32</f>
        <v>1</v>
      </c>
      <c r="AY33" s="101">
        <f>($G$32-AN33)/$G$32</f>
        <v>1</v>
      </c>
      <c r="AZ33" s="101">
        <f>AR33/AQ33</f>
        <v>1</v>
      </c>
      <c r="BA33" s="101">
        <f>AT33/AS33</f>
        <v>1</v>
      </c>
      <c r="BB33" s="85">
        <f>(AW33+AY33+AZ33+BA33)/4</f>
        <v>1</v>
      </c>
      <c r="BC33" s="13">
        <f>AP33/$H$32</f>
        <v>1.5</v>
      </c>
      <c r="BD33" s="118">
        <f>AV33/AP33</f>
        <v>0.58333333333333337</v>
      </c>
      <c r="BE33" s="13">
        <f>AO33/AP33</f>
        <v>21.25</v>
      </c>
      <c r="BF33" s="13">
        <f>AT33/$H$32</f>
        <v>0.25</v>
      </c>
      <c r="BG33" s="13">
        <f>AR33/$H$32</f>
        <v>1.125</v>
      </c>
      <c r="BQ33" t="str">
        <f>_xlfn.CONCAT($C$32," &amp; ",C33," &amp; ",Q33," &amp; ",R33," &amp; ",S33," &amp; ",W33," &amp; ",X33," &amp; ",Y33," &amp; ",AC33," &amp; ",AD33," &amp; ",AE33," &amp; ",AG33," &amp; ",AH33," &amp; ",AI33," &amp; ",AJ33, " \\ \hline")</f>
        <v>5-2 &amp;  &amp; 0.95 &amp; 1 &amp; 0.974358974358974 &amp; 0.875 &amp; 1 &amp; 0.933333333333333 &amp; 1 &amp; 1 &amp; 1 &amp; 9 &amp; 9 &amp; 1.125 &amp; 1 \\ \hline</v>
      </c>
    </row>
    <row r="34" spans="1:69" ht="16">
      <c r="A34" t="s">
        <v>306</v>
      </c>
      <c r="C34" s="310"/>
      <c r="L34" s="174" t="s">
        <v>611</v>
      </c>
      <c r="M34" s="77"/>
      <c r="O34" s="81">
        <f>P34-0</f>
        <v>19</v>
      </c>
      <c r="P34" s="81">
        <f>$F$32-1</f>
        <v>19</v>
      </c>
      <c r="Q34" s="129">
        <f>O34/$F$32</f>
        <v>0.95</v>
      </c>
      <c r="R34" s="129">
        <f>O34/P34</f>
        <v>1</v>
      </c>
      <c r="S34" s="127">
        <f>2*(Q34*R34)/(Q34+R34)</f>
        <v>0.97435897435897434</v>
      </c>
      <c r="U34" s="81">
        <f>V34-0</f>
        <v>7</v>
      </c>
      <c r="V34" s="81">
        <f>$G$32-1</f>
        <v>7</v>
      </c>
      <c r="W34" s="129">
        <f>U34/$G$32</f>
        <v>0.875</v>
      </c>
      <c r="X34" s="129">
        <f>U34/V34</f>
        <v>1</v>
      </c>
      <c r="Y34" s="127">
        <f>2*(W34*X34)/(W34+X34)</f>
        <v>0.93333333333333335</v>
      </c>
      <c r="AA34" s="81">
        <f>AB34-0</f>
        <v>16</v>
      </c>
      <c r="AB34" s="81">
        <f>$I$32-0</f>
        <v>16</v>
      </c>
      <c r="AC34" s="129">
        <f>AA34/$I$32</f>
        <v>1</v>
      </c>
      <c r="AD34" s="129">
        <f>AA34/AB34</f>
        <v>1</v>
      </c>
      <c r="AE34" s="127">
        <f>2*(AC34*AD34)/(AC34+AD34)</f>
        <v>1</v>
      </c>
      <c r="AG34">
        <f>AH34-0</f>
        <v>13</v>
      </c>
      <c r="AH34">
        <v>13</v>
      </c>
      <c r="AI34" s="127">
        <f>AG34/$H$32</f>
        <v>1.625</v>
      </c>
      <c r="AJ34" s="127">
        <f>AG34/AH34</f>
        <v>1</v>
      </c>
      <c r="AM34" s="122">
        <v>0</v>
      </c>
      <c r="AN34" s="101">
        <v>0</v>
      </c>
      <c r="AO34">
        <v>253</v>
      </c>
      <c r="AP34">
        <v>18</v>
      </c>
      <c r="AQ34" s="101">
        <v>9</v>
      </c>
      <c r="AR34" s="101">
        <v>9</v>
      </c>
      <c r="AS34">
        <v>3</v>
      </c>
      <c r="AT34">
        <v>3</v>
      </c>
      <c r="AU34">
        <v>1</v>
      </c>
      <c r="AV34" s="119">
        <v>7</v>
      </c>
      <c r="AW34" s="101">
        <f>($F$32-N34)/$F$32</f>
        <v>1</v>
      </c>
      <c r="AY34" s="101">
        <f>($G$32-AN34)/$G$32</f>
        <v>1</v>
      </c>
      <c r="AZ34" s="101">
        <f>AR34/AQ34</f>
        <v>1</v>
      </c>
      <c r="BA34" s="101">
        <f>AT34/AS34</f>
        <v>1</v>
      </c>
      <c r="BB34" s="85">
        <f>(AW34+AY34+AZ34+BA34)/4</f>
        <v>1</v>
      </c>
      <c r="BC34" s="13">
        <f>AP34/$H$32</f>
        <v>2.25</v>
      </c>
      <c r="BD34" s="118">
        <f>AV34/AP34</f>
        <v>0.3888888888888889</v>
      </c>
      <c r="BE34" s="13">
        <f>AO34/AP34</f>
        <v>14.055555555555555</v>
      </c>
      <c r="BF34" s="13">
        <f>AT34/$H$32</f>
        <v>0.375</v>
      </c>
      <c r="BG34" s="13">
        <f>AR34/$H$32</f>
        <v>1.125</v>
      </c>
      <c r="BQ34" t="str">
        <f t="shared" ref="BQ34:BQ36" si="5">_xlfn.CONCAT($C$32," &amp; ",C34," &amp; ",Q34," &amp; ",R34," &amp; ",S34," &amp; ",W34," &amp; ",X34," &amp; ",Y34," &amp; ",AC34," &amp; ",AD34," &amp; ",AE34," &amp; ",AG34," &amp; ",AH34," &amp; ",AI34," &amp; ",AJ34, " \\ \hline")</f>
        <v>5-2 &amp;  &amp; 0.95 &amp; 1 &amp; 0.974358974358974 &amp; 0.875 &amp; 1 &amp; 0.933333333333333 &amp; 1 &amp; 1 &amp; 1 &amp; 13 &amp; 13 &amp; 1.625 &amp; 1 \\ \hline</v>
      </c>
    </row>
    <row r="35" spans="1:69" ht="16">
      <c r="A35" t="s">
        <v>307</v>
      </c>
      <c r="C35" s="310"/>
      <c r="L35" s="174" t="s">
        <v>612</v>
      </c>
      <c r="M35" s="77"/>
      <c r="O35" s="81">
        <f>P35-0</f>
        <v>20</v>
      </c>
      <c r="P35" s="81">
        <f>$F$32-0</f>
        <v>20</v>
      </c>
      <c r="Q35" s="129">
        <f>O35/$F$32</f>
        <v>1</v>
      </c>
      <c r="R35" s="129">
        <f>O35/P35</f>
        <v>1</v>
      </c>
      <c r="S35" s="127">
        <f>2*(Q35*R35)/(Q35+R35)</f>
        <v>1</v>
      </c>
      <c r="U35" s="81">
        <f>V35-0</f>
        <v>8</v>
      </c>
      <c r="V35" s="81">
        <f>$G$32-0</f>
        <v>8</v>
      </c>
      <c r="W35" s="129">
        <f>U35/$G$32</f>
        <v>1</v>
      </c>
      <c r="X35" s="129">
        <f>U35/V35</f>
        <v>1</v>
      </c>
      <c r="Y35" s="127">
        <f>2*(W35*X35)/(W35+X35)</f>
        <v>1</v>
      </c>
      <c r="AA35" s="81">
        <f>AB35-0</f>
        <v>16</v>
      </c>
      <c r="AB35" s="81">
        <f>$I$32-0</f>
        <v>16</v>
      </c>
      <c r="AC35" s="129">
        <f>AA35/$I$32</f>
        <v>1</v>
      </c>
      <c r="AD35" s="129">
        <f>AA35/AB35</f>
        <v>1</v>
      </c>
      <c r="AE35" s="127">
        <f>2*(AC35*AD35)/(AC35+AD35)</f>
        <v>1</v>
      </c>
      <c r="AG35">
        <f>AH35-0</f>
        <v>14</v>
      </c>
      <c r="AH35">
        <v>14</v>
      </c>
      <c r="AI35" s="127">
        <f>AG35/$H$32</f>
        <v>1.75</v>
      </c>
      <c r="AJ35" s="127">
        <f>AG35/AH35</f>
        <v>1</v>
      </c>
      <c r="AM35" s="122">
        <v>0</v>
      </c>
      <c r="AN35" s="101">
        <v>0</v>
      </c>
      <c r="AO35">
        <v>331</v>
      </c>
      <c r="AP35" s="107">
        <v>24</v>
      </c>
      <c r="AQ35" s="101">
        <v>11</v>
      </c>
      <c r="AR35" s="101">
        <v>11</v>
      </c>
      <c r="AS35">
        <v>4</v>
      </c>
      <c r="AT35">
        <v>4</v>
      </c>
      <c r="AU35">
        <v>2</v>
      </c>
      <c r="AV35" s="119">
        <v>9</v>
      </c>
      <c r="AW35" s="101">
        <f>($F$32-N35)/$F$32</f>
        <v>1</v>
      </c>
      <c r="AY35" s="101">
        <f>($G$32-AN35)/$G$32</f>
        <v>1</v>
      </c>
      <c r="AZ35" s="101">
        <f>AR35/AQ35</f>
        <v>1</v>
      </c>
      <c r="BA35" s="101">
        <f>AT35/AS35</f>
        <v>1</v>
      </c>
      <c r="BB35" s="85">
        <f>(AW35+AY35+AZ35+BA35)/4</f>
        <v>1</v>
      </c>
      <c r="BC35" s="13">
        <f>AP35/$H$32</f>
        <v>3</v>
      </c>
      <c r="BD35" s="118">
        <f>AV35/AP35</f>
        <v>0.375</v>
      </c>
      <c r="BE35" s="13">
        <f>AO35/AP35</f>
        <v>13.791666666666666</v>
      </c>
      <c r="BF35" s="13">
        <f>AT35/$H$32</f>
        <v>0.5</v>
      </c>
      <c r="BG35" s="13">
        <f>AR35/$H$32</f>
        <v>1.375</v>
      </c>
      <c r="BQ35" t="str">
        <f t="shared" si="5"/>
        <v>5-2 &amp;  &amp; 1 &amp; 1 &amp; 1 &amp; 1 &amp; 1 &amp; 1 &amp; 1 &amp; 1 &amp; 1 &amp; 14 &amp; 14 &amp; 1.75 &amp; 1 \\ \hline</v>
      </c>
    </row>
    <row r="36" spans="1:69" ht="16">
      <c r="A36" t="s">
        <v>308</v>
      </c>
      <c r="C36" s="310"/>
      <c r="L36" s="174" t="s">
        <v>613</v>
      </c>
      <c r="M36" s="77"/>
      <c r="O36" s="81">
        <f>P36-0</f>
        <v>20</v>
      </c>
      <c r="P36" s="81">
        <f>$F$32-0</f>
        <v>20</v>
      </c>
      <c r="Q36" s="129">
        <f>O36/$F$32</f>
        <v>1</v>
      </c>
      <c r="R36" s="129">
        <f>O36/P36</f>
        <v>1</v>
      </c>
      <c r="S36" s="127">
        <f>2*(Q36*R36)/(Q36+R36)</f>
        <v>1</v>
      </c>
      <c r="U36" s="81">
        <f>V36-0</f>
        <v>8</v>
      </c>
      <c r="V36" s="81">
        <f>$G$32-0</f>
        <v>8</v>
      </c>
      <c r="W36" s="129">
        <f>U36/$G$32</f>
        <v>1</v>
      </c>
      <c r="X36" s="129">
        <f>U36/V36</f>
        <v>1</v>
      </c>
      <c r="Y36" s="127">
        <f>2*(W36*X36)/(W36+X36)</f>
        <v>1</v>
      </c>
      <c r="AA36" s="81">
        <f>AB36-0</f>
        <v>16</v>
      </c>
      <c r="AB36" s="81">
        <f>$I$32-0</f>
        <v>16</v>
      </c>
      <c r="AC36" s="129">
        <f>AA36/$I$32</f>
        <v>1</v>
      </c>
      <c r="AD36" s="129">
        <f>AA36/AB36</f>
        <v>1</v>
      </c>
      <c r="AE36" s="127">
        <f>2*(AC36*AD36)/(AC36+AD36)</f>
        <v>1</v>
      </c>
      <c r="AG36">
        <f>AH36-0</f>
        <v>11</v>
      </c>
      <c r="AH36">
        <v>11</v>
      </c>
      <c r="AI36" s="127">
        <f>AG36/$H$32</f>
        <v>1.375</v>
      </c>
      <c r="AJ36" s="127">
        <f>AG36/AH36</f>
        <v>1</v>
      </c>
      <c r="AM36" s="122">
        <v>0</v>
      </c>
      <c r="AN36" s="101">
        <v>0</v>
      </c>
      <c r="AO36">
        <v>258</v>
      </c>
      <c r="AP36">
        <v>13</v>
      </c>
      <c r="AQ36" s="101">
        <v>10</v>
      </c>
      <c r="AR36" s="101">
        <v>10</v>
      </c>
      <c r="AS36">
        <v>2</v>
      </c>
      <c r="AT36">
        <v>2</v>
      </c>
      <c r="AU36">
        <v>1</v>
      </c>
      <c r="AV36" s="119">
        <v>7</v>
      </c>
      <c r="AW36" s="101">
        <f>($F$32-N36)/$F$32</f>
        <v>1</v>
      </c>
      <c r="AY36" s="101">
        <f>($G$32-AN36)/$G$32</f>
        <v>1</v>
      </c>
      <c r="AZ36" s="101">
        <f>AR36/AQ36</f>
        <v>1</v>
      </c>
      <c r="BA36" s="101">
        <f>AT36/AS36</f>
        <v>1</v>
      </c>
      <c r="BB36" s="85">
        <f>(AW36+AY36+AZ36+BA36)/4</f>
        <v>1</v>
      </c>
      <c r="BC36" s="13">
        <f>AO36/$H$32</f>
        <v>32.25</v>
      </c>
      <c r="BD36" s="118">
        <f>AV36/AO36</f>
        <v>2.7131782945736434E-2</v>
      </c>
      <c r="BE36" s="13">
        <f>AO36/AP36</f>
        <v>19.846153846153847</v>
      </c>
      <c r="BF36" s="13">
        <f>AT36/$H$32</f>
        <v>0.25</v>
      </c>
      <c r="BG36" s="13">
        <f>AR36/$H$32</f>
        <v>1.25</v>
      </c>
      <c r="BQ36" t="str">
        <f t="shared" si="5"/>
        <v>5-2 &amp;  &amp; 1 &amp; 1 &amp; 1 &amp; 1 &amp; 1 &amp; 1 &amp; 1 &amp; 1 &amp; 1 &amp; 11 &amp; 11 &amp; 1.375 &amp; 1 \\ \hline</v>
      </c>
    </row>
    <row r="37" spans="1:69">
      <c r="C37" s="98"/>
      <c r="L37" s="48"/>
      <c r="M37" s="77"/>
      <c r="Q37" s="129"/>
      <c r="R37" s="129"/>
      <c r="S37" s="127"/>
      <c r="W37" s="129"/>
      <c r="X37" s="129"/>
      <c r="Y37" s="127"/>
      <c r="AC37" s="129"/>
      <c r="AD37" s="129"/>
      <c r="AE37" s="127"/>
      <c r="AG37"/>
      <c r="AH37"/>
      <c r="AI37" s="127"/>
      <c r="AJ37" s="127"/>
      <c r="BC37" s="13"/>
      <c r="BD37" s="118"/>
      <c r="BE37" s="13"/>
      <c r="BF37" s="13"/>
      <c r="BG37" s="13"/>
    </row>
    <row r="38" spans="1:69" s="73" customFormat="1">
      <c r="A38" s="73" t="s">
        <v>316</v>
      </c>
      <c r="B38" s="94">
        <v>45178</v>
      </c>
      <c r="C38" s="93" t="s">
        <v>147</v>
      </c>
      <c r="D38" s="78">
        <f>VLOOKUP($C$38,Overview!$Q$2:$AS$64,23,FALSE)</f>
        <v>0.27964048396764468</v>
      </c>
      <c r="E38" s="78" t="str">
        <f>VLOOKUP($C$38,Overview!$Q$2:$AS$64,24,FALSE)</f>
        <v>low</v>
      </c>
      <c r="F38" s="75">
        <f>VLOOKUP(C38,Overview!$Q$2:$AS$64,13,FALSE)</f>
        <v>24</v>
      </c>
      <c r="G38" s="75">
        <f>VLOOKUP(C38,Overview!$Q$2:$AS$64,16,FALSE)</f>
        <v>5</v>
      </c>
      <c r="H38" s="75">
        <f>VLOOKUP(C38,Overview!$Q$2:$AS$64,18,FALSE)</f>
        <v>12</v>
      </c>
      <c r="I38" s="75">
        <f>VLOOKUP($C$38,Overview!$Q$2:$AS$64,19,FALSE)</f>
        <v>24</v>
      </c>
      <c r="K38" s="75" t="str">
        <f>VLOOKUP($C$38,Overview!$Q$2:$AS$64,5,FALSE)</f>
        <v>5-1, 3-8</v>
      </c>
      <c r="L38" s="91"/>
      <c r="N38" s="114"/>
      <c r="O38" s="80"/>
      <c r="P38" s="80"/>
      <c r="Q38" s="130"/>
      <c r="R38" s="130"/>
      <c r="S38" s="128"/>
      <c r="T38" s="114"/>
      <c r="U38" s="80"/>
      <c r="V38" s="80"/>
      <c r="W38" s="130"/>
      <c r="X38" s="130"/>
      <c r="Y38" s="128"/>
      <c r="Z38" s="114"/>
      <c r="AA38" s="80"/>
      <c r="AB38" s="80"/>
      <c r="AC38" s="130"/>
      <c r="AD38" s="130"/>
      <c r="AE38" s="128"/>
      <c r="AF38" s="114"/>
      <c r="AI38" s="128"/>
      <c r="AJ38" s="128"/>
      <c r="AK38" s="80"/>
      <c r="AL38" s="114"/>
      <c r="AM38" s="121"/>
      <c r="AN38" s="100"/>
      <c r="AQ38" s="100"/>
      <c r="AR38" s="100"/>
      <c r="AV38" s="120"/>
      <c r="AW38" s="100"/>
      <c r="AX38" s="100"/>
      <c r="AY38" s="100"/>
      <c r="AZ38" s="100"/>
      <c r="BA38" s="100"/>
      <c r="BB38" s="84"/>
      <c r="BD38" s="100"/>
      <c r="BQ38"/>
    </row>
    <row r="39" spans="1:69" ht="16">
      <c r="A39" t="s">
        <v>305</v>
      </c>
      <c r="C39" s="310"/>
      <c r="L39" s="47" t="s">
        <v>610</v>
      </c>
      <c r="M39" s="77"/>
      <c r="O39" s="81">
        <v>24</v>
      </c>
      <c r="P39" s="81">
        <f>$F$38</f>
        <v>24</v>
      </c>
      <c r="Q39" s="129">
        <f>O39/$F$38</f>
        <v>1</v>
      </c>
      <c r="R39" s="129">
        <f>O39/P39</f>
        <v>1</v>
      </c>
      <c r="S39" s="127">
        <f>2*(Q39*R39)/(Q39+R39)</f>
        <v>1</v>
      </c>
      <c r="U39" s="81">
        <v>5</v>
      </c>
      <c r="V39" s="81">
        <f>$G$38</f>
        <v>5</v>
      </c>
      <c r="W39" s="129">
        <f>U39/$G$38</f>
        <v>1</v>
      </c>
      <c r="X39" s="129">
        <f>U39/V39</f>
        <v>1</v>
      </c>
      <c r="Y39" s="127">
        <f>2*(W39*X39)/(W39+X39)</f>
        <v>1</v>
      </c>
      <c r="AA39" s="81">
        <v>20</v>
      </c>
      <c r="AB39" s="81">
        <f>$I$38</f>
        <v>24</v>
      </c>
      <c r="AC39" s="129">
        <f>AA39/$I$38</f>
        <v>0.83333333333333337</v>
      </c>
      <c r="AD39" s="129">
        <f>AA39/AB39</f>
        <v>0.83333333333333337</v>
      </c>
      <c r="AE39" s="127">
        <f>2*(AC39*AD39)/(AC39+AD39)</f>
        <v>0.83333333333333337</v>
      </c>
      <c r="AG39">
        <v>5</v>
      </c>
      <c r="AH39">
        <v>5</v>
      </c>
      <c r="AI39" s="127">
        <f>AG39/$H$38</f>
        <v>0.41666666666666669</v>
      </c>
      <c r="AJ39" s="127">
        <v>0</v>
      </c>
      <c r="AM39" s="122">
        <v>0</v>
      </c>
      <c r="AN39" s="101">
        <v>0</v>
      </c>
      <c r="AO39">
        <v>285</v>
      </c>
      <c r="AP39">
        <v>18</v>
      </c>
      <c r="AQ39" s="101">
        <v>17</v>
      </c>
      <c r="AR39" s="101">
        <v>11</v>
      </c>
      <c r="AS39">
        <v>0</v>
      </c>
      <c r="AT39">
        <v>0</v>
      </c>
      <c r="AU39">
        <v>1</v>
      </c>
      <c r="AV39" s="119">
        <v>16</v>
      </c>
      <c r="AW39" s="101">
        <f>($F$38-N39)/$F$38</f>
        <v>1</v>
      </c>
      <c r="AY39" s="101">
        <f>($G$38-AN39)/$G$38</f>
        <v>1</v>
      </c>
      <c r="AZ39" s="101">
        <f>AR39/AQ39</f>
        <v>0.6470588235294118</v>
      </c>
      <c r="BA39" s="101">
        <v>0</v>
      </c>
      <c r="BB39" s="85">
        <f>(AW39+AY39+AZ39+BA39)/4</f>
        <v>0.66176470588235292</v>
      </c>
      <c r="BC39" s="13">
        <f>AP39/$H$38</f>
        <v>1.5</v>
      </c>
      <c r="BD39" s="118">
        <f>AV39/AP39</f>
        <v>0.88888888888888884</v>
      </c>
      <c r="BE39" s="13">
        <f>AO39/AP39</f>
        <v>15.833333333333334</v>
      </c>
      <c r="BF39" s="13">
        <f>AT39/$H$38</f>
        <v>0</v>
      </c>
      <c r="BG39" s="13">
        <f>AR39/$H$38</f>
        <v>0.91666666666666663</v>
      </c>
      <c r="BQ39" t="str">
        <f>_xlfn.CONCAT($C$38," &amp; ",C39," &amp; ",Q39," &amp; ",R39," &amp; ",S39," &amp; ",W39," &amp; ",X39," &amp; ",Y39," &amp; ",AC39," &amp; ",AD39," &amp; ",AE39," &amp; ",AG39," &amp; ",AH39," &amp; ",AI39," &amp; ",AJ39, " \\ \hline")</f>
        <v>3-6 &amp;  &amp; 1 &amp; 1 &amp; 1 &amp; 1 &amp; 1 &amp; 1 &amp; 0.833333333333333 &amp; 0.833333333333333 &amp; 0.833333333333333 &amp; 5 &amp; 5 &amp; 0.416666666666667 &amp; 0 \\ \hline</v>
      </c>
    </row>
    <row r="40" spans="1:69" ht="16">
      <c r="A40" t="s">
        <v>306</v>
      </c>
      <c r="C40" s="310"/>
      <c r="L40" s="47" t="s">
        <v>611</v>
      </c>
      <c r="M40" s="77"/>
      <c r="O40" s="81">
        <v>24</v>
      </c>
      <c r="P40" s="81">
        <f>$F$38</f>
        <v>24</v>
      </c>
      <c r="Q40" s="129">
        <f>O40/$F$38</f>
        <v>1</v>
      </c>
      <c r="R40" s="129">
        <f>O40/P40</f>
        <v>1</v>
      </c>
      <c r="S40" s="127">
        <f>2*(Q40*R40)/(Q40+R40)</f>
        <v>1</v>
      </c>
      <c r="U40" s="81">
        <v>5</v>
      </c>
      <c r="V40" s="81">
        <f>$G$38</f>
        <v>5</v>
      </c>
      <c r="W40" s="129">
        <f>U40/$G$38</f>
        <v>1</v>
      </c>
      <c r="X40" s="129">
        <f>U40/V40</f>
        <v>1</v>
      </c>
      <c r="Y40" s="127">
        <f>2*(W40*X40)/(W40+X40)</f>
        <v>1</v>
      </c>
      <c r="AA40" s="81">
        <v>20</v>
      </c>
      <c r="AB40" s="81">
        <f>$I$38</f>
        <v>24</v>
      </c>
      <c r="AC40" s="129">
        <f>AA40/$I$38</f>
        <v>0.83333333333333337</v>
      </c>
      <c r="AD40" s="129">
        <f>AA40/AB40</f>
        <v>0.83333333333333337</v>
      </c>
      <c r="AE40" s="127">
        <f>2*(AC40*AD40)/(AC40+AD40)</f>
        <v>0.83333333333333337</v>
      </c>
      <c r="AG40">
        <f>AH40</f>
        <v>6</v>
      </c>
      <c r="AH40">
        <v>6</v>
      </c>
      <c r="AI40" s="127">
        <f>AG40/$H$38</f>
        <v>0.5</v>
      </c>
      <c r="AJ40" s="127">
        <f>AG40/AH40</f>
        <v>1</v>
      </c>
      <c r="AM40" s="122">
        <v>0</v>
      </c>
      <c r="AN40" s="101">
        <v>0</v>
      </c>
      <c r="AO40">
        <v>358</v>
      </c>
      <c r="AP40">
        <v>23</v>
      </c>
      <c r="AQ40" s="101">
        <v>16</v>
      </c>
      <c r="AR40" s="101">
        <v>14</v>
      </c>
      <c r="AS40">
        <v>7</v>
      </c>
      <c r="AT40">
        <v>7</v>
      </c>
      <c r="AU40">
        <v>0</v>
      </c>
      <c r="AV40" s="119">
        <v>13</v>
      </c>
      <c r="AW40" s="101">
        <f>($F$38-N40)/$F$38</f>
        <v>1</v>
      </c>
      <c r="AY40" s="101">
        <f>($G$38-AN40)/$G$38</f>
        <v>1</v>
      </c>
      <c r="AZ40" s="101">
        <f>AR40/AQ40</f>
        <v>0.875</v>
      </c>
      <c r="BA40" s="101">
        <f>AT40/AS40</f>
        <v>1</v>
      </c>
      <c r="BB40" s="85">
        <f>(AW40+AY40+AZ40+BA40)/4</f>
        <v>0.96875</v>
      </c>
      <c r="BC40" s="13">
        <f>AP40/$H$38</f>
        <v>1.9166666666666667</v>
      </c>
      <c r="BD40" s="118">
        <f>AV40/AP40</f>
        <v>0.56521739130434778</v>
      </c>
      <c r="BE40" s="13">
        <f>AO40/AP40</f>
        <v>15.565217391304348</v>
      </c>
      <c r="BF40" s="13">
        <f>AT40/$H$38</f>
        <v>0.58333333333333337</v>
      </c>
      <c r="BG40" s="13">
        <f>AR40/$H$38</f>
        <v>1.1666666666666667</v>
      </c>
      <c r="BQ40" t="str">
        <f t="shared" ref="BQ40:BQ42" si="6">_xlfn.CONCAT($C$38," &amp; ",C40," &amp; ",Q40," &amp; ",R40," &amp; ",S40," &amp; ",W40," &amp; ",X40," &amp; ",Y40," &amp; ",AC40," &amp; ",AD40," &amp; ",AE40," &amp; ",AG40," &amp; ",AH40," &amp; ",AI40," &amp; ",AJ40, " \\ \hline")</f>
        <v>3-6 &amp;  &amp; 1 &amp; 1 &amp; 1 &amp; 1 &amp; 1 &amp; 1 &amp; 0.833333333333333 &amp; 0.833333333333333 &amp; 0.833333333333333 &amp; 6 &amp; 6 &amp; 0.5 &amp; 1 \\ \hline</v>
      </c>
    </row>
    <row r="41" spans="1:69" ht="16">
      <c r="A41" t="s">
        <v>307</v>
      </c>
      <c r="C41" s="310"/>
      <c r="L41" s="47" t="s">
        <v>612</v>
      </c>
      <c r="M41" s="77"/>
      <c r="O41" s="81">
        <v>24</v>
      </c>
      <c r="P41" s="81">
        <f>$F$38</f>
        <v>24</v>
      </c>
      <c r="Q41" s="129">
        <f>O41/$F$38</f>
        <v>1</v>
      </c>
      <c r="R41" s="129">
        <f>O41/P41</f>
        <v>1</v>
      </c>
      <c r="S41" s="127">
        <f>2*(Q41*R41)/(Q41+R41)</f>
        <v>1</v>
      </c>
      <c r="U41" s="81">
        <v>5</v>
      </c>
      <c r="V41" s="81">
        <f>$G$38</f>
        <v>5</v>
      </c>
      <c r="W41" s="129">
        <f>U41/$G$38</f>
        <v>1</v>
      </c>
      <c r="X41" s="129">
        <f>U41/V41</f>
        <v>1</v>
      </c>
      <c r="Y41" s="127">
        <f>2*(W41*X41)/(W41+X41)</f>
        <v>1</v>
      </c>
      <c r="AA41" s="81">
        <v>20</v>
      </c>
      <c r="AB41" s="81">
        <f>$I$38</f>
        <v>24</v>
      </c>
      <c r="AC41" s="129">
        <f>AA41/$I$38</f>
        <v>0.83333333333333337</v>
      </c>
      <c r="AD41" s="129">
        <f>AA41/AB41</f>
        <v>0.83333333333333337</v>
      </c>
      <c r="AE41" s="127">
        <f>2*(AC41*AD41)/(AC41+AD41)</f>
        <v>0.83333333333333337</v>
      </c>
      <c r="AG41">
        <f>AH41</f>
        <v>6</v>
      </c>
      <c r="AH41">
        <v>6</v>
      </c>
      <c r="AI41" s="127">
        <f>AG41/$H$38</f>
        <v>0.5</v>
      </c>
      <c r="AJ41" s="127">
        <f>AG41/AH41</f>
        <v>1</v>
      </c>
      <c r="AM41" s="122">
        <v>0</v>
      </c>
      <c r="AN41" s="101">
        <v>0</v>
      </c>
      <c r="AO41">
        <v>245</v>
      </c>
      <c r="AP41">
        <v>16</v>
      </c>
      <c r="AQ41" s="101">
        <v>13</v>
      </c>
      <c r="AR41" s="101">
        <v>11</v>
      </c>
      <c r="AS41">
        <v>3</v>
      </c>
      <c r="AT41">
        <v>3</v>
      </c>
      <c r="AU41">
        <v>0</v>
      </c>
      <c r="AV41" s="119">
        <v>12</v>
      </c>
      <c r="AW41" s="101">
        <f>($F$38-N41)/$F$38</f>
        <v>1</v>
      </c>
      <c r="AY41" s="101">
        <f>($G$38-AN41)/$G$38</f>
        <v>1</v>
      </c>
      <c r="AZ41" s="101">
        <f>AR41/AQ41</f>
        <v>0.84615384615384615</v>
      </c>
      <c r="BA41" s="101">
        <f>AT41/AS41</f>
        <v>1</v>
      </c>
      <c r="BB41" s="85">
        <f>(AW41+AY41+AZ41+BA41)/4</f>
        <v>0.96153846153846156</v>
      </c>
      <c r="BC41" s="13">
        <f>AP41/$H$38</f>
        <v>1.3333333333333333</v>
      </c>
      <c r="BD41" s="118">
        <f>AV41/AP41</f>
        <v>0.75</v>
      </c>
      <c r="BE41" s="13">
        <f>AO41/AP41</f>
        <v>15.3125</v>
      </c>
      <c r="BF41" s="13">
        <f>AT41/$H$38</f>
        <v>0.25</v>
      </c>
      <c r="BG41" s="13">
        <f>AR41/$H$38</f>
        <v>0.91666666666666663</v>
      </c>
      <c r="BQ41" t="str">
        <f t="shared" si="6"/>
        <v>3-6 &amp;  &amp; 1 &amp; 1 &amp; 1 &amp; 1 &amp; 1 &amp; 1 &amp; 0.833333333333333 &amp; 0.833333333333333 &amp; 0.833333333333333 &amp; 6 &amp; 6 &amp; 0.5 &amp; 1 \\ \hline</v>
      </c>
    </row>
    <row r="42" spans="1:69" ht="16">
      <c r="A42" t="s">
        <v>308</v>
      </c>
      <c r="C42" s="310"/>
      <c r="L42" s="47" t="s">
        <v>613</v>
      </c>
      <c r="M42" s="77"/>
      <c r="O42" s="81">
        <v>24</v>
      </c>
      <c r="P42" s="81">
        <f>$F$38</f>
        <v>24</v>
      </c>
      <c r="Q42" s="129">
        <f>O42/$F$38</f>
        <v>1</v>
      </c>
      <c r="R42" s="129">
        <f>O42/P42</f>
        <v>1</v>
      </c>
      <c r="S42" s="127">
        <f>2*(Q42*R42)/(Q42+R42)</f>
        <v>1</v>
      </c>
      <c r="U42" s="81">
        <v>5</v>
      </c>
      <c r="V42" s="81">
        <f>$G$38</f>
        <v>5</v>
      </c>
      <c r="W42" s="129">
        <f>U42/$G$38</f>
        <v>1</v>
      </c>
      <c r="X42" s="129">
        <f>U42/V42</f>
        <v>1</v>
      </c>
      <c r="Y42" s="127">
        <f>2*(W42*X42)/(W42+X42)</f>
        <v>1</v>
      </c>
      <c r="AA42" s="81">
        <f>AB42-4</f>
        <v>20</v>
      </c>
      <c r="AB42" s="81">
        <f>$I$38</f>
        <v>24</v>
      </c>
      <c r="AC42" s="129">
        <f>AA42/$I$38</f>
        <v>0.83333333333333337</v>
      </c>
      <c r="AD42" s="129">
        <f>AA42/AB42</f>
        <v>0.83333333333333337</v>
      </c>
      <c r="AE42" s="127">
        <f>2*(AC42*AD42)/(AC42+AD42)</f>
        <v>0.83333333333333337</v>
      </c>
      <c r="AG42">
        <f>AH42</f>
        <v>6</v>
      </c>
      <c r="AH42">
        <v>6</v>
      </c>
      <c r="AI42" s="127">
        <f>AG42/$H$38</f>
        <v>0.5</v>
      </c>
      <c r="AJ42" s="127">
        <f>AG42/AH42</f>
        <v>1</v>
      </c>
      <c r="AM42" s="122">
        <v>0</v>
      </c>
      <c r="AN42" s="101">
        <v>0</v>
      </c>
      <c r="AO42">
        <v>305</v>
      </c>
      <c r="AP42">
        <v>23</v>
      </c>
      <c r="AQ42" s="101">
        <v>19</v>
      </c>
      <c r="AR42" s="101">
        <v>17</v>
      </c>
      <c r="AS42">
        <v>1</v>
      </c>
      <c r="AT42">
        <v>1</v>
      </c>
      <c r="AU42">
        <v>3</v>
      </c>
      <c r="AV42" s="119">
        <v>12</v>
      </c>
      <c r="AW42" s="101">
        <f>($F$38-N42)/$F$38</f>
        <v>1</v>
      </c>
      <c r="AY42" s="101">
        <f>($G$38-AN42)/$G$38</f>
        <v>1</v>
      </c>
      <c r="AZ42" s="101">
        <f>AR42/AQ42</f>
        <v>0.89473684210526316</v>
      </c>
      <c r="BA42" s="101">
        <f>AT42/AS42</f>
        <v>1</v>
      </c>
      <c r="BB42" s="85">
        <f>(AW42+AY42+AZ42+BA42)/4</f>
        <v>0.97368421052631582</v>
      </c>
      <c r="BC42" s="13">
        <f>AP42/$H$38</f>
        <v>1.9166666666666667</v>
      </c>
      <c r="BD42" s="118">
        <f>AV42/AP42</f>
        <v>0.52173913043478259</v>
      </c>
      <c r="BE42" s="13">
        <f>AO42/AP42</f>
        <v>13.260869565217391</v>
      </c>
      <c r="BF42" s="13">
        <f>AT42/$H$38</f>
        <v>8.3333333333333329E-2</v>
      </c>
      <c r="BG42" s="13">
        <f>AR42/$H$38</f>
        <v>1.4166666666666667</v>
      </c>
      <c r="BQ42" t="str">
        <f t="shared" si="6"/>
        <v>3-6 &amp;  &amp; 1 &amp; 1 &amp; 1 &amp; 1 &amp; 1 &amp; 1 &amp; 0.833333333333333 &amp; 0.833333333333333 &amp; 0.833333333333333 &amp; 6 &amp; 6 &amp; 0.5 &amp; 1 \\ \hline</v>
      </c>
    </row>
    <row r="43" spans="1:69">
      <c r="C43" s="98"/>
      <c r="L43" s="48"/>
      <c r="M43" s="77"/>
      <c r="Q43" s="129"/>
      <c r="R43" s="129"/>
      <c r="S43" s="127"/>
      <c r="W43" s="129"/>
      <c r="X43" s="129"/>
      <c r="Y43" s="127"/>
      <c r="AC43" s="129"/>
      <c r="AD43" s="129"/>
      <c r="AE43" s="127"/>
      <c r="AG43"/>
      <c r="AH43"/>
      <c r="AI43" s="127"/>
      <c r="AJ43" s="127"/>
      <c r="BC43" s="13"/>
      <c r="BD43" s="118"/>
      <c r="BE43" s="13"/>
      <c r="BF43" s="13"/>
      <c r="BG43" s="13"/>
    </row>
    <row r="44" spans="1:69" s="73" customFormat="1">
      <c r="A44" s="73" t="s">
        <v>315</v>
      </c>
      <c r="B44" s="94">
        <v>45178</v>
      </c>
      <c r="C44" s="93" t="s">
        <v>160</v>
      </c>
      <c r="D44" s="78">
        <f>VLOOKUP($C$44,Overview!$Q$2:$AS$64,23,FALSE)</f>
        <v>0.30047187189373031</v>
      </c>
      <c r="E44" s="78" t="str">
        <f>VLOOKUP($C$44,Overview!$Q$2:$AS$64,24,FALSE)</f>
        <v>low</v>
      </c>
      <c r="F44" s="75">
        <f>VLOOKUP(C44,Overview!$Q$2:$AS$64,13,FALSE)</f>
        <v>20</v>
      </c>
      <c r="G44" s="75">
        <f>VLOOKUP(C44,Overview!$Q$2:$AS$64,16,FALSE)</f>
        <v>8</v>
      </c>
      <c r="H44" s="75">
        <f>VLOOKUP(C44,Overview!$Q$2:$AS$64,18,FALSE)</f>
        <v>7</v>
      </c>
      <c r="I44" s="75">
        <f>VLOOKUP($C$44,Overview!$Q$2:$AS$64,19,FALSE)</f>
        <v>15</v>
      </c>
      <c r="K44" s="75" t="str">
        <f>VLOOKUP($C$44,Overview!$Q$2:$AS$64,5,FALSE)</f>
        <v>5-2, 3-8</v>
      </c>
      <c r="L44" s="91"/>
      <c r="N44" s="114"/>
      <c r="O44" s="80"/>
      <c r="P44" s="80"/>
      <c r="Q44" s="130"/>
      <c r="R44" s="130"/>
      <c r="S44" s="128"/>
      <c r="T44" s="114"/>
      <c r="U44" s="80"/>
      <c r="V44" s="80"/>
      <c r="W44" s="130"/>
      <c r="X44" s="130"/>
      <c r="Y44" s="128"/>
      <c r="Z44" s="114"/>
      <c r="AA44" s="80"/>
      <c r="AB44" s="80"/>
      <c r="AC44" s="130"/>
      <c r="AD44" s="130"/>
      <c r="AE44" s="128"/>
      <c r="AF44" s="114"/>
      <c r="AI44" s="128"/>
      <c r="AJ44" s="128"/>
      <c r="AK44" s="80"/>
      <c r="AL44" s="114"/>
      <c r="AM44" s="121"/>
      <c r="AN44" s="100"/>
      <c r="AQ44" s="100"/>
      <c r="AR44" s="100"/>
      <c r="AV44" s="120"/>
      <c r="AW44" s="100"/>
      <c r="AX44" s="100"/>
      <c r="AY44" s="100"/>
      <c r="AZ44" s="100"/>
      <c r="BA44" s="100"/>
      <c r="BB44" s="84"/>
      <c r="BD44" s="100"/>
      <c r="BQ44"/>
    </row>
    <row r="45" spans="1:69" ht="16">
      <c r="A45" t="s">
        <v>305</v>
      </c>
      <c r="C45" s="310"/>
      <c r="L45" s="47" t="s">
        <v>610</v>
      </c>
      <c r="M45" s="77"/>
      <c r="O45" s="81">
        <f>P45-1</f>
        <v>19</v>
      </c>
      <c r="P45" s="81">
        <f>$F$44</f>
        <v>20</v>
      </c>
      <c r="Q45" s="129">
        <f>O45/$F$44</f>
        <v>0.95</v>
      </c>
      <c r="R45" s="129">
        <f>O45/P45</f>
        <v>0.95</v>
      </c>
      <c r="S45" s="127">
        <f>2*(Q45*R45)/(Q45+R45)</f>
        <v>0.95000000000000007</v>
      </c>
      <c r="U45" s="81">
        <f>V45-1</f>
        <v>7</v>
      </c>
      <c r="V45" s="81">
        <f>$G$44</f>
        <v>8</v>
      </c>
      <c r="W45" s="129">
        <f>U45/$G$44</f>
        <v>0.875</v>
      </c>
      <c r="X45" s="129">
        <f>U45/V45</f>
        <v>0.875</v>
      </c>
      <c r="Y45" s="127">
        <f>2*(W45*X45)/(W45+X45)</f>
        <v>0.875</v>
      </c>
      <c r="AA45" s="81">
        <f>AB45-3</f>
        <v>12</v>
      </c>
      <c r="AB45" s="81">
        <f>$I$44-0</f>
        <v>15</v>
      </c>
      <c r="AC45" s="129">
        <f>AA45/$I$44</f>
        <v>0.8</v>
      </c>
      <c r="AD45" s="129">
        <f>AA45/AB45</f>
        <v>0.8</v>
      </c>
      <c r="AE45" s="127">
        <f>2*(AC45*AD45)/(AC45+AD45)</f>
        <v>0.80000000000000016</v>
      </c>
      <c r="AG45">
        <f>AH45-0</f>
        <v>3</v>
      </c>
      <c r="AH45">
        <v>3</v>
      </c>
      <c r="AI45" s="127">
        <f>AG45/$H$44</f>
        <v>0.42857142857142855</v>
      </c>
      <c r="AJ45" s="127">
        <f>AG45/AH45</f>
        <v>1</v>
      </c>
      <c r="AM45" s="122">
        <v>0</v>
      </c>
      <c r="AN45" s="101">
        <v>0</v>
      </c>
      <c r="AO45">
        <v>284</v>
      </c>
      <c r="AP45">
        <v>13</v>
      </c>
      <c r="AQ45" s="101">
        <v>8</v>
      </c>
      <c r="AR45" s="101">
        <v>7</v>
      </c>
      <c r="AS45">
        <v>2</v>
      </c>
      <c r="AT45">
        <v>2</v>
      </c>
      <c r="AU45">
        <v>3</v>
      </c>
      <c r="AV45" s="119">
        <v>8</v>
      </c>
      <c r="AW45" s="101">
        <f>($F$44-N45)/$F$44</f>
        <v>1</v>
      </c>
      <c r="AY45" s="101">
        <f>($G$44-AN45)/$G$44</f>
        <v>1</v>
      </c>
      <c r="AZ45" s="101">
        <f>AR45/AQ45</f>
        <v>0.875</v>
      </c>
      <c r="BA45" s="101">
        <f>AT45/AS45</f>
        <v>1</v>
      </c>
      <c r="BB45" s="85">
        <f>(AW45+AY45+AZ45+BA45)/4</f>
        <v>0.96875</v>
      </c>
      <c r="BC45" s="13">
        <f>AP45/$H$44</f>
        <v>1.8571428571428572</v>
      </c>
      <c r="BD45" s="118">
        <f>AV45/AP45</f>
        <v>0.61538461538461542</v>
      </c>
      <c r="BE45" s="13">
        <f>AO45/AP45</f>
        <v>21.846153846153847</v>
      </c>
      <c r="BF45" s="13">
        <f>AT45/$H$44</f>
        <v>0.2857142857142857</v>
      </c>
      <c r="BG45" s="13">
        <f>AR45/$H$44</f>
        <v>1</v>
      </c>
      <c r="BQ45" t="str">
        <f>_xlfn.CONCAT($C$44," &amp; ",C45," &amp; ",Q45," &amp; ",R45," &amp; ",S45," &amp; ",W45," &amp; ",X45," &amp; ",Y45," &amp; ",AC45," &amp; ",AD45," &amp; ",AE45," &amp; ",AG45," &amp; ",AH45," &amp; ",AI45," &amp; ",AJ45, " \\ \hline")</f>
        <v>8-1 &amp;  &amp; 0.95 &amp; 0.95 &amp; 0.95 &amp; 0.875 &amp; 0.875 &amp; 0.875 &amp; 0.8 &amp; 0.8 &amp; 0.8 &amp; 3 &amp; 3 &amp; 0.428571428571429 &amp; 1 \\ \hline</v>
      </c>
    </row>
    <row r="46" spans="1:69" ht="16">
      <c r="A46" t="s">
        <v>306</v>
      </c>
      <c r="C46" s="310"/>
      <c r="L46" s="47" t="s">
        <v>611</v>
      </c>
      <c r="M46" s="77"/>
      <c r="O46" s="81">
        <f>P46-2</f>
        <v>18</v>
      </c>
      <c r="P46" s="81">
        <f>$F$44-0</f>
        <v>20</v>
      </c>
      <c r="Q46" s="129">
        <f>O46/$F$44</f>
        <v>0.9</v>
      </c>
      <c r="R46" s="129">
        <f>O46/P46</f>
        <v>0.9</v>
      </c>
      <c r="S46" s="127">
        <f>2*(Q46*R46)/(Q46+R46)</f>
        <v>0.9</v>
      </c>
      <c r="U46" s="81">
        <f>V46-1</f>
        <v>6</v>
      </c>
      <c r="V46" s="81">
        <f>$G$44-1</f>
        <v>7</v>
      </c>
      <c r="W46" s="129">
        <f>U46/$G$44</f>
        <v>0.75</v>
      </c>
      <c r="X46" s="129">
        <f>U46/V46</f>
        <v>0.8571428571428571</v>
      </c>
      <c r="Y46" s="127">
        <f>2*(W46*X46)/(W46+X46)</f>
        <v>0.79999999999999993</v>
      </c>
      <c r="AA46" s="81">
        <v>11</v>
      </c>
      <c r="AB46" s="81">
        <f>$I$44</f>
        <v>15</v>
      </c>
      <c r="AC46" s="129">
        <f>AA46/$I$44</f>
        <v>0.73333333333333328</v>
      </c>
      <c r="AD46" s="129">
        <f>AA46/AB46</f>
        <v>0.73333333333333328</v>
      </c>
      <c r="AE46" s="127">
        <f>2*(AC46*AD46)/(AC46+AD46)</f>
        <v>0.73333333333333328</v>
      </c>
      <c r="AG46">
        <f>AH46-0</f>
        <v>6</v>
      </c>
      <c r="AH46">
        <v>6</v>
      </c>
      <c r="AI46" s="127">
        <f>AG46/$H$44</f>
        <v>0.8571428571428571</v>
      </c>
      <c r="AJ46" s="127">
        <f>AG46/AH46</f>
        <v>1</v>
      </c>
      <c r="AM46" s="122">
        <v>0</v>
      </c>
      <c r="AN46" s="101">
        <v>0</v>
      </c>
      <c r="AO46">
        <v>306</v>
      </c>
      <c r="AP46">
        <v>20</v>
      </c>
      <c r="AQ46" s="101">
        <v>13</v>
      </c>
      <c r="AR46" s="101">
        <v>13</v>
      </c>
      <c r="AS46">
        <v>7</v>
      </c>
      <c r="AT46">
        <v>7</v>
      </c>
      <c r="AU46">
        <v>0</v>
      </c>
      <c r="AV46" s="119">
        <v>8</v>
      </c>
      <c r="AW46" s="101">
        <f>($F$44-N46)/$F$44</f>
        <v>1</v>
      </c>
      <c r="AY46" s="101">
        <f>($G$44-AN46)/$G$44</f>
        <v>1</v>
      </c>
      <c r="AZ46" s="101">
        <f>AR46/AQ46</f>
        <v>1</v>
      </c>
      <c r="BA46" s="101">
        <f>AT46/AS46</f>
        <v>1</v>
      </c>
      <c r="BB46" s="85">
        <f>(AW46+AY46+AZ46+BA46)/4</f>
        <v>1</v>
      </c>
      <c r="BC46" s="13">
        <f>AP46/$H$44</f>
        <v>2.8571428571428572</v>
      </c>
      <c r="BD46" s="118">
        <f>AV46/AP46</f>
        <v>0.4</v>
      </c>
      <c r="BE46" s="13">
        <f>AO46/AP46</f>
        <v>15.3</v>
      </c>
      <c r="BF46" s="13">
        <f>AT46/$H$44</f>
        <v>1</v>
      </c>
      <c r="BG46" s="13">
        <f>AR46/$H$44</f>
        <v>1.8571428571428572</v>
      </c>
      <c r="BQ46" t="str">
        <f t="shared" ref="BQ46:BQ48" si="7">_xlfn.CONCAT($C$44," &amp; ",C46," &amp; ",Q46," &amp; ",R46," &amp; ",S46," &amp; ",W46," &amp; ",X46," &amp; ",Y46," &amp; ",AC46," &amp; ",AD46," &amp; ",AE46," &amp; ",AG46," &amp; ",AH46," &amp; ",AI46," &amp; ",AJ46, " \\ \hline")</f>
        <v>8-1 &amp;  &amp; 0.9 &amp; 0.9 &amp; 0.9 &amp; 0.75 &amp; 0.857142857142857 &amp; 0.8 &amp; 0.733333333333333 &amp; 0.733333333333333 &amp; 0.733333333333333 &amp; 6 &amp; 6 &amp; 0.857142857142857 &amp; 1 \\ \hline</v>
      </c>
    </row>
    <row r="47" spans="1:69" ht="16">
      <c r="A47" t="s">
        <v>307</v>
      </c>
      <c r="C47" s="310"/>
      <c r="L47" s="47" t="s">
        <v>612</v>
      </c>
      <c r="M47" s="77"/>
      <c r="O47" s="81">
        <f>P47-0</f>
        <v>20</v>
      </c>
      <c r="P47" s="81">
        <f>$F$44</f>
        <v>20</v>
      </c>
      <c r="Q47" s="129">
        <f>O47/$F$44</f>
        <v>1</v>
      </c>
      <c r="R47" s="129">
        <f>O47/P47</f>
        <v>1</v>
      </c>
      <c r="S47" s="127">
        <f>2*(Q47*R47)/(Q47+R47)</f>
        <v>1</v>
      </c>
      <c r="U47" s="81">
        <f>V47-0</f>
        <v>8</v>
      </c>
      <c r="V47" s="81">
        <f>$G$44</f>
        <v>8</v>
      </c>
      <c r="W47" s="129">
        <f>U47/$G$44</f>
        <v>1</v>
      </c>
      <c r="X47" s="129">
        <f>U47/V47</f>
        <v>1</v>
      </c>
      <c r="Y47" s="127">
        <f>2*(W47*X47)/(W47+X47)</f>
        <v>1</v>
      </c>
      <c r="AA47" s="81">
        <v>13</v>
      </c>
      <c r="AB47" s="81">
        <f>$I$44</f>
        <v>15</v>
      </c>
      <c r="AC47" s="129">
        <f>AA47/$I$44</f>
        <v>0.8666666666666667</v>
      </c>
      <c r="AD47" s="129">
        <f>AA47/AB47</f>
        <v>0.8666666666666667</v>
      </c>
      <c r="AE47" s="127">
        <f>2*(AC47*AD47)/(AC47+AD47)</f>
        <v>0.8666666666666667</v>
      </c>
      <c r="AG47">
        <f>AH47-0</f>
        <v>7</v>
      </c>
      <c r="AH47">
        <v>7</v>
      </c>
      <c r="AI47" s="127">
        <f>AG47/$H$44</f>
        <v>1</v>
      </c>
      <c r="AJ47" s="127">
        <f>AG47/AH47</f>
        <v>1</v>
      </c>
      <c r="AM47" s="122">
        <v>0</v>
      </c>
      <c r="AN47" s="101">
        <v>0</v>
      </c>
      <c r="AO47">
        <v>285</v>
      </c>
      <c r="AP47">
        <v>13</v>
      </c>
      <c r="AQ47" s="101">
        <v>7</v>
      </c>
      <c r="AR47" s="101">
        <v>6</v>
      </c>
      <c r="AS47">
        <v>4</v>
      </c>
      <c r="AT47">
        <v>4</v>
      </c>
      <c r="AU47">
        <v>2</v>
      </c>
      <c r="AV47" s="119">
        <v>6</v>
      </c>
      <c r="AW47" s="101">
        <f>($F$44-N47)/$F$44</f>
        <v>1</v>
      </c>
      <c r="AY47" s="101">
        <f>($G$44-AN47)/$G$44</f>
        <v>1</v>
      </c>
      <c r="AZ47" s="101">
        <f>AR47/AQ47</f>
        <v>0.8571428571428571</v>
      </c>
      <c r="BA47" s="101">
        <f>AT47/AS47</f>
        <v>1</v>
      </c>
      <c r="BB47" s="85">
        <f>(AW47+AY47+AZ47+BA47)/4</f>
        <v>0.9642857142857143</v>
      </c>
      <c r="BC47" s="13">
        <f>AP47/$H$44</f>
        <v>1.8571428571428572</v>
      </c>
      <c r="BD47" s="118">
        <f>AV47/AP47</f>
        <v>0.46153846153846156</v>
      </c>
      <c r="BE47" s="13">
        <f>AO47/AP47</f>
        <v>21.923076923076923</v>
      </c>
      <c r="BF47" s="13">
        <f>AT47/$H$44</f>
        <v>0.5714285714285714</v>
      </c>
      <c r="BG47" s="13">
        <f>AR47/$H$44</f>
        <v>0.8571428571428571</v>
      </c>
      <c r="BQ47" t="str">
        <f t="shared" si="7"/>
        <v>8-1 &amp;  &amp; 1 &amp; 1 &amp; 1 &amp; 1 &amp; 1 &amp; 1 &amp; 0.866666666666667 &amp; 0.866666666666667 &amp; 0.866666666666667 &amp; 7 &amp; 7 &amp; 1 &amp; 1 \\ \hline</v>
      </c>
    </row>
    <row r="48" spans="1:69" ht="16">
      <c r="A48" t="s">
        <v>308</v>
      </c>
      <c r="C48" s="310"/>
      <c r="L48" s="47" t="s">
        <v>613</v>
      </c>
      <c r="M48" s="77"/>
      <c r="O48" s="81">
        <f>P48-0</f>
        <v>19</v>
      </c>
      <c r="P48" s="81">
        <f>$F$44-1</f>
        <v>19</v>
      </c>
      <c r="Q48" s="129">
        <f>O48/$F$44</f>
        <v>0.95</v>
      </c>
      <c r="R48" s="129">
        <f>O48/P48</f>
        <v>1</v>
      </c>
      <c r="S48" s="127">
        <f>2*(Q48*R48)/(Q48+R48)</f>
        <v>0.97435897435897434</v>
      </c>
      <c r="U48" s="81">
        <v>8</v>
      </c>
      <c r="V48" s="81">
        <f>$G$44</f>
        <v>8</v>
      </c>
      <c r="W48" s="129">
        <f>U48/$G$44</f>
        <v>1</v>
      </c>
      <c r="X48" s="129">
        <f>U48/V48</f>
        <v>1</v>
      </c>
      <c r="Y48" s="127">
        <f>2*(W48*X48)/(W48+X48)</f>
        <v>1</v>
      </c>
      <c r="AA48" s="81">
        <v>13</v>
      </c>
      <c r="AB48" s="81">
        <f>$I$44</f>
        <v>15</v>
      </c>
      <c r="AC48" s="129">
        <f>AA48/$I$44</f>
        <v>0.8666666666666667</v>
      </c>
      <c r="AD48" s="129">
        <f>AA48/AB48</f>
        <v>0.8666666666666667</v>
      </c>
      <c r="AE48" s="127">
        <f>2*(AC48*AD48)/(AC48+AD48)</f>
        <v>0.8666666666666667</v>
      </c>
      <c r="AG48">
        <v>5</v>
      </c>
      <c r="AH48">
        <v>5</v>
      </c>
      <c r="AI48" s="127">
        <f>AG48/$H$44</f>
        <v>0.7142857142857143</v>
      </c>
      <c r="AJ48" s="127">
        <f>AG48/AH48</f>
        <v>1</v>
      </c>
      <c r="AM48" s="122">
        <v>0</v>
      </c>
      <c r="AN48" s="101">
        <v>0</v>
      </c>
      <c r="AO48">
        <v>302</v>
      </c>
      <c r="AP48">
        <v>15</v>
      </c>
      <c r="AQ48" s="101">
        <v>9</v>
      </c>
      <c r="AR48" s="101">
        <v>8</v>
      </c>
      <c r="AS48">
        <v>5</v>
      </c>
      <c r="AT48">
        <v>5</v>
      </c>
      <c r="AU48">
        <v>1</v>
      </c>
      <c r="AV48" s="119">
        <v>8</v>
      </c>
      <c r="AW48" s="101">
        <f>($F$44-N48)/$F$44</f>
        <v>1</v>
      </c>
      <c r="AY48" s="101">
        <f>($G$44-AN48)/$G$44</f>
        <v>1</v>
      </c>
      <c r="AZ48" s="101">
        <f>AR48/AQ48</f>
        <v>0.88888888888888884</v>
      </c>
      <c r="BA48" s="101">
        <f>AT48/AS48</f>
        <v>1</v>
      </c>
      <c r="BB48" s="85">
        <f>(AW48+AY48+AZ48+BA48)/4</f>
        <v>0.97222222222222221</v>
      </c>
      <c r="BC48" s="13">
        <f>AP48/$H$44</f>
        <v>2.1428571428571428</v>
      </c>
      <c r="BD48" s="118">
        <f>AV48/AP48</f>
        <v>0.53333333333333333</v>
      </c>
      <c r="BE48" s="13">
        <f>AO48/AP48</f>
        <v>20.133333333333333</v>
      </c>
      <c r="BF48" s="13">
        <f>AT48/$H$44</f>
        <v>0.7142857142857143</v>
      </c>
      <c r="BG48" s="13">
        <f>AR48/$H$44</f>
        <v>1.1428571428571428</v>
      </c>
      <c r="BQ48" t="str">
        <f t="shared" si="7"/>
        <v>8-1 &amp;  &amp; 0.95 &amp; 1 &amp; 0.974358974358974 &amp; 1 &amp; 1 &amp; 1 &amp; 0.866666666666667 &amp; 0.866666666666667 &amp; 0.866666666666667 &amp; 5 &amp; 5 &amp; 0.714285714285714 &amp; 1 \\ \hline</v>
      </c>
    </row>
    <row r="49" spans="1:69">
      <c r="C49" s="98"/>
      <c r="Q49" s="129"/>
      <c r="R49" s="129"/>
      <c r="S49" s="127"/>
      <c r="W49" s="129"/>
      <c r="X49" s="129"/>
      <c r="Y49" s="127"/>
      <c r="AC49" s="129"/>
      <c r="AD49" s="129"/>
      <c r="AE49" s="127"/>
      <c r="AG49"/>
      <c r="AH49"/>
      <c r="AI49" s="127"/>
      <c r="AJ49" s="131"/>
    </row>
    <row r="50" spans="1:69" s="73" customFormat="1">
      <c r="A50" s="73" t="s">
        <v>318</v>
      </c>
      <c r="B50" s="94">
        <v>45179</v>
      </c>
      <c r="C50" s="93" t="s">
        <v>159</v>
      </c>
      <c r="D50" s="78">
        <f>VLOOKUP($C$50,Overview!$Q$2:$AS$64,23,FALSE)</f>
        <v>0.33132630703029992</v>
      </c>
      <c r="E50" s="78" t="str">
        <f>VLOOKUP($C$50,Overview!$Q$2:$AS$64,24,FALSE)</f>
        <v>low</v>
      </c>
      <c r="F50" s="75">
        <f>VLOOKUP(C50,Overview!$Q$2:$AS$64,13,FALSE)</f>
        <v>21</v>
      </c>
      <c r="G50" s="75">
        <f>VLOOKUP(C50,Overview!$Q$2:$AS$64,16,FALSE)</f>
        <v>9</v>
      </c>
      <c r="H50" s="75">
        <f>VLOOKUP(C50,Overview!$Q$2:$AS$64,18,FALSE)</f>
        <v>8</v>
      </c>
      <c r="I50" s="75">
        <f>VLOOKUP($C$50,Overview!$Q$2:$AS$64,19,FALSE)</f>
        <v>18</v>
      </c>
      <c r="K50" s="75" t="str">
        <f>VLOOKUP($C$50,Overview!$Q$2:$AS$64,5,FALSE)</f>
        <v>5-2, 3-8</v>
      </c>
      <c r="L50" s="91"/>
      <c r="N50" s="114"/>
      <c r="O50" s="80"/>
      <c r="P50" s="80"/>
      <c r="Q50" s="130"/>
      <c r="R50" s="130"/>
      <c r="S50" s="128"/>
      <c r="T50" s="114"/>
      <c r="U50" s="80"/>
      <c r="V50" s="80"/>
      <c r="W50" s="130"/>
      <c r="X50" s="130"/>
      <c r="Y50" s="128"/>
      <c r="Z50" s="114"/>
      <c r="AA50" s="80"/>
      <c r="AB50" s="80"/>
      <c r="AC50" s="130"/>
      <c r="AD50" s="130"/>
      <c r="AE50" s="128"/>
      <c r="AF50" s="114"/>
      <c r="AI50" s="128"/>
      <c r="AJ50" s="128"/>
      <c r="AK50" s="80"/>
      <c r="AL50" s="114"/>
      <c r="AM50" s="121"/>
      <c r="AN50" s="100"/>
      <c r="AQ50" s="100"/>
      <c r="AR50" s="100"/>
      <c r="AV50" s="120"/>
      <c r="AW50" s="100"/>
      <c r="AX50" s="100"/>
      <c r="AY50" s="100"/>
      <c r="AZ50" s="100"/>
      <c r="BA50" s="100"/>
      <c r="BB50" s="84"/>
      <c r="BD50" s="100"/>
      <c r="BQ50"/>
    </row>
    <row r="51" spans="1:69" ht="16">
      <c r="A51" t="s">
        <v>305</v>
      </c>
      <c r="C51" s="310"/>
      <c r="L51" s="48" t="s">
        <v>610</v>
      </c>
      <c r="M51" s="77"/>
      <c r="O51" s="81">
        <f>P51-1</f>
        <v>18</v>
      </c>
      <c r="P51" s="81">
        <f>$F$50-2</f>
        <v>19</v>
      </c>
      <c r="Q51" s="129">
        <f>O51/$F$50</f>
        <v>0.8571428571428571</v>
      </c>
      <c r="R51" s="129">
        <f>O51/P51</f>
        <v>0.94736842105263153</v>
      </c>
      <c r="S51" s="127">
        <f>2*(Q51*R51)/(Q51+R51)</f>
        <v>0.9</v>
      </c>
      <c r="U51" s="81">
        <f>V51-1</f>
        <v>6</v>
      </c>
      <c r="V51" s="81">
        <f>$G$50-2</f>
        <v>7</v>
      </c>
      <c r="W51" s="129">
        <f>U51/$G$50</f>
        <v>0.66666666666666663</v>
      </c>
      <c r="X51" s="129">
        <f>U51/V51</f>
        <v>0.8571428571428571</v>
      </c>
      <c r="Y51" s="127">
        <f>2*(W51*X51)/(W51+X51)</f>
        <v>0.75</v>
      </c>
      <c r="AA51" s="81">
        <f>AB51</f>
        <v>16</v>
      </c>
      <c r="AB51" s="81">
        <f>$I$50-2</f>
        <v>16</v>
      </c>
      <c r="AC51" s="129">
        <f>AA51/$I$50</f>
        <v>0.88888888888888884</v>
      </c>
      <c r="AD51" s="129">
        <f>AA51/AB51</f>
        <v>1</v>
      </c>
      <c r="AE51" s="127">
        <f>2*(AC51*AD51)/(AC51+AD51)</f>
        <v>0.94117647058823528</v>
      </c>
      <c r="AG51">
        <f>AH51</f>
        <v>7</v>
      </c>
      <c r="AH51">
        <v>7</v>
      </c>
      <c r="AI51" s="127">
        <f>AG51/$H$50</f>
        <v>0.875</v>
      </c>
      <c r="AJ51" s="127">
        <f>AG51/AH51</f>
        <v>1</v>
      </c>
      <c r="AM51" s="122">
        <v>1</v>
      </c>
      <c r="AN51" s="101">
        <v>1</v>
      </c>
      <c r="AO51">
        <v>155</v>
      </c>
      <c r="AP51">
        <v>11</v>
      </c>
      <c r="AQ51" s="101">
        <v>10</v>
      </c>
      <c r="AR51" s="101">
        <v>10</v>
      </c>
      <c r="AS51">
        <v>1</v>
      </c>
      <c r="AT51">
        <v>1</v>
      </c>
      <c r="AU51">
        <v>0</v>
      </c>
      <c r="AV51" s="119">
        <v>7</v>
      </c>
      <c r="AW51" s="101">
        <f>($F$50-N51)/$F$50</f>
        <v>1</v>
      </c>
      <c r="AY51" s="101">
        <f>($G$50-AN51)/$G$50</f>
        <v>0.88888888888888884</v>
      </c>
      <c r="AZ51" s="101">
        <f>AR51/AQ51</f>
        <v>1</v>
      </c>
      <c r="BA51" s="101">
        <f>AT51/AS51</f>
        <v>1</v>
      </c>
      <c r="BB51" s="85">
        <f>(AW51+AY51+AZ51+BA51)/4</f>
        <v>0.97222222222222221</v>
      </c>
      <c r="BC51" s="13">
        <f>AP51/$H$50</f>
        <v>1.375</v>
      </c>
      <c r="BD51" s="118">
        <f>AV51/AP51</f>
        <v>0.63636363636363635</v>
      </c>
      <c r="BE51" s="13">
        <f>AO51/AP51</f>
        <v>14.090909090909092</v>
      </c>
      <c r="BF51" s="13">
        <f>AT51/$H$50</f>
        <v>0.125</v>
      </c>
      <c r="BG51" s="13">
        <f>AR51/$H$50</f>
        <v>1.25</v>
      </c>
      <c r="BQ51" t="str">
        <f>_xlfn.CONCAT($C$50," &amp; ",C51," &amp; ",Q51," &amp; ",R51," &amp; ",S51," &amp; ",W51," &amp; ",X51," &amp; ",Y51," &amp; ",AC51," &amp; ",AD51," &amp; ",AE51," &amp; ",AG51," &amp; ",AH51," &amp; ",AI51," &amp; ",AJ51, " \\ \hline")</f>
        <v>7-1 &amp;  &amp; 0.857142857142857 &amp; 0.947368421052632 &amp; 0.9 &amp; 0.666666666666667 &amp; 0.857142857142857 &amp; 0.75 &amp; 0.888888888888889 &amp; 1 &amp; 0.941176470588235 &amp; 7 &amp; 7 &amp; 0.875 &amp; 1 \\ \hline</v>
      </c>
    </row>
    <row r="52" spans="1:69" ht="16">
      <c r="A52" t="s">
        <v>306</v>
      </c>
      <c r="C52" s="310"/>
      <c r="L52" s="48" t="s">
        <v>611</v>
      </c>
      <c r="M52" s="77"/>
      <c r="O52" s="81">
        <f>P52</f>
        <v>19</v>
      </c>
      <c r="P52" s="81">
        <f>$F$50-2</f>
        <v>19</v>
      </c>
      <c r="Q52" s="129">
        <f>O52/$F$50</f>
        <v>0.90476190476190477</v>
      </c>
      <c r="R52" s="129">
        <f>O52/P52</f>
        <v>1</v>
      </c>
      <c r="S52" s="127">
        <f>2*(Q52*R52)/(Q52+R52)</f>
        <v>0.95000000000000007</v>
      </c>
      <c r="U52" s="81">
        <f>V52-0</f>
        <v>7</v>
      </c>
      <c r="V52" s="81">
        <f>$G$50-2</f>
        <v>7</v>
      </c>
      <c r="W52" s="129">
        <f>U52/$G$50</f>
        <v>0.77777777777777779</v>
      </c>
      <c r="X52" s="129">
        <f>U52/V52</f>
        <v>1</v>
      </c>
      <c r="Y52" s="127">
        <f>2*(W52*X52)/(W52+X52)</f>
        <v>0.87500000000000011</v>
      </c>
      <c r="AA52" s="81">
        <f>AB52-0</f>
        <v>16</v>
      </c>
      <c r="AB52" s="81">
        <f>$I$50-2</f>
        <v>16</v>
      </c>
      <c r="AC52" s="129">
        <f>AA52/$I$50</f>
        <v>0.88888888888888884</v>
      </c>
      <c r="AD52" s="129">
        <f>AA52/AB52</f>
        <v>1</v>
      </c>
      <c r="AE52" s="127">
        <f>2*(AC52*AD52)/(AC52+AD52)</f>
        <v>0.94117647058823528</v>
      </c>
      <c r="AG52">
        <f>AH52-0</f>
        <v>4</v>
      </c>
      <c r="AH52">
        <v>4</v>
      </c>
      <c r="AI52" s="127">
        <f>AG52/$H$50</f>
        <v>0.5</v>
      </c>
      <c r="AJ52" s="127">
        <f>AG52/AH52</f>
        <v>1</v>
      </c>
      <c r="AM52" s="122">
        <v>1</v>
      </c>
      <c r="AN52" s="101">
        <v>1</v>
      </c>
      <c r="AO52">
        <v>269</v>
      </c>
      <c r="AP52">
        <v>19</v>
      </c>
      <c r="AQ52" s="101">
        <v>14</v>
      </c>
      <c r="AR52" s="101">
        <v>13</v>
      </c>
      <c r="AS52">
        <v>4</v>
      </c>
      <c r="AT52">
        <v>4</v>
      </c>
      <c r="AU52">
        <v>1</v>
      </c>
      <c r="AV52" s="119">
        <v>9</v>
      </c>
      <c r="AW52" s="101">
        <f>($F$50-N52)/$F$50</f>
        <v>1</v>
      </c>
      <c r="AY52" s="101">
        <f>($G$50-AN52)/$G$50</f>
        <v>0.88888888888888884</v>
      </c>
      <c r="AZ52" s="101">
        <f>AR52/AQ52</f>
        <v>0.9285714285714286</v>
      </c>
      <c r="BA52" s="101">
        <f>AT52/AS52</f>
        <v>1</v>
      </c>
      <c r="BB52" s="85">
        <f>(AW52+AY52+AZ52+BA52)/4</f>
        <v>0.95436507936507931</v>
      </c>
      <c r="BC52" s="13">
        <f>AP52/$H$50</f>
        <v>2.375</v>
      </c>
      <c r="BD52" s="118">
        <f>AV52/AP52</f>
        <v>0.47368421052631576</v>
      </c>
      <c r="BE52" s="13">
        <f>AO52/AP52</f>
        <v>14.157894736842104</v>
      </c>
      <c r="BF52" s="13">
        <f>AT52/$H$50</f>
        <v>0.5</v>
      </c>
      <c r="BG52" s="13">
        <f>AR52/$H$50</f>
        <v>1.625</v>
      </c>
      <c r="BQ52" t="str">
        <f t="shared" ref="BQ52:BQ54" si="8">_xlfn.CONCAT($C$50," &amp; ",C52," &amp; ",Q52," &amp; ",R52," &amp; ",S52," &amp; ",W52," &amp; ",X52," &amp; ",Y52," &amp; ",AC52," &amp; ",AD52," &amp; ",AE52," &amp; ",AG52," &amp; ",AH52," &amp; ",AI52," &amp; ",AJ52, " \\ \hline")</f>
        <v>7-1 &amp;  &amp; 0.904761904761905 &amp; 1 &amp; 0.95 &amp; 0.777777777777778 &amp; 1 &amp; 0.875 &amp; 0.888888888888889 &amp; 1 &amp; 0.941176470588235 &amp; 4 &amp; 4 &amp; 0.5 &amp; 1 \\ \hline</v>
      </c>
    </row>
    <row r="53" spans="1:69" ht="16">
      <c r="A53" t="s">
        <v>307</v>
      </c>
      <c r="C53" s="310"/>
      <c r="L53" s="48" t="s">
        <v>612</v>
      </c>
      <c r="M53" s="77"/>
      <c r="O53" s="81">
        <v>21</v>
      </c>
      <c r="P53" s="81">
        <f>$F$50</f>
        <v>21</v>
      </c>
      <c r="Q53" s="129">
        <f>O53/$F$50</f>
        <v>1</v>
      </c>
      <c r="R53" s="129">
        <f>O53/P53</f>
        <v>1</v>
      </c>
      <c r="S53" s="127">
        <f>2*(Q53*R53)/(Q53+R53)</f>
        <v>1</v>
      </c>
      <c r="U53" s="81">
        <v>9</v>
      </c>
      <c r="V53" s="81">
        <f>$G$50</f>
        <v>9</v>
      </c>
      <c r="W53" s="129">
        <f>U53/$G$50</f>
        <v>1</v>
      </c>
      <c r="X53" s="129">
        <f>U53/V53</f>
        <v>1</v>
      </c>
      <c r="Y53" s="127">
        <f>2*(W53*X53)/(W53+X53)</f>
        <v>1</v>
      </c>
      <c r="AA53" s="81">
        <v>18</v>
      </c>
      <c r="AB53" s="81">
        <f>$I$50</f>
        <v>18</v>
      </c>
      <c r="AC53" s="129">
        <f>AA53/$I$50</f>
        <v>1</v>
      </c>
      <c r="AD53" s="129">
        <f>AA53/AB53</f>
        <v>1</v>
      </c>
      <c r="AE53" s="127">
        <f>2*(AC53*AD53)/(AC53+AD53)</f>
        <v>1</v>
      </c>
      <c r="AG53">
        <f>AH53</f>
        <v>13</v>
      </c>
      <c r="AH53">
        <v>13</v>
      </c>
      <c r="AI53" s="127">
        <f>AG53/$H$50</f>
        <v>1.625</v>
      </c>
      <c r="AJ53" s="127">
        <f>AG53/AH53</f>
        <v>1</v>
      </c>
      <c r="AM53" s="122">
        <v>0</v>
      </c>
      <c r="AN53" s="101">
        <v>0</v>
      </c>
      <c r="AO53">
        <v>274</v>
      </c>
      <c r="AP53" s="107">
        <v>14</v>
      </c>
      <c r="AQ53" s="101">
        <v>10</v>
      </c>
      <c r="AR53" s="101">
        <v>10</v>
      </c>
      <c r="AS53">
        <v>4</v>
      </c>
      <c r="AT53">
        <v>4</v>
      </c>
      <c r="AU53">
        <v>0</v>
      </c>
      <c r="AV53" s="119">
        <v>8</v>
      </c>
      <c r="AW53" s="101">
        <f>($F$50-N53)/$F$50</f>
        <v>1</v>
      </c>
      <c r="AY53" s="101">
        <f>($G$50-AN53)/$G$50</f>
        <v>1</v>
      </c>
      <c r="AZ53" s="101">
        <f>AR53/AQ53</f>
        <v>1</v>
      </c>
      <c r="BA53" s="101">
        <f>AT53/AS53</f>
        <v>1</v>
      </c>
      <c r="BB53" s="85">
        <f>(AW53+AY53+AZ53+BA53)/4</f>
        <v>1</v>
      </c>
      <c r="BC53" s="13">
        <f>AP53/$H$50</f>
        <v>1.75</v>
      </c>
      <c r="BD53" s="118">
        <f>AV53/AP53</f>
        <v>0.5714285714285714</v>
      </c>
      <c r="BE53" s="13">
        <f>AO53/AP53</f>
        <v>19.571428571428573</v>
      </c>
      <c r="BF53" s="13">
        <f>AT53/$H$50</f>
        <v>0.5</v>
      </c>
      <c r="BG53" s="13">
        <f>AR53/$H$50</f>
        <v>1.25</v>
      </c>
      <c r="BQ53" t="str">
        <f t="shared" si="8"/>
        <v>7-1 &amp;  &amp; 1 &amp; 1 &amp; 1 &amp; 1 &amp; 1 &amp; 1 &amp; 1 &amp; 1 &amp; 1 &amp; 13 &amp; 13 &amp; 1.625 &amp; 1 \\ \hline</v>
      </c>
    </row>
    <row r="54" spans="1:69" ht="16">
      <c r="A54" t="s">
        <v>308</v>
      </c>
      <c r="C54" s="310"/>
      <c r="L54" s="48" t="s">
        <v>613</v>
      </c>
      <c r="M54" s="77"/>
      <c r="O54" s="81">
        <v>21</v>
      </c>
      <c r="P54" s="81">
        <f>$F$50</f>
        <v>21</v>
      </c>
      <c r="Q54" s="129">
        <f>O54/$F$50</f>
        <v>1</v>
      </c>
      <c r="R54" s="129">
        <f>O54/P54</f>
        <v>1</v>
      </c>
      <c r="S54" s="127">
        <f>2*(Q54*R54)/(Q54+R54)</f>
        <v>1</v>
      </c>
      <c r="U54" s="81">
        <v>9</v>
      </c>
      <c r="V54" s="81">
        <f>$G$50</f>
        <v>9</v>
      </c>
      <c r="W54" s="129">
        <f>U54/$G$50</f>
        <v>1</v>
      </c>
      <c r="X54" s="129">
        <f>U54/V54</f>
        <v>1</v>
      </c>
      <c r="Y54" s="127">
        <f>2*(W54*X54)/(W54+X54)</f>
        <v>1</v>
      </c>
      <c r="AA54" s="81">
        <v>18</v>
      </c>
      <c r="AB54" s="81">
        <f>$I$50</f>
        <v>18</v>
      </c>
      <c r="AC54" s="129">
        <f>AA54/$I$50</f>
        <v>1</v>
      </c>
      <c r="AD54" s="129">
        <f>AA54/AB54</f>
        <v>1</v>
      </c>
      <c r="AE54" s="127">
        <f>2*(AC54*AD54)/(AC54+AD54)</f>
        <v>1</v>
      </c>
      <c r="AG54">
        <f>AH54</f>
        <v>11</v>
      </c>
      <c r="AH54">
        <v>11</v>
      </c>
      <c r="AI54" s="127">
        <f>AG54/$H$50</f>
        <v>1.375</v>
      </c>
      <c r="AJ54" s="127">
        <f>AG54/AH54</f>
        <v>1</v>
      </c>
      <c r="AM54" s="122">
        <v>0</v>
      </c>
      <c r="AN54" s="101">
        <v>0</v>
      </c>
      <c r="AO54">
        <v>270</v>
      </c>
      <c r="AP54">
        <v>14</v>
      </c>
      <c r="AQ54" s="101">
        <v>9</v>
      </c>
      <c r="AR54" s="101">
        <v>9</v>
      </c>
      <c r="AS54">
        <v>4</v>
      </c>
      <c r="AT54">
        <v>4</v>
      </c>
      <c r="AU54">
        <v>1</v>
      </c>
      <c r="AV54" s="119">
        <v>10</v>
      </c>
      <c r="AW54" s="101">
        <f>($F$50-N54)/$F$50</f>
        <v>1</v>
      </c>
      <c r="AY54" s="101">
        <f>($G$50-AN54)/$G$50</f>
        <v>1</v>
      </c>
      <c r="AZ54" s="101">
        <f>AR54/AQ54</f>
        <v>1</v>
      </c>
      <c r="BA54" s="101">
        <f>AT54/AS54</f>
        <v>1</v>
      </c>
      <c r="BB54" s="85">
        <f>(AW54+AY54+AZ54+BA54)/4</f>
        <v>1</v>
      </c>
      <c r="BC54" s="13">
        <f>AP54/$H$50</f>
        <v>1.75</v>
      </c>
      <c r="BD54" s="118">
        <f>AV54/AP54</f>
        <v>0.7142857142857143</v>
      </c>
      <c r="BE54" s="13">
        <f>AO54/AP54</f>
        <v>19.285714285714285</v>
      </c>
      <c r="BF54" s="13">
        <f>AT54/$H$50</f>
        <v>0.5</v>
      </c>
      <c r="BG54" s="13">
        <f>AR54/$H$50</f>
        <v>1.125</v>
      </c>
      <c r="BQ54" t="str">
        <f t="shared" si="8"/>
        <v>7-1 &amp;  &amp; 1 &amp; 1 &amp; 1 &amp; 1 &amp; 1 &amp; 1 &amp; 1 &amp; 1 &amp; 1 &amp; 11 &amp; 11 &amp; 1.375 &amp; 1 \\ \hline</v>
      </c>
    </row>
    <row r="55" spans="1:69">
      <c r="C55" s="98"/>
      <c r="Q55" s="129"/>
      <c r="R55" s="129"/>
      <c r="S55" s="127"/>
      <c r="W55" s="129"/>
      <c r="X55" s="129"/>
      <c r="Y55" s="127"/>
      <c r="AC55" s="129"/>
      <c r="AD55" s="129"/>
      <c r="AE55" s="127"/>
      <c r="AG55"/>
      <c r="AH55"/>
      <c r="AI55" s="127"/>
      <c r="AJ55" s="131"/>
    </row>
    <row r="56" spans="1:69" s="73" customFormat="1">
      <c r="A56" s="73" t="s">
        <v>317</v>
      </c>
      <c r="B56" s="94">
        <v>45179</v>
      </c>
      <c r="C56" s="93" t="s">
        <v>157</v>
      </c>
      <c r="D56" s="78">
        <f>VLOOKUP($C$56,Overview!$Q$2:$AS$64,23,FALSE)</f>
        <v>0.37572494412610796</v>
      </c>
      <c r="E56" s="78" t="str">
        <f>VLOOKUP($C$56,Overview!$Q$2:$AS$64,24,FALSE)</f>
        <v>low</v>
      </c>
      <c r="F56" s="75">
        <f>VLOOKUP(C56,Overview!$Q$2:$AS$64,13,FALSE)</f>
        <v>24</v>
      </c>
      <c r="G56" s="75">
        <f>VLOOKUP(C56,Overview!$Q$2:$AS$64,16,FALSE)</f>
        <v>8</v>
      </c>
      <c r="H56" s="75">
        <f>VLOOKUP(C56,Overview!$Q$2:$AS$64,18,FALSE)</f>
        <v>10</v>
      </c>
      <c r="I56" s="75">
        <f>VLOOKUP($C$56,Overview!$Q$2:$AS$64,19,FALSE)</f>
        <v>20</v>
      </c>
      <c r="K56" s="75" t="str">
        <f>VLOOKUP($C$56,Overview!$Q$2:$AS$64,5,FALSE)</f>
        <v>5-2, 3-8</v>
      </c>
      <c r="L56" s="91"/>
      <c r="N56" s="114"/>
      <c r="O56" s="80"/>
      <c r="P56" s="80"/>
      <c r="Q56" s="130"/>
      <c r="R56" s="130"/>
      <c r="S56" s="128"/>
      <c r="T56" s="114"/>
      <c r="U56" s="80"/>
      <c r="V56" s="80"/>
      <c r="W56" s="130"/>
      <c r="X56" s="130"/>
      <c r="Y56" s="128"/>
      <c r="Z56" s="114"/>
      <c r="AA56" s="80"/>
      <c r="AB56" s="80"/>
      <c r="AC56" s="130"/>
      <c r="AD56" s="130"/>
      <c r="AE56" s="128"/>
      <c r="AF56" s="114"/>
      <c r="AI56" s="128"/>
      <c r="AJ56" s="128"/>
      <c r="AK56" s="80"/>
      <c r="AL56" s="114"/>
      <c r="AM56" s="121"/>
      <c r="AN56" s="100"/>
      <c r="AQ56" s="100"/>
      <c r="AR56" s="100"/>
      <c r="AV56" s="120"/>
      <c r="AW56" s="100"/>
      <c r="AX56" s="100"/>
      <c r="AY56" s="100"/>
      <c r="AZ56" s="100"/>
      <c r="BA56" s="100"/>
      <c r="BB56" s="84"/>
      <c r="BD56" s="100"/>
      <c r="BQ56"/>
    </row>
    <row r="57" spans="1:69" ht="16">
      <c r="A57" t="s">
        <v>305</v>
      </c>
      <c r="C57" s="310"/>
      <c r="L57" s="48" t="s">
        <v>610</v>
      </c>
      <c r="M57" s="77"/>
      <c r="O57" s="81">
        <f>P57-0</f>
        <v>24</v>
      </c>
      <c r="P57" s="81">
        <f>$F$56-0</f>
        <v>24</v>
      </c>
      <c r="Q57" s="129">
        <f>O57/$F$56</f>
        <v>1</v>
      </c>
      <c r="R57" s="129">
        <f>O57/P57</f>
        <v>1</v>
      </c>
      <c r="S57" s="127">
        <f>2*(Q57*R57)/(Q57+R57)</f>
        <v>1</v>
      </c>
      <c r="U57" s="81">
        <f>V57-0</f>
        <v>8</v>
      </c>
      <c r="V57" s="81">
        <f>$G$56-0</f>
        <v>8</v>
      </c>
      <c r="W57" s="129">
        <f>U57/$G$56</f>
        <v>1</v>
      </c>
      <c r="X57" s="129">
        <f>U57/V57</f>
        <v>1</v>
      </c>
      <c r="Y57" s="127">
        <f>2*(W57*X57)/(W57+X57)</f>
        <v>1</v>
      </c>
      <c r="AA57" s="81">
        <f>AB57-0</f>
        <v>20</v>
      </c>
      <c r="AB57" s="81">
        <f>$I$56-0</f>
        <v>20</v>
      </c>
      <c r="AC57" s="129">
        <f>AA57/$I$56</f>
        <v>1</v>
      </c>
      <c r="AD57" s="129">
        <f>AA57/AB57</f>
        <v>1</v>
      </c>
      <c r="AE57" s="127">
        <f>2*(AC57*AD57)/(AC57+AD57)</f>
        <v>1</v>
      </c>
      <c r="AG57">
        <v>3</v>
      </c>
      <c r="AH57">
        <v>3</v>
      </c>
      <c r="AI57" s="127">
        <f>AG57/$H$56</f>
        <v>0.3</v>
      </c>
      <c r="AJ57" s="127">
        <f>AG57/AH57</f>
        <v>1</v>
      </c>
      <c r="AM57" s="122">
        <v>0</v>
      </c>
      <c r="AN57" s="101">
        <v>0</v>
      </c>
      <c r="AO57">
        <v>228</v>
      </c>
      <c r="AP57">
        <v>12</v>
      </c>
      <c r="AQ57" s="101">
        <v>10</v>
      </c>
      <c r="AR57" s="101">
        <v>10</v>
      </c>
      <c r="AS57">
        <v>2</v>
      </c>
      <c r="AT57">
        <v>2</v>
      </c>
      <c r="AU57">
        <v>0</v>
      </c>
      <c r="AV57" s="119">
        <v>8</v>
      </c>
      <c r="AW57" s="101">
        <f>($F$56-N57)/$F$56</f>
        <v>1</v>
      </c>
      <c r="AY57" s="101">
        <f>($G$56-AN57)/$G$56</f>
        <v>1</v>
      </c>
      <c r="AZ57" s="101">
        <f>AR57/AQ57</f>
        <v>1</v>
      </c>
      <c r="BA57" s="101">
        <f>AT57/AS57</f>
        <v>1</v>
      </c>
      <c r="BB57" s="85">
        <f>(AW57+AY57+AZ57+BA57)/4</f>
        <v>1</v>
      </c>
      <c r="BC57" s="13">
        <f>AP57/$H$56</f>
        <v>1.2</v>
      </c>
      <c r="BD57" s="118">
        <f>AV57/AP57</f>
        <v>0.66666666666666663</v>
      </c>
      <c r="BE57" s="13">
        <f>AO57/AP57</f>
        <v>19</v>
      </c>
      <c r="BF57" s="13">
        <f>AT57/$H$56</f>
        <v>0.2</v>
      </c>
      <c r="BG57" s="13">
        <f>AR57/$H$56</f>
        <v>1</v>
      </c>
      <c r="BQ57" t="str">
        <f>_xlfn.CONCAT($C$56," &amp; ",C57," &amp; ",Q57," &amp; ",R57," &amp; ",S57," &amp; ",W57," &amp; ",X57," &amp; ",Y57," &amp; ",AC57," &amp; ",AD57," &amp; ",AE57," &amp; ",AG57," &amp; ",AH57," &amp; ",AI57," &amp; ",AJ57, " \\ \hline")</f>
        <v>6-3 &amp;  &amp; 1 &amp; 1 &amp; 1 &amp; 1 &amp; 1 &amp; 1 &amp; 1 &amp; 1 &amp; 1 &amp; 3 &amp; 3 &amp; 0.3 &amp; 1 \\ \hline</v>
      </c>
    </row>
    <row r="58" spans="1:69" ht="16">
      <c r="A58" t="s">
        <v>306</v>
      </c>
      <c r="C58" s="310"/>
      <c r="L58" s="48" t="s">
        <v>611</v>
      </c>
      <c r="M58" s="77"/>
      <c r="O58" s="81">
        <f>P58</f>
        <v>23</v>
      </c>
      <c r="P58" s="81">
        <f>$F$56-1</f>
        <v>23</v>
      </c>
      <c r="Q58" s="129">
        <f>O58/$F$56</f>
        <v>0.95833333333333337</v>
      </c>
      <c r="R58" s="129">
        <f>O58/P58</f>
        <v>1</v>
      </c>
      <c r="S58" s="127">
        <f>2*(Q58*R58)/(Q58+R58)</f>
        <v>0.97872340425531912</v>
      </c>
      <c r="U58" s="81">
        <f>V58-0</f>
        <v>8</v>
      </c>
      <c r="V58" s="81">
        <f>$G$56</f>
        <v>8</v>
      </c>
      <c r="W58" s="129">
        <f>U58/$G$56</f>
        <v>1</v>
      </c>
      <c r="X58" s="129">
        <f>U58/V58</f>
        <v>1</v>
      </c>
      <c r="Y58" s="127">
        <f>2*(W58*X58)/(W58+X58)</f>
        <v>1</v>
      </c>
      <c r="AA58" s="81">
        <f>AB58-0</f>
        <v>19</v>
      </c>
      <c r="AB58" s="81">
        <f>$I$56-1</f>
        <v>19</v>
      </c>
      <c r="AC58" s="129">
        <f>AA58/$I$56</f>
        <v>0.95</v>
      </c>
      <c r="AD58" s="129">
        <f>AA58/AB58</f>
        <v>1</v>
      </c>
      <c r="AE58" s="127">
        <f>2*(AC58*AD58)/(AC58+AD58)</f>
        <v>0.97435897435897434</v>
      </c>
      <c r="AG58">
        <f>AH58</f>
        <v>8</v>
      </c>
      <c r="AH58">
        <v>8</v>
      </c>
      <c r="AI58" s="127">
        <f>AG58/$H$56</f>
        <v>0.8</v>
      </c>
      <c r="AJ58" s="127">
        <f>AG58/AH58</f>
        <v>1</v>
      </c>
      <c r="AM58" s="122">
        <v>0</v>
      </c>
      <c r="AN58" s="101">
        <v>0</v>
      </c>
      <c r="AO58">
        <v>307</v>
      </c>
      <c r="AP58">
        <v>18</v>
      </c>
      <c r="AQ58" s="101">
        <v>11</v>
      </c>
      <c r="AR58" s="101">
        <v>11</v>
      </c>
      <c r="AS58">
        <v>7</v>
      </c>
      <c r="AT58">
        <v>7</v>
      </c>
      <c r="AU58">
        <v>0</v>
      </c>
      <c r="AV58" s="119">
        <v>9</v>
      </c>
      <c r="AW58" s="101">
        <f>($F$56-N58)/$F$56</f>
        <v>1</v>
      </c>
      <c r="AY58" s="101">
        <f>($G$56-AN58)/$G$56</f>
        <v>1</v>
      </c>
      <c r="AZ58" s="101">
        <f>AR58/AQ58</f>
        <v>1</v>
      </c>
      <c r="BA58" s="101">
        <f>AT58/AS58</f>
        <v>1</v>
      </c>
      <c r="BB58" s="85">
        <f>(AW58+AY58+AZ58+BA58)/4</f>
        <v>1</v>
      </c>
      <c r="BC58" s="13">
        <f>AP58/$H$56</f>
        <v>1.8</v>
      </c>
      <c r="BD58" s="118">
        <f>AV58/AP58</f>
        <v>0.5</v>
      </c>
      <c r="BE58" s="13">
        <f>AO58/AP58</f>
        <v>17.055555555555557</v>
      </c>
      <c r="BF58" s="13">
        <f>AT58/$H$56</f>
        <v>0.7</v>
      </c>
      <c r="BG58" s="13">
        <f>AR58/$H$56</f>
        <v>1.1000000000000001</v>
      </c>
      <c r="BQ58" t="str">
        <f t="shared" ref="BQ58:BQ60" si="9">_xlfn.CONCAT($C$56," &amp; ",C58," &amp; ",Q58," &amp; ",R58," &amp; ",S58," &amp; ",W58," &amp; ",X58," &amp; ",Y58," &amp; ",AC58," &amp; ",AD58," &amp; ",AE58," &amp; ",AG58," &amp; ",AH58," &amp; ",AI58," &amp; ",AJ58, " \\ \hline")</f>
        <v>6-3 &amp;  &amp; 0.958333333333333 &amp; 1 &amp; 0.978723404255319 &amp; 1 &amp; 1 &amp; 1 &amp; 0.95 &amp; 1 &amp; 0.974358974358974 &amp; 8 &amp; 8 &amp; 0.8 &amp; 1 \\ \hline</v>
      </c>
    </row>
    <row r="59" spans="1:69" ht="16">
      <c r="A59" t="s">
        <v>307</v>
      </c>
      <c r="C59" s="310"/>
      <c r="L59" s="48" t="s">
        <v>612</v>
      </c>
      <c r="M59" s="77"/>
      <c r="O59" s="81">
        <f>P59</f>
        <v>23</v>
      </c>
      <c r="P59" s="81">
        <f>$F$56-1</f>
        <v>23</v>
      </c>
      <c r="Q59" s="129">
        <f>O59/$F$56</f>
        <v>0.95833333333333337</v>
      </c>
      <c r="R59" s="129">
        <f>O59/P59</f>
        <v>1</v>
      </c>
      <c r="S59" s="127">
        <f>2*(Q59*R59)/(Q59+R59)</f>
        <v>0.97872340425531912</v>
      </c>
      <c r="U59" s="81">
        <f>V59-0</f>
        <v>8</v>
      </c>
      <c r="V59" s="81">
        <f>$G$56</f>
        <v>8</v>
      </c>
      <c r="W59" s="129">
        <f>U59/$G$56</f>
        <v>1</v>
      </c>
      <c r="X59" s="129">
        <f>U59/V59</f>
        <v>1</v>
      </c>
      <c r="Y59" s="127">
        <f>2*(W59*X59)/(W59+X59)</f>
        <v>1</v>
      </c>
      <c r="AA59" s="81">
        <f>AB59-0</f>
        <v>19</v>
      </c>
      <c r="AB59" s="81">
        <f>$I$56-1</f>
        <v>19</v>
      </c>
      <c r="AC59" s="129">
        <f>AA59/$I$56</f>
        <v>0.95</v>
      </c>
      <c r="AD59" s="129">
        <f>AA59/AB59</f>
        <v>1</v>
      </c>
      <c r="AE59" s="127">
        <f>2*(AC59*AD59)/(AC59+AD59)</f>
        <v>0.97435897435897434</v>
      </c>
      <c r="AG59">
        <f>AH59</f>
        <v>10</v>
      </c>
      <c r="AH59">
        <v>10</v>
      </c>
      <c r="AI59" s="127">
        <f>AG59/$H$56</f>
        <v>1</v>
      </c>
      <c r="AJ59" s="127">
        <f>AG59/AH59</f>
        <v>1</v>
      </c>
      <c r="AM59" s="122">
        <v>0</v>
      </c>
      <c r="AN59" s="101">
        <v>0</v>
      </c>
      <c r="AO59">
        <v>326</v>
      </c>
      <c r="AP59">
        <v>13</v>
      </c>
      <c r="AQ59" s="101">
        <v>11</v>
      </c>
      <c r="AR59" s="101">
        <v>8</v>
      </c>
      <c r="AS59">
        <v>2</v>
      </c>
      <c r="AT59">
        <v>2</v>
      </c>
      <c r="AU59">
        <v>0</v>
      </c>
      <c r="AV59" s="119">
        <v>10</v>
      </c>
      <c r="AW59" s="101">
        <f>($F$56-N59)/$F$56</f>
        <v>1</v>
      </c>
      <c r="AY59" s="101">
        <f>($G$56-AN59)/$G$56</f>
        <v>1</v>
      </c>
      <c r="AZ59" s="101">
        <f>AR59/AQ59</f>
        <v>0.72727272727272729</v>
      </c>
      <c r="BA59" s="101">
        <f>AT59/AS59</f>
        <v>1</v>
      </c>
      <c r="BB59" s="85">
        <f>(AW59+AY59+AZ59+BA59)/4</f>
        <v>0.93181818181818188</v>
      </c>
      <c r="BC59" s="13">
        <f>AP59/$H$56</f>
        <v>1.3</v>
      </c>
      <c r="BD59" s="118">
        <f>AV59/AP59</f>
        <v>0.76923076923076927</v>
      </c>
      <c r="BE59" s="13">
        <f>AO59/AP59</f>
        <v>25.076923076923077</v>
      </c>
      <c r="BF59" s="13">
        <f>AT59/$H$56</f>
        <v>0.2</v>
      </c>
      <c r="BG59" s="13">
        <f>AR59/$H$56</f>
        <v>0.8</v>
      </c>
      <c r="BQ59" t="str">
        <f t="shared" si="9"/>
        <v>6-3 &amp;  &amp; 0.958333333333333 &amp; 1 &amp; 0.978723404255319 &amp; 1 &amp; 1 &amp; 1 &amp; 0.95 &amp; 1 &amp; 0.974358974358974 &amp; 10 &amp; 10 &amp; 1 &amp; 1 \\ \hline</v>
      </c>
    </row>
    <row r="60" spans="1:69" ht="16">
      <c r="A60" t="s">
        <v>308</v>
      </c>
      <c r="C60" s="310"/>
      <c r="L60" s="48" t="s">
        <v>613</v>
      </c>
      <c r="M60" s="77"/>
      <c r="O60" s="81">
        <f>P60-0</f>
        <v>24</v>
      </c>
      <c r="P60" s="81">
        <f>$F$56</f>
        <v>24</v>
      </c>
      <c r="Q60" s="129">
        <f>O60/$F$56</f>
        <v>1</v>
      </c>
      <c r="R60" s="129">
        <f>O60/P60</f>
        <v>1</v>
      </c>
      <c r="S60" s="127">
        <f>2*(Q60*R60)/(Q60+R60)</f>
        <v>1</v>
      </c>
      <c r="U60" s="81">
        <f>V60-0</f>
        <v>8</v>
      </c>
      <c r="V60" s="81">
        <f>$G$56</f>
        <v>8</v>
      </c>
      <c r="W60" s="129">
        <f>U60/$G$56</f>
        <v>1</v>
      </c>
      <c r="X60" s="129">
        <f>U60/V60</f>
        <v>1</v>
      </c>
      <c r="Y60" s="127">
        <f>2*(W60*X60)/(W60+X60)</f>
        <v>1</v>
      </c>
      <c r="AA60" s="81">
        <f>AB60-0</f>
        <v>20</v>
      </c>
      <c r="AB60" s="81">
        <f>$I$56</f>
        <v>20</v>
      </c>
      <c r="AC60" s="129">
        <f>AA60/$I$56</f>
        <v>1</v>
      </c>
      <c r="AD60" s="129">
        <f>AA60/AB60</f>
        <v>1</v>
      </c>
      <c r="AE60" s="127">
        <f>2*(AC60*AD60)/(AC60+AD60)</f>
        <v>1</v>
      </c>
      <c r="AG60">
        <f>AH60</f>
        <v>4</v>
      </c>
      <c r="AH60">
        <v>4</v>
      </c>
      <c r="AI60" s="127">
        <f>AG60/$H$56</f>
        <v>0.4</v>
      </c>
      <c r="AJ60" s="127">
        <f>AG60/AH60</f>
        <v>1</v>
      </c>
      <c r="AM60" s="122">
        <v>0</v>
      </c>
      <c r="AN60" s="101">
        <v>0</v>
      </c>
      <c r="AO60">
        <v>344</v>
      </c>
      <c r="AP60">
        <v>12</v>
      </c>
      <c r="AQ60" s="101">
        <v>12</v>
      </c>
      <c r="AR60" s="101">
        <v>9</v>
      </c>
      <c r="AS60">
        <v>1</v>
      </c>
      <c r="AT60">
        <v>1</v>
      </c>
      <c r="AU60">
        <v>0</v>
      </c>
      <c r="AV60" s="119">
        <v>12</v>
      </c>
      <c r="AW60" s="101">
        <f>($F$56-N60)/$F$56</f>
        <v>1</v>
      </c>
      <c r="AY60" s="101">
        <f>($G$56-AN60)/$G$56</f>
        <v>1</v>
      </c>
      <c r="AZ60" s="101">
        <f>AR60/AQ60</f>
        <v>0.75</v>
      </c>
      <c r="BA60" s="101">
        <f>AT60/AS60</f>
        <v>1</v>
      </c>
      <c r="BB60" s="85">
        <f>(AW60+AY60+AZ60+BA60)/4</f>
        <v>0.9375</v>
      </c>
      <c r="BC60" s="13">
        <f>AP60/$H$56</f>
        <v>1.2</v>
      </c>
      <c r="BD60" s="118">
        <f>AV60/AP60</f>
        <v>1</v>
      </c>
      <c r="BE60" s="13">
        <f>AO60/AP60</f>
        <v>28.666666666666668</v>
      </c>
      <c r="BF60" s="13">
        <f>AT60/$H$56</f>
        <v>0.1</v>
      </c>
      <c r="BG60" s="13">
        <f>AR60/$H$56</f>
        <v>0.9</v>
      </c>
      <c r="BQ60" t="str">
        <f t="shared" si="9"/>
        <v>6-3 &amp;  &amp; 1 &amp; 1 &amp; 1 &amp; 1 &amp; 1 &amp; 1 &amp; 1 &amp; 1 &amp; 1 &amp; 4 &amp; 4 &amp; 0.4 &amp; 1 \\ \hline</v>
      </c>
    </row>
    <row r="61" spans="1:69">
      <c r="C61" s="98"/>
      <c r="Q61" s="129"/>
      <c r="R61" s="129"/>
      <c r="S61" s="127"/>
      <c r="W61" s="129"/>
      <c r="X61" s="129"/>
      <c r="Y61" s="127"/>
      <c r="AC61" s="129"/>
      <c r="AD61" s="129"/>
      <c r="AE61" s="127"/>
      <c r="AG61"/>
      <c r="AH61"/>
      <c r="AI61" s="127"/>
      <c r="AJ61" s="131"/>
    </row>
    <row r="62" spans="1:69" s="75" customFormat="1">
      <c r="A62" s="73" t="s">
        <v>319</v>
      </c>
      <c r="B62" s="94">
        <v>45179</v>
      </c>
      <c r="C62" s="93" t="s">
        <v>169</v>
      </c>
      <c r="D62" s="78">
        <f>VLOOKUP($C$62,Overview!$Q$2:$AS$64,23,FALSE)</f>
        <v>0.42192215666912153</v>
      </c>
      <c r="E62" s="78" t="str">
        <f>VLOOKUP($C$62,Overview!$Q$2:$AS$64,24,FALSE)</f>
        <v>low</v>
      </c>
      <c r="F62" s="75">
        <f>VLOOKUP(C62,Overview!$Q$2:$AS$64,13,FALSE)</f>
        <v>27</v>
      </c>
      <c r="G62" s="75">
        <f>VLOOKUP(C62,Overview!$Q$2:$AS$64,16,FALSE)</f>
        <v>11</v>
      </c>
      <c r="H62" s="75">
        <f>VLOOKUP(C62,Overview!$Q$2:$AS$64,18,FALSE)</f>
        <v>12</v>
      </c>
      <c r="I62" s="75">
        <f>VLOOKUP($C$62,Overview!$Q$2:$AS$64,19,FALSE)</f>
        <v>25</v>
      </c>
      <c r="K62" s="75" t="str">
        <f>VLOOKUP($C$62,Overview!$Q$2:$AS$64,5,FALSE)</f>
        <v>6-2, 3-8</v>
      </c>
      <c r="L62" s="96"/>
      <c r="N62" s="115"/>
      <c r="O62" s="97"/>
      <c r="P62" s="97"/>
      <c r="Q62" s="130"/>
      <c r="R62" s="130"/>
      <c r="S62" s="128"/>
      <c r="T62" s="115"/>
      <c r="U62" s="97"/>
      <c r="V62" s="97"/>
      <c r="W62" s="130"/>
      <c r="X62" s="130"/>
      <c r="Y62" s="128"/>
      <c r="Z62" s="115"/>
      <c r="AA62" s="97"/>
      <c r="AB62" s="97"/>
      <c r="AC62" s="130"/>
      <c r="AD62" s="130"/>
      <c r="AE62" s="128"/>
      <c r="AF62" s="115"/>
      <c r="AI62" s="128"/>
      <c r="AJ62" s="132"/>
      <c r="AK62" s="97"/>
      <c r="AL62" s="115"/>
      <c r="AM62" s="122"/>
      <c r="AN62" s="101"/>
      <c r="AQ62" s="101"/>
      <c r="AR62" s="101"/>
      <c r="AV62" s="119"/>
      <c r="AW62" s="101"/>
      <c r="AX62" s="101"/>
      <c r="AY62" s="101"/>
      <c r="AZ62" s="101"/>
      <c r="BA62" s="101"/>
      <c r="BB62" s="83"/>
      <c r="BD62" s="101"/>
      <c r="BQ62"/>
    </row>
    <row r="63" spans="1:69" ht="16">
      <c r="A63" t="s">
        <v>305</v>
      </c>
      <c r="C63" s="310"/>
      <c r="L63" s="48" t="s">
        <v>610</v>
      </c>
      <c r="M63" s="108"/>
      <c r="O63" s="81">
        <f>P63-3</f>
        <v>15</v>
      </c>
      <c r="P63" s="81">
        <f>$F$62-9</f>
        <v>18</v>
      </c>
      <c r="Q63" s="129">
        <f>O63/$F$62</f>
        <v>0.55555555555555558</v>
      </c>
      <c r="R63" s="129">
        <f>O63/P63</f>
        <v>0.83333333333333337</v>
      </c>
      <c r="S63" s="127">
        <f>2*(Q63*R63)/(Q63+R63)</f>
        <v>0.66666666666666674</v>
      </c>
      <c r="U63" s="81">
        <f>V63-0</f>
        <v>8</v>
      </c>
      <c r="V63" s="81">
        <f>$G$62-3</f>
        <v>8</v>
      </c>
      <c r="W63" s="129">
        <f>U63/$G$62</f>
        <v>0.72727272727272729</v>
      </c>
      <c r="X63" s="129">
        <f>U63/V63</f>
        <v>1</v>
      </c>
      <c r="Y63" s="127">
        <f>2*(W63*X63)/(W63+X63)</f>
        <v>0.8421052631578948</v>
      </c>
      <c r="AA63" s="81">
        <f>AB63-5</f>
        <v>11</v>
      </c>
      <c r="AB63" s="81">
        <f>$I$62-9</f>
        <v>16</v>
      </c>
      <c r="AC63" s="129">
        <f>AA63/$I$62</f>
        <v>0.44</v>
      </c>
      <c r="AD63" s="129">
        <f>AA63/AB63</f>
        <v>0.6875</v>
      </c>
      <c r="AE63" s="127">
        <f>2*(AC63*AD63)/(AC63+AD63)</f>
        <v>0.53658536585365857</v>
      </c>
      <c r="AG63">
        <f>AH63-1</f>
        <v>9</v>
      </c>
      <c r="AH63">
        <v>10</v>
      </c>
      <c r="AI63" s="127">
        <f>AG63/$H$62</f>
        <v>0.75</v>
      </c>
      <c r="AJ63" s="127">
        <f>AG63/AH63</f>
        <v>0.9</v>
      </c>
      <c r="AM63" s="122">
        <v>13</v>
      </c>
      <c r="AN63" s="101">
        <v>3</v>
      </c>
      <c r="AO63">
        <v>155</v>
      </c>
      <c r="AP63">
        <v>9</v>
      </c>
      <c r="AQ63" s="101">
        <v>6</v>
      </c>
      <c r="AR63" s="101">
        <v>6</v>
      </c>
      <c r="AS63">
        <v>1</v>
      </c>
      <c r="AT63">
        <v>1</v>
      </c>
      <c r="AU63">
        <v>2</v>
      </c>
      <c r="AV63" s="119">
        <v>3</v>
      </c>
      <c r="AW63" s="101">
        <f>($F$62-N63)/$F$62</f>
        <v>1</v>
      </c>
      <c r="AY63" s="101">
        <f>($G$62-AN63)/$G$62</f>
        <v>0.72727272727272729</v>
      </c>
      <c r="AZ63" s="101">
        <f>AR63/AQ63</f>
        <v>1</v>
      </c>
      <c r="BA63" s="101">
        <f>AT63/AS63</f>
        <v>1</v>
      </c>
      <c r="BB63" s="85">
        <f>(AW63+AY63+AZ63+BA63)/4</f>
        <v>0.93181818181818188</v>
      </c>
      <c r="BC63" s="13">
        <f>AP63/$H$62</f>
        <v>0.75</v>
      </c>
      <c r="BD63" s="118">
        <f>AV63/AP63</f>
        <v>0.33333333333333331</v>
      </c>
      <c r="BE63" s="13">
        <f>AO63/AP63</f>
        <v>17.222222222222221</v>
      </c>
      <c r="BF63" s="13">
        <f>AT63/$H$62</f>
        <v>8.3333333333333329E-2</v>
      </c>
      <c r="BG63" s="13">
        <f>AR63/$H$62</f>
        <v>0.5</v>
      </c>
      <c r="BQ63" t="str">
        <f>_xlfn.CONCAT($C$62," &amp; ",C63," &amp; ",Q63," &amp; ",R63," &amp; ",S63," &amp; ",W63," &amp; ",X63," &amp; ",Y63," &amp; ",AC63," &amp; ",AD63," &amp; ",AE63," &amp; ",AG63," &amp; ",AH63," &amp; ",AI63," &amp; ",AJ63, " \\ \hline")</f>
        <v>10-1 &amp;  &amp; 0.555555555555556 &amp; 0.833333333333333 &amp; 0.666666666666667 &amp; 0.727272727272727 &amp; 1 &amp; 0.842105263157895 &amp; 0.44 &amp; 0.6875 &amp; 0.536585365853659 &amp; 9 &amp; 10 &amp; 0.75 &amp; 0.9 \\ \hline</v>
      </c>
    </row>
    <row r="64" spans="1:69" ht="16">
      <c r="A64" t="s">
        <v>306</v>
      </c>
      <c r="C64" s="310"/>
      <c r="L64" s="48" t="s">
        <v>611</v>
      </c>
      <c r="M64" s="108"/>
      <c r="O64" s="81">
        <f>P64-4</f>
        <v>17</v>
      </c>
      <c r="P64" s="81">
        <f>$F$62-6</f>
        <v>21</v>
      </c>
      <c r="Q64" s="129">
        <f>O64/$F$62</f>
        <v>0.62962962962962965</v>
      </c>
      <c r="R64" s="129">
        <f>O64/P64</f>
        <v>0.80952380952380953</v>
      </c>
      <c r="S64" s="127">
        <f>2*(Q64*R64)/(Q64+R64)</f>
        <v>0.70833333333333337</v>
      </c>
      <c r="U64" s="81">
        <f>V64-1</f>
        <v>7</v>
      </c>
      <c r="V64" s="81">
        <f>$G$62-3</f>
        <v>8</v>
      </c>
      <c r="W64" s="129">
        <f>U64/$G$62</f>
        <v>0.63636363636363635</v>
      </c>
      <c r="X64" s="129">
        <f>U64/V64</f>
        <v>0.875</v>
      </c>
      <c r="Y64" s="127">
        <f>2*(W64*X64)/(W64+X64)</f>
        <v>0.73684210526315785</v>
      </c>
      <c r="AA64" s="81">
        <f>AB64-5</f>
        <v>14</v>
      </c>
      <c r="AB64" s="81">
        <f>$I$62-6</f>
        <v>19</v>
      </c>
      <c r="AC64" s="129">
        <f>AA64/$I$62</f>
        <v>0.56000000000000005</v>
      </c>
      <c r="AD64" s="129">
        <f>AA64/AB64</f>
        <v>0.73684210526315785</v>
      </c>
      <c r="AE64" s="127">
        <f>2*(AC64*AD64)/(AC64+AD64)</f>
        <v>0.63636363636363635</v>
      </c>
      <c r="AG64">
        <f>AH64-1</f>
        <v>11</v>
      </c>
      <c r="AH64">
        <v>12</v>
      </c>
      <c r="AI64" s="127">
        <f>AG64/$H$62</f>
        <v>0.91666666666666663</v>
      </c>
      <c r="AJ64" s="127">
        <f>AG64/AH64</f>
        <v>0.91666666666666663</v>
      </c>
      <c r="AW64" s="101">
        <f>($F$62-N64)/$F$62</f>
        <v>1</v>
      </c>
      <c r="AY64" s="101">
        <f>($G$62-AN64)/$G$62</f>
        <v>1</v>
      </c>
      <c r="AZ64" s="101" t="e">
        <f>AR64/AQ64</f>
        <v>#DIV/0!</v>
      </c>
      <c r="BA64" s="101" t="e">
        <f>AT64/AS64</f>
        <v>#DIV/0!</v>
      </c>
      <c r="BB64" s="85" t="e">
        <f>(AW64+AY64+AZ64+BA64)/4</f>
        <v>#DIV/0!</v>
      </c>
      <c r="BC64" s="13">
        <f>AP64/$H$62</f>
        <v>0</v>
      </c>
      <c r="BD64" s="118" t="e">
        <f>AV64/AP64</f>
        <v>#DIV/0!</v>
      </c>
      <c r="BE64" s="13" t="e">
        <f>AO64/AP64</f>
        <v>#DIV/0!</v>
      </c>
      <c r="BF64" s="13">
        <f>AT64/$H$62</f>
        <v>0</v>
      </c>
      <c r="BG64" s="13">
        <f>AR64/$H$62</f>
        <v>0</v>
      </c>
      <c r="BQ64" t="str">
        <f t="shared" ref="BQ64:BQ66" si="10">_xlfn.CONCAT($C$62," &amp; ",C64," &amp; ",Q64," &amp; ",R64," &amp; ",S64," &amp; ",W64," &amp; ",X64," &amp; ",Y64," &amp; ",AC64," &amp; ",AD64," &amp; ",AE64," &amp; ",AG64," &amp; ",AH64," &amp; ",AI64," &amp; ",AJ64, " \\ \hline")</f>
        <v>10-1 &amp;  &amp; 0.62962962962963 &amp; 0.80952380952381 &amp; 0.708333333333333 &amp; 0.636363636363636 &amp; 0.875 &amp; 0.736842105263158 &amp; 0.56 &amp; 0.736842105263158 &amp; 0.636363636363636 &amp; 11 &amp; 12 &amp; 0.916666666666667 &amp; 0.916666666666667 \\ \hline</v>
      </c>
    </row>
    <row r="65" spans="1:69" ht="16">
      <c r="A65" t="s">
        <v>307</v>
      </c>
      <c r="C65" s="310"/>
      <c r="L65" s="48" t="s">
        <v>612</v>
      </c>
      <c r="M65" s="77"/>
      <c r="O65" s="81">
        <f>P65-5</f>
        <v>18</v>
      </c>
      <c r="P65" s="81">
        <f>$F$62-4</f>
        <v>23</v>
      </c>
      <c r="Q65" s="129">
        <f>O65/$F$62</f>
        <v>0.66666666666666663</v>
      </c>
      <c r="R65" s="129">
        <f>O65/P65</f>
        <v>0.78260869565217395</v>
      </c>
      <c r="S65" s="127">
        <f>2*(Q65*R65)/(Q65+R65)</f>
        <v>0.72</v>
      </c>
      <c r="U65" s="81">
        <f>V65-2</f>
        <v>7</v>
      </c>
      <c r="V65" s="81">
        <f>$G$62-2</f>
        <v>9</v>
      </c>
      <c r="W65" s="129">
        <f>U65/$G$62</f>
        <v>0.63636363636363635</v>
      </c>
      <c r="X65" s="129">
        <f>U65/V65</f>
        <v>0.77777777777777779</v>
      </c>
      <c r="Y65" s="127">
        <f>2*(W65*X65)/(W65+X65)</f>
        <v>0.70000000000000007</v>
      </c>
      <c r="AA65" s="81">
        <f>AB65-3</f>
        <v>18</v>
      </c>
      <c r="AB65" s="81">
        <f>$I$62-4</f>
        <v>21</v>
      </c>
      <c r="AC65" s="129">
        <f>AA65/$I$62</f>
        <v>0.72</v>
      </c>
      <c r="AD65" s="129">
        <f>AA65/AB65</f>
        <v>0.8571428571428571</v>
      </c>
      <c r="AE65" s="127">
        <f>2*(AC65*AD65)/(AC65+AD65)</f>
        <v>0.78260869565217395</v>
      </c>
      <c r="AG65">
        <f>AH65-1</f>
        <v>13</v>
      </c>
      <c r="AH65">
        <v>14</v>
      </c>
      <c r="AI65" s="127">
        <f>AG65/$H$62</f>
        <v>1.0833333333333333</v>
      </c>
      <c r="AJ65" s="127">
        <f>AG65/AH65</f>
        <v>0.9285714285714286</v>
      </c>
      <c r="AW65" s="101">
        <f>($F$62-N65)/$F$62</f>
        <v>1</v>
      </c>
      <c r="AY65" s="101">
        <f>($G$62-AN65)/$G$62</f>
        <v>1</v>
      </c>
      <c r="AZ65" s="101" t="e">
        <f>AR65/AQ65</f>
        <v>#DIV/0!</v>
      </c>
      <c r="BA65" s="101" t="e">
        <f>AT65/AS65</f>
        <v>#DIV/0!</v>
      </c>
      <c r="BB65" s="85" t="e">
        <f>(AW65+AY65+AZ65+BA65)/4</f>
        <v>#DIV/0!</v>
      </c>
      <c r="BC65" s="13">
        <f>AP65/$H$62</f>
        <v>0</v>
      </c>
      <c r="BD65" s="118" t="e">
        <f>AV65/AP65</f>
        <v>#DIV/0!</v>
      </c>
      <c r="BE65" s="13" t="e">
        <f>AO65/AP65</f>
        <v>#DIV/0!</v>
      </c>
      <c r="BF65" s="13">
        <f>AT65/$H$62</f>
        <v>0</v>
      </c>
      <c r="BG65" s="13">
        <f>AR65/$H$62</f>
        <v>0</v>
      </c>
      <c r="BQ65" t="str">
        <f t="shared" si="10"/>
        <v>10-1 &amp;  &amp; 0.666666666666667 &amp; 0.782608695652174 &amp; 0.72 &amp; 0.636363636363636 &amp; 0.777777777777778 &amp; 0.7 &amp; 0.72 &amp; 0.857142857142857 &amp; 0.782608695652174 &amp; 13 &amp; 14 &amp; 1.08333333333333 &amp; 0.928571428571429 \\ \hline</v>
      </c>
    </row>
    <row r="66" spans="1:69" ht="16">
      <c r="A66" t="s">
        <v>308</v>
      </c>
      <c r="C66" s="310"/>
      <c r="L66" s="48" t="s">
        <v>613</v>
      </c>
      <c r="M66" s="77"/>
      <c r="O66" s="81">
        <f>P66-3</f>
        <v>23</v>
      </c>
      <c r="P66" s="81">
        <f>$F$62-1</f>
        <v>26</v>
      </c>
      <c r="Q66" s="129">
        <f>O66/$F$62</f>
        <v>0.85185185185185186</v>
      </c>
      <c r="R66" s="129">
        <f>O66/P66</f>
        <v>0.88461538461538458</v>
      </c>
      <c r="S66" s="127">
        <f>2*(Q66*R66)/(Q66+R66)</f>
        <v>0.86792452830188682</v>
      </c>
      <c r="U66" s="81">
        <f>V66-2</f>
        <v>8</v>
      </c>
      <c r="V66" s="81">
        <f>$G$62-1</f>
        <v>10</v>
      </c>
      <c r="W66" s="129">
        <f>U66/$G$62</f>
        <v>0.72727272727272729</v>
      </c>
      <c r="X66" s="129">
        <f>U66/V66</f>
        <v>0.8</v>
      </c>
      <c r="Y66" s="127">
        <f>2*(W66*X66)/(W66+X66)</f>
        <v>0.76190476190476197</v>
      </c>
      <c r="AA66" s="81">
        <f>AB66-0</f>
        <v>24</v>
      </c>
      <c r="AB66" s="81">
        <f>$I$62-1</f>
        <v>24</v>
      </c>
      <c r="AC66" s="129">
        <f>AA66/$I$62</f>
        <v>0.96</v>
      </c>
      <c r="AD66" s="129">
        <f>AA66/AB66</f>
        <v>1</v>
      </c>
      <c r="AE66" s="127">
        <f>2*(AC66*AD66)/(AC66+AD66)</f>
        <v>0.97959183673469385</v>
      </c>
      <c r="AG66">
        <f>AH66</f>
        <v>5</v>
      </c>
      <c r="AH66">
        <v>5</v>
      </c>
      <c r="AI66" s="127">
        <f>AG66/$H$62</f>
        <v>0.41666666666666669</v>
      </c>
      <c r="AJ66" s="127">
        <f>AG66/AH66</f>
        <v>1</v>
      </c>
      <c r="AW66" s="101">
        <f>($F$62-N66)/$F$62</f>
        <v>1</v>
      </c>
      <c r="AY66" s="101">
        <f>($G$62-AN66)/$G$62</f>
        <v>1</v>
      </c>
      <c r="AZ66" s="101" t="e">
        <f>AR66/AQ66</f>
        <v>#DIV/0!</v>
      </c>
      <c r="BA66" s="101" t="e">
        <f>AT66/AS66</f>
        <v>#DIV/0!</v>
      </c>
      <c r="BB66" s="85" t="e">
        <f>(AW66+AY66+AZ66+BA66)/4</f>
        <v>#DIV/0!</v>
      </c>
      <c r="BC66" s="13">
        <f>AP66/$H$62</f>
        <v>0</v>
      </c>
      <c r="BD66" s="118" t="e">
        <f>AV66/AP66</f>
        <v>#DIV/0!</v>
      </c>
      <c r="BE66" s="13" t="e">
        <f>AO66/AP66</f>
        <v>#DIV/0!</v>
      </c>
      <c r="BF66" s="13">
        <f>AT66/$H$62</f>
        <v>0</v>
      </c>
      <c r="BG66" s="13">
        <f>AR66/$H$62</f>
        <v>0</v>
      </c>
      <c r="BQ66" t="str">
        <f t="shared" si="10"/>
        <v>10-1 &amp;  &amp; 0.851851851851852 &amp; 0.884615384615385 &amp; 0.867924528301887 &amp; 0.727272727272727 &amp; 0.8 &amp; 0.761904761904762 &amp; 0.96 &amp; 1 &amp; 0.979591836734694 &amp; 5 &amp; 5 &amp; 0.416666666666667 &amp; 1 \\ \hline</v>
      </c>
    </row>
    <row r="67" spans="1:69">
      <c r="C67" s="98"/>
      <c r="Q67" s="129"/>
      <c r="R67" s="129"/>
      <c r="S67" s="127"/>
      <c r="W67" s="129"/>
      <c r="X67" s="129"/>
      <c r="Y67" s="127"/>
      <c r="AC67" s="129"/>
      <c r="AD67" s="129"/>
      <c r="AE67" s="127"/>
      <c r="AG67"/>
      <c r="AH67"/>
      <c r="AI67" s="127"/>
      <c r="AJ67" s="131"/>
    </row>
    <row r="68" spans="1:69" s="75" customFormat="1">
      <c r="A68" s="75" t="s">
        <v>320</v>
      </c>
      <c r="B68" s="94">
        <v>45179</v>
      </c>
      <c r="C68" s="93" t="s">
        <v>162</v>
      </c>
      <c r="D68" s="78">
        <f>VLOOKUP($C$68,Overview!$Q$2:$AS$64,23,FALSE)</f>
        <v>0.50627224900379741</v>
      </c>
      <c r="E68" s="78" t="str">
        <f>VLOOKUP($C$68,Overview!$Q$2:$AS$64,24,FALSE)</f>
        <v>low</v>
      </c>
      <c r="F68" s="75">
        <f>VLOOKUP(C68,Overview!$Q$2:$AS$64,13,FALSE)</f>
        <v>31</v>
      </c>
      <c r="G68" s="75">
        <f>VLOOKUP(C68,Overview!$Q$2:$AS$64,16,FALSE)</f>
        <v>9</v>
      </c>
      <c r="H68" s="75">
        <f>VLOOKUP(C68,Overview!$Q$2:$AS$64,18,FALSE)</f>
        <v>11</v>
      </c>
      <c r="I68" s="75">
        <f>VLOOKUP($C$68,Overview!$Q$2:$AS$64,19,FALSE)</f>
        <v>29</v>
      </c>
      <c r="K68" s="75" t="str">
        <f>VLOOKUP($C$68,Overview!$Q$2:$AS$64,5,FALSE)</f>
        <v>6-2, 8-2</v>
      </c>
      <c r="L68" s="96"/>
      <c r="N68" s="115"/>
      <c r="O68" s="97"/>
      <c r="P68" s="97"/>
      <c r="Q68" s="130"/>
      <c r="R68" s="130"/>
      <c r="S68" s="128"/>
      <c r="T68" s="115"/>
      <c r="U68" s="97"/>
      <c r="V68" s="97"/>
      <c r="W68" s="130"/>
      <c r="X68" s="130"/>
      <c r="Y68" s="128"/>
      <c r="Z68" s="115"/>
      <c r="AA68" s="97"/>
      <c r="AB68" s="97"/>
      <c r="AC68" s="130"/>
      <c r="AD68" s="130"/>
      <c r="AE68" s="128"/>
      <c r="AF68" s="115"/>
      <c r="AI68" s="128"/>
      <c r="AJ68" s="132"/>
      <c r="AK68" s="97"/>
      <c r="AL68" s="115"/>
      <c r="AM68" s="122"/>
      <c r="AN68" s="101"/>
      <c r="AQ68" s="101"/>
      <c r="AR68" s="101"/>
      <c r="AV68" s="119"/>
      <c r="AW68" s="101"/>
      <c r="AX68" s="101"/>
      <c r="AY68" s="101"/>
      <c r="AZ68" s="101"/>
      <c r="BA68" s="101"/>
      <c r="BB68" s="83"/>
      <c r="BD68" s="101"/>
      <c r="BQ68"/>
    </row>
    <row r="69" spans="1:69" ht="16">
      <c r="A69" t="s">
        <v>305</v>
      </c>
      <c r="C69" s="310"/>
      <c r="L69" s="48" t="s">
        <v>610</v>
      </c>
      <c r="M69" s="77"/>
      <c r="O69" s="163">
        <f>P69-2</f>
        <v>25</v>
      </c>
      <c r="P69" s="163">
        <f>$F$68-4</f>
        <v>27</v>
      </c>
      <c r="Q69" s="129">
        <f>O69/$F$68</f>
        <v>0.80645161290322576</v>
      </c>
      <c r="R69" s="129">
        <f>O69/P69</f>
        <v>0.92592592592592593</v>
      </c>
      <c r="S69" s="127">
        <f>2*(Q69*R69)/(Q69+R69)</f>
        <v>0.86206896551724144</v>
      </c>
      <c r="U69" s="81">
        <f>V69-1</f>
        <v>8</v>
      </c>
      <c r="V69" s="81">
        <f>$G$68</f>
        <v>9</v>
      </c>
      <c r="W69" s="129">
        <f>U69/$G$68</f>
        <v>0.88888888888888884</v>
      </c>
      <c r="X69" s="129">
        <f>U69/V69</f>
        <v>0.88888888888888884</v>
      </c>
      <c r="Y69" s="127">
        <f>2*(W69*X69)/(W69+X69)</f>
        <v>0.88888888888888884</v>
      </c>
      <c r="AA69" s="81">
        <f>AB69-3</f>
        <v>22</v>
      </c>
      <c r="AB69" s="81">
        <f>$I$68-4</f>
        <v>25</v>
      </c>
      <c r="AC69" s="129">
        <f>AA69/$I$68</f>
        <v>0.75862068965517238</v>
      </c>
      <c r="AD69" s="129">
        <f>AA69/AB69</f>
        <v>0.88</v>
      </c>
      <c r="AE69" s="127">
        <f>2*(AC69*AD69)/(AC69+AD69)</f>
        <v>0.81481481481481477</v>
      </c>
      <c r="AG69">
        <f>AH69-0</f>
        <v>4</v>
      </c>
      <c r="AH69">
        <v>4</v>
      </c>
      <c r="AI69" s="127">
        <f>AG69/$H$68</f>
        <v>0.36363636363636365</v>
      </c>
      <c r="AJ69" s="127">
        <f>AG69/AH69</f>
        <v>1</v>
      </c>
      <c r="AM69" s="122">
        <v>3</v>
      </c>
      <c r="AN69" s="101">
        <v>1</v>
      </c>
      <c r="AO69">
        <v>273</v>
      </c>
      <c r="AP69">
        <v>14</v>
      </c>
      <c r="AQ69" s="101">
        <v>14</v>
      </c>
      <c r="AR69" s="101">
        <v>13</v>
      </c>
      <c r="AS69">
        <v>0</v>
      </c>
      <c r="AT69">
        <v>0</v>
      </c>
      <c r="AU69">
        <v>0</v>
      </c>
      <c r="AV69" s="119">
        <v>10</v>
      </c>
      <c r="AW69" s="101">
        <f>($F$68-N69)/$F$68</f>
        <v>1</v>
      </c>
      <c r="AY69" s="101">
        <f>($G$68-AN69)/$G$68</f>
        <v>0.88888888888888884</v>
      </c>
      <c r="AZ69" s="101">
        <f>AR69/AQ69</f>
        <v>0.9285714285714286</v>
      </c>
      <c r="BA69" s="101">
        <v>0</v>
      </c>
      <c r="BB69" s="85">
        <f>(AW69+AY69+AZ69+BA69)/4</f>
        <v>0.70436507936507931</v>
      </c>
      <c r="BC69" s="13">
        <f>AP69/$H$68</f>
        <v>1.2727272727272727</v>
      </c>
      <c r="BD69" s="118">
        <f>AV69/AP69</f>
        <v>0.7142857142857143</v>
      </c>
      <c r="BE69" s="13">
        <f>AO69/AP69</f>
        <v>19.5</v>
      </c>
      <c r="BF69" s="13">
        <f>AT69/$H$68</f>
        <v>0</v>
      </c>
      <c r="BG69" s="13">
        <f>AR69/$H$68</f>
        <v>1.1818181818181819</v>
      </c>
      <c r="BQ69" t="str">
        <f>_xlfn.CONCAT($C$68," &amp; ",C69," &amp; ",Q69," &amp; ",R69," &amp; ",S69," &amp; ",W69," &amp; ",X69," &amp; ",Y69," &amp; ",AC69," &amp; ",AD69," &amp; ",AE69," &amp; ",AG69," &amp; ",AH69," &amp; ",AI69," &amp; ",AJ69, " \\ \hline")</f>
        <v>8-3 &amp;  &amp; 0.806451612903226 &amp; 0.925925925925926 &amp; 0.862068965517241 &amp; 0.888888888888889 &amp; 0.888888888888889 &amp; 0.888888888888889 &amp; 0.758620689655172 &amp; 0.88 &amp; 0.814814814814815 &amp; 4 &amp; 4 &amp; 0.363636363636364 &amp; 1 \\ \hline</v>
      </c>
    </row>
    <row r="70" spans="1:69" ht="16">
      <c r="A70" t="s">
        <v>306</v>
      </c>
      <c r="C70" s="310"/>
      <c r="L70" s="48" t="s">
        <v>611</v>
      </c>
      <c r="M70" s="77"/>
      <c r="O70" s="163">
        <f>P70-2</f>
        <v>27</v>
      </c>
      <c r="P70" s="163">
        <f>$F$68-2</f>
        <v>29</v>
      </c>
      <c r="Q70" s="129">
        <f>O70/$F$68</f>
        <v>0.87096774193548387</v>
      </c>
      <c r="R70" s="129">
        <f>O70/P70</f>
        <v>0.93103448275862066</v>
      </c>
      <c r="S70" s="127">
        <f>2*(Q70*R70)/(Q70+R70)</f>
        <v>0.9</v>
      </c>
      <c r="U70" s="81">
        <f>V70-1</f>
        <v>8</v>
      </c>
      <c r="V70" s="81">
        <f>$G$68</f>
        <v>9</v>
      </c>
      <c r="W70" s="129">
        <f>U70/$G$68</f>
        <v>0.88888888888888884</v>
      </c>
      <c r="X70" s="129">
        <f>U70/V70</f>
        <v>0.88888888888888884</v>
      </c>
      <c r="Y70" s="127">
        <f>2*(W70*X70)/(W70+X70)</f>
        <v>0.88888888888888884</v>
      </c>
      <c r="AA70" s="81">
        <f>AB70-0</f>
        <v>27</v>
      </c>
      <c r="AB70" s="81">
        <f>$I$68-2</f>
        <v>27</v>
      </c>
      <c r="AC70" s="129">
        <f>AA70/$I$68</f>
        <v>0.93103448275862066</v>
      </c>
      <c r="AD70" s="129">
        <f>AA70/AB70</f>
        <v>1</v>
      </c>
      <c r="AE70" s="127">
        <f>2*(AC70*AD70)/(AC70+AD70)</f>
        <v>0.9642857142857143</v>
      </c>
      <c r="AG70">
        <f>AH70-0</f>
        <v>6</v>
      </c>
      <c r="AH70">
        <v>6</v>
      </c>
      <c r="AI70" s="127">
        <f>AG70/$H$68</f>
        <v>0.54545454545454541</v>
      </c>
      <c r="AJ70" s="127">
        <f>AG70/AH70</f>
        <v>1</v>
      </c>
      <c r="AM70" s="122">
        <v>4</v>
      </c>
      <c r="AN70" s="101">
        <v>2</v>
      </c>
      <c r="AO70">
        <v>347</v>
      </c>
      <c r="AP70">
        <v>17</v>
      </c>
      <c r="AQ70" s="101">
        <v>14</v>
      </c>
      <c r="AR70" s="101">
        <v>11</v>
      </c>
      <c r="AS70">
        <v>3</v>
      </c>
      <c r="AT70">
        <v>2</v>
      </c>
      <c r="AU70">
        <v>0</v>
      </c>
      <c r="AV70" s="119">
        <v>9</v>
      </c>
      <c r="AW70" s="101">
        <f>($F$68-N70)/$F$68</f>
        <v>1</v>
      </c>
      <c r="AY70" s="101">
        <f>($G$68-AN70)/$G$68</f>
        <v>0.77777777777777779</v>
      </c>
      <c r="AZ70" s="101">
        <f>AR70/AQ70</f>
        <v>0.7857142857142857</v>
      </c>
      <c r="BA70" s="101">
        <f>AT70/AS70</f>
        <v>0.66666666666666663</v>
      </c>
      <c r="BB70" s="85">
        <f>(AW70+AY70+AZ70+BA70)/4</f>
        <v>0.80753968253968245</v>
      </c>
      <c r="BC70" s="13">
        <f>AP70/$H$68</f>
        <v>1.5454545454545454</v>
      </c>
      <c r="BD70" s="118">
        <f>AV70/AP70</f>
        <v>0.52941176470588236</v>
      </c>
      <c r="BE70" s="13">
        <f>AO70/AP70</f>
        <v>20.411764705882351</v>
      </c>
      <c r="BF70" s="13">
        <f>AT70/$H$68</f>
        <v>0.18181818181818182</v>
      </c>
      <c r="BG70" s="13">
        <f>AR70/$H$68</f>
        <v>1</v>
      </c>
      <c r="BQ70" t="str">
        <f t="shared" ref="BQ70:BQ72" si="11">_xlfn.CONCAT($C$68," &amp; ",C70," &amp; ",Q70," &amp; ",R70," &amp; ",S70," &amp; ",W70," &amp; ",X70," &amp; ",Y70," &amp; ",AC70," &amp; ",AD70," &amp; ",AE70," &amp; ",AG70," &amp; ",AH70," &amp; ",AI70," &amp; ",AJ70, " \\ \hline")</f>
        <v>8-3 &amp;  &amp; 0.870967741935484 &amp; 0.931034482758621 &amp; 0.9 &amp; 0.888888888888889 &amp; 0.888888888888889 &amp; 0.888888888888889 &amp; 0.931034482758621 &amp; 1 &amp; 0.964285714285714 &amp; 6 &amp; 6 &amp; 0.545454545454545 &amp; 1 \\ \hline</v>
      </c>
    </row>
    <row r="71" spans="1:69" ht="16">
      <c r="A71" t="s">
        <v>307</v>
      </c>
      <c r="C71" s="310"/>
      <c r="L71" s="48" t="s">
        <v>612</v>
      </c>
      <c r="M71" s="77"/>
      <c r="O71" s="163">
        <f>P71-2</f>
        <v>25</v>
      </c>
      <c r="P71" s="163">
        <f>$F$68-4</f>
        <v>27</v>
      </c>
      <c r="Q71" s="129">
        <f>O71/$F$68</f>
        <v>0.80645161290322576</v>
      </c>
      <c r="R71" s="129">
        <f>O71/P71</f>
        <v>0.92592592592592593</v>
      </c>
      <c r="S71" s="127">
        <f>2*(Q71*R71)/(Q71+R71)</f>
        <v>0.86206896551724144</v>
      </c>
      <c r="U71" s="81">
        <f>V71-1</f>
        <v>8</v>
      </c>
      <c r="V71" s="81">
        <f>$G$68</f>
        <v>9</v>
      </c>
      <c r="W71" s="129">
        <f>U71/$G$68</f>
        <v>0.88888888888888884</v>
      </c>
      <c r="X71" s="129">
        <f>U71/V71</f>
        <v>0.88888888888888884</v>
      </c>
      <c r="Y71" s="127">
        <f>2*(W71*X71)/(W71+X71)</f>
        <v>0.88888888888888884</v>
      </c>
      <c r="AA71" s="81">
        <f>AB71-3</f>
        <v>22</v>
      </c>
      <c r="AB71" s="81">
        <f>$I$68-4</f>
        <v>25</v>
      </c>
      <c r="AC71" s="129">
        <f>AA71/$I$68</f>
        <v>0.75862068965517238</v>
      </c>
      <c r="AD71" s="129">
        <f>AA71/AB71</f>
        <v>0.88</v>
      </c>
      <c r="AE71" s="127">
        <f>2*(AC71*AD71)/(AC71+AD71)</f>
        <v>0.81481481481481477</v>
      </c>
      <c r="AG71">
        <f>AH71-0</f>
        <v>14</v>
      </c>
      <c r="AH71">
        <v>14</v>
      </c>
      <c r="AI71" s="127">
        <f>AG71/$H$68</f>
        <v>1.2727272727272727</v>
      </c>
      <c r="AJ71" s="127">
        <f>AG71/AH71</f>
        <v>1</v>
      </c>
      <c r="AM71" s="122">
        <v>3</v>
      </c>
      <c r="AN71" s="101">
        <v>2</v>
      </c>
      <c r="AO71">
        <v>282</v>
      </c>
      <c r="AP71">
        <v>16</v>
      </c>
      <c r="AQ71" s="101">
        <v>14</v>
      </c>
      <c r="AR71" s="101">
        <v>8</v>
      </c>
      <c r="AS71">
        <v>2</v>
      </c>
      <c r="AT71">
        <v>2</v>
      </c>
      <c r="AU71">
        <v>0</v>
      </c>
      <c r="AV71" s="119">
        <v>6</v>
      </c>
      <c r="AW71" s="101">
        <f>($F$68-N71)/$F$68</f>
        <v>1</v>
      </c>
      <c r="AY71" s="101">
        <f>($G$68-AN71)/$G$68</f>
        <v>0.77777777777777779</v>
      </c>
      <c r="AZ71" s="101">
        <f>AR71/AQ71</f>
        <v>0.5714285714285714</v>
      </c>
      <c r="BA71" s="101">
        <f>AT71/AS71</f>
        <v>1</v>
      </c>
      <c r="BB71" s="85">
        <f>(AW71+AY71+AZ71+BA71)/4</f>
        <v>0.83730158730158721</v>
      </c>
      <c r="BC71" s="13">
        <f>AP71/$H$68</f>
        <v>1.4545454545454546</v>
      </c>
      <c r="BD71" s="118">
        <f>AV71/AP71</f>
        <v>0.375</v>
      </c>
      <c r="BE71" s="13">
        <f>AO71/AP71</f>
        <v>17.625</v>
      </c>
      <c r="BF71" s="13">
        <f>AT71/$H$68</f>
        <v>0.18181818181818182</v>
      </c>
      <c r="BG71" s="13">
        <f>AR71/$H$68</f>
        <v>0.72727272727272729</v>
      </c>
      <c r="BQ71" t="str">
        <f t="shared" si="11"/>
        <v>8-3 &amp;  &amp; 0.806451612903226 &amp; 0.925925925925926 &amp; 0.862068965517241 &amp; 0.888888888888889 &amp; 0.888888888888889 &amp; 0.888888888888889 &amp; 0.758620689655172 &amp; 0.88 &amp; 0.814814814814815 &amp; 14 &amp; 14 &amp; 1.27272727272727 &amp; 1 \\ \hline</v>
      </c>
    </row>
    <row r="72" spans="1:69" ht="16">
      <c r="A72" t="s">
        <v>308</v>
      </c>
      <c r="C72" s="310"/>
      <c r="L72" s="48" t="s">
        <v>613</v>
      </c>
      <c r="M72" s="77"/>
      <c r="O72" s="163">
        <f>P72</f>
        <v>28</v>
      </c>
      <c r="P72" s="163">
        <f>$F$68-3</f>
        <v>28</v>
      </c>
      <c r="Q72" s="129">
        <f>O72/$F$68</f>
        <v>0.90322580645161288</v>
      </c>
      <c r="R72" s="129">
        <f>O72/P72</f>
        <v>1</v>
      </c>
      <c r="S72" s="127">
        <f>2*(Q72*R72)/(Q72+R72)</f>
        <v>0.94915254237288127</v>
      </c>
      <c r="U72" s="81">
        <f>V72-0</f>
        <v>9</v>
      </c>
      <c r="V72" s="81">
        <f>$G$68</f>
        <v>9</v>
      </c>
      <c r="W72" s="129">
        <f>U72/$G$68</f>
        <v>1</v>
      </c>
      <c r="X72" s="129">
        <f>U72/V72</f>
        <v>1</v>
      </c>
      <c r="Y72" s="127">
        <f>2*(W72*X72)/(W72+X72)</f>
        <v>1</v>
      </c>
      <c r="AA72" s="81">
        <f>AB72-3</f>
        <v>23</v>
      </c>
      <c r="AB72" s="81">
        <f>$I$68-3</f>
        <v>26</v>
      </c>
      <c r="AC72" s="129">
        <f>AA72/$I$68</f>
        <v>0.7931034482758621</v>
      </c>
      <c r="AD72" s="129">
        <f>AA72/AB72</f>
        <v>0.88461538461538458</v>
      </c>
      <c r="AE72" s="127">
        <f>2*(AC72*AD72)/(AC72+AD72)</f>
        <v>0.83636363636363631</v>
      </c>
      <c r="AG72">
        <f>AH72-0</f>
        <v>9</v>
      </c>
      <c r="AH72">
        <v>9</v>
      </c>
      <c r="AI72" s="127">
        <f>AG72/$H$68</f>
        <v>0.81818181818181823</v>
      </c>
      <c r="AJ72" s="127">
        <f>AG72/AH72</f>
        <v>1</v>
      </c>
      <c r="AM72" s="122">
        <v>4</v>
      </c>
      <c r="AN72" s="101">
        <v>2</v>
      </c>
      <c r="AO72">
        <v>309</v>
      </c>
      <c r="AP72">
        <v>15</v>
      </c>
      <c r="AQ72" s="101">
        <v>13</v>
      </c>
      <c r="AR72" s="101">
        <v>12</v>
      </c>
      <c r="AS72">
        <v>2</v>
      </c>
      <c r="AT72">
        <v>2</v>
      </c>
      <c r="AU72">
        <v>0</v>
      </c>
      <c r="AV72" s="119">
        <v>11</v>
      </c>
      <c r="AW72" s="101">
        <f>($F$68-N72)/$F$68</f>
        <v>1</v>
      </c>
      <c r="AY72" s="101">
        <f>($G$68-AN72)/$G$68</f>
        <v>0.77777777777777779</v>
      </c>
      <c r="AZ72" s="101">
        <f>AR72/AQ72</f>
        <v>0.92307692307692313</v>
      </c>
      <c r="BA72" s="101">
        <f>AT72/AS72</f>
        <v>1</v>
      </c>
      <c r="BB72" s="85">
        <f>(AW72+AY72+AZ72+BA72)/4</f>
        <v>0.92521367521367526</v>
      </c>
      <c r="BC72" s="13">
        <f>AP72/$H$68</f>
        <v>1.3636363636363635</v>
      </c>
      <c r="BD72" s="118">
        <f>AV72/AP72</f>
        <v>0.73333333333333328</v>
      </c>
      <c r="BE72" s="13">
        <f>AO72/AP72</f>
        <v>20.6</v>
      </c>
      <c r="BF72" s="13">
        <f>AT72/$H$68</f>
        <v>0.18181818181818182</v>
      </c>
      <c r="BG72" s="13">
        <f>AR72/$H$68</f>
        <v>1.0909090909090908</v>
      </c>
      <c r="BQ72" t="str">
        <f t="shared" si="11"/>
        <v>8-3 &amp;  &amp; 0.903225806451613 &amp; 1 &amp; 0.949152542372881 &amp; 1 &amp; 1 &amp; 1 &amp; 0.793103448275862 &amp; 0.884615384615385 &amp; 0.836363636363636 &amp; 9 &amp; 9 &amp; 0.818181818181818 &amp; 1 \\ \hline</v>
      </c>
    </row>
    <row r="73" spans="1:69">
      <c r="C73" s="98"/>
      <c r="Q73" s="129"/>
      <c r="R73" s="129"/>
      <c r="S73" s="127"/>
      <c r="W73" s="129"/>
      <c r="X73" s="129"/>
      <c r="Y73" s="127"/>
      <c r="AC73" s="129"/>
      <c r="AD73" s="129"/>
      <c r="AE73" s="127"/>
      <c r="AG73"/>
      <c r="AH73"/>
      <c r="AI73" s="127"/>
      <c r="AJ73" s="131"/>
    </row>
    <row r="74" spans="1:69" s="75" customFormat="1">
      <c r="A74" s="73" t="s">
        <v>346</v>
      </c>
      <c r="B74" s="94">
        <v>45179</v>
      </c>
      <c r="C74" s="99" t="s">
        <v>161</v>
      </c>
      <c r="D74" s="78">
        <f>VLOOKUP($C$74,Overview!$Q$2:$AS$64,23,FALSE)</f>
        <v>0.52174731599712521</v>
      </c>
      <c r="E74" s="78" t="str">
        <f>VLOOKUP($C$74,Overview!$Q$2:$AS$64,24,FALSE)</f>
        <v>low</v>
      </c>
      <c r="F74" s="75">
        <f>VLOOKUP(C74,Overview!$Q$2:$AS$64,13,FALSE)</f>
        <v>32</v>
      </c>
      <c r="G74" s="75">
        <f>VLOOKUP(C74,Overview!$Q$2:$AS$64,16,FALSE)</f>
        <v>9</v>
      </c>
      <c r="H74" s="75">
        <f>VLOOKUP(C74,Overview!$Q$2:$AS$64,18,FALSE)</f>
        <v>11</v>
      </c>
      <c r="I74" s="75">
        <f>VLOOKUP($C$74,Overview!$Q$2:$AS$64,19,FALSE)</f>
        <v>30</v>
      </c>
      <c r="K74" s="75" t="str">
        <f>VLOOKUP($C$74,Overview!$Q$2:$AS$64,5,FALSE)</f>
        <v>6-2, 3-8</v>
      </c>
      <c r="L74" s="96"/>
      <c r="N74" s="115"/>
      <c r="O74" s="97"/>
      <c r="P74" s="97"/>
      <c r="Q74" s="130"/>
      <c r="R74" s="130"/>
      <c r="S74" s="128"/>
      <c r="T74" s="115"/>
      <c r="U74" s="97"/>
      <c r="V74" s="97"/>
      <c r="W74" s="130"/>
      <c r="X74" s="130"/>
      <c r="Y74" s="128"/>
      <c r="Z74" s="115"/>
      <c r="AA74" s="97"/>
      <c r="AB74" s="97"/>
      <c r="AC74" s="130"/>
      <c r="AD74" s="130"/>
      <c r="AE74" s="128"/>
      <c r="AF74" s="115"/>
      <c r="AI74" s="128"/>
      <c r="AJ74" s="132"/>
      <c r="AK74" s="97"/>
      <c r="AL74" s="115"/>
      <c r="AM74" s="122"/>
      <c r="AN74" s="101"/>
      <c r="AQ74" s="101"/>
      <c r="AR74" s="101"/>
      <c r="AV74" s="119"/>
      <c r="AW74" s="101"/>
      <c r="AX74" s="101"/>
      <c r="AY74" s="101"/>
      <c r="AZ74" s="101"/>
      <c r="BA74" s="101"/>
      <c r="BB74" s="83"/>
      <c r="BD74" s="101"/>
      <c r="BQ74"/>
    </row>
    <row r="75" spans="1:69" ht="16">
      <c r="A75" t="s">
        <v>305</v>
      </c>
      <c r="C75" s="310"/>
      <c r="L75" s="174" t="s">
        <v>610</v>
      </c>
      <c r="M75" s="77"/>
      <c r="O75" s="81">
        <f>P75-6</f>
        <v>22</v>
      </c>
      <c r="P75" s="81">
        <f>$F$74-4</f>
        <v>28</v>
      </c>
      <c r="Q75" s="129">
        <f>O75/$F$74</f>
        <v>0.6875</v>
      </c>
      <c r="R75" s="129">
        <f>O75/P75</f>
        <v>0.7857142857142857</v>
      </c>
      <c r="S75" s="127">
        <f>2*(Q75*R75)/(Q75+R75)</f>
        <v>0.73333333333333339</v>
      </c>
      <c r="U75" s="81">
        <f>V75-2</f>
        <v>7</v>
      </c>
      <c r="V75" s="81">
        <f>$G$74-0</f>
        <v>9</v>
      </c>
      <c r="W75" s="129">
        <f>U75/$G$74</f>
        <v>0.77777777777777779</v>
      </c>
      <c r="X75" s="129">
        <f>U75/V75</f>
        <v>0.77777777777777779</v>
      </c>
      <c r="Y75" s="127">
        <f>2*(W75*X75)/(W75+X75)</f>
        <v>0.77777777777777779</v>
      </c>
      <c r="AA75" s="81">
        <f>AB75-3</f>
        <v>23</v>
      </c>
      <c r="AB75" s="81">
        <f>$I$74-4</f>
        <v>26</v>
      </c>
      <c r="AC75" s="129">
        <f>AA75/$I$74</f>
        <v>0.76666666666666672</v>
      </c>
      <c r="AD75" s="129">
        <f>AA75/AB75</f>
        <v>0.88461538461538458</v>
      </c>
      <c r="AE75" s="127">
        <f>2*(AC75*AD75)/(AC75+AD75)</f>
        <v>0.82142857142857151</v>
      </c>
      <c r="AG75">
        <f>AH75-0</f>
        <v>8</v>
      </c>
      <c r="AH75">
        <v>8</v>
      </c>
      <c r="AI75" s="127">
        <f>AG75/$H$74</f>
        <v>0.72727272727272729</v>
      </c>
      <c r="AJ75" s="127">
        <f>AG75/AH75</f>
        <v>1</v>
      </c>
      <c r="AM75" s="122">
        <v>9</v>
      </c>
      <c r="AN75" s="101">
        <v>2</v>
      </c>
      <c r="AO75">
        <v>229</v>
      </c>
      <c r="AP75">
        <v>12</v>
      </c>
      <c r="AQ75" s="101">
        <v>12</v>
      </c>
      <c r="AR75" s="101">
        <v>4</v>
      </c>
      <c r="AS75">
        <v>0</v>
      </c>
      <c r="AT75">
        <v>0</v>
      </c>
      <c r="AU75">
        <v>0</v>
      </c>
      <c r="AV75" s="119">
        <v>10</v>
      </c>
      <c r="AW75" s="101">
        <f>($F$74-N75)/$F$74</f>
        <v>1</v>
      </c>
      <c r="AY75" s="101">
        <f>($G$74-AN75)/$G$74</f>
        <v>0.77777777777777779</v>
      </c>
      <c r="AZ75" s="101">
        <f>AR75/AQ75</f>
        <v>0.33333333333333331</v>
      </c>
      <c r="BA75" s="101">
        <v>0</v>
      </c>
      <c r="BB75" s="85">
        <f>(AW75+AY75+AZ75+BA75)/4</f>
        <v>0.52777777777777779</v>
      </c>
      <c r="BC75" s="13">
        <f>AP75/$H$74</f>
        <v>1.0909090909090908</v>
      </c>
      <c r="BD75" s="118">
        <f>AV75/AP75</f>
        <v>0.83333333333333337</v>
      </c>
      <c r="BE75" s="13">
        <f>AO75/AP75</f>
        <v>19.083333333333332</v>
      </c>
      <c r="BF75" s="13">
        <f>AT75/$H$74</f>
        <v>0</v>
      </c>
      <c r="BG75" s="13">
        <f>AR75/$H$74</f>
        <v>0.36363636363636365</v>
      </c>
      <c r="BQ75" t="str">
        <f>_xlfn.CONCAT($C$74," &amp; ",C75," &amp; ",Q75," &amp; ",R75," &amp; ",S75," &amp; ",W75," &amp; ",X75," &amp; ",Y75," &amp; ",AC75," &amp; ",AD75," &amp; ",AE75," &amp; ",AG75," &amp; ",AH75," &amp; ",AI75," &amp; ",AJ75, " \\ \hline")</f>
        <v>8-2 &amp;  &amp; 0.6875 &amp; 0.785714285714286 &amp; 0.733333333333333 &amp; 0.777777777777778 &amp; 0.777777777777778 &amp; 0.777777777777778 &amp; 0.766666666666667 &amp; 0.884615384615385 &amp; 0.821428571428572 &amp; 8 &amp; 8 &amp; 0.727272727272727 &amp; 1 \\ \hline</v>
      </c>
    </row>
    <row r="76" spans="1:69" ht="16">
      <c r="A76" t="s">
        <v>306</v>
      </c>
      <c r="C76" s="310"/>
      <c r="L76" s="174" t="s">
        <v>611</v>
      </c>
      <c r="M76" s="77"/>
      <c r="O76" s="81">
        <f>P76-6</f>
        <v>25</v>
      </c>
      <c r="P76" s="81">
        <f>$F$74-1</f>
        <v>31</v>
      </c>
      <c r="Q76" s="129">
        <f>O76/$F$74</f>
        <v>0.78125</v>
      </c>
      <c r="R76" s="129">
        <f>O76/P76</f>
        <v>0.80645161290322576</v>
      </c>
      <c r="S76" s="127">
        <f>2*(Q76*R76)/(Q76+R76)</f>
        <v>0.79365079365079361</v>
      </c>
      <c r="U76" s="81">
        <f>V76-1</f>
        <v>8</v>
      </c>
      <c r="V76" s="81">
        <f>$G$74-0</f>
        <v>9</v>
      </c>
      <c r="W76" s="129">
        <f>U76/$G$74</f>
        <v>0.88888888888888884</v>
      </c>
      <c r="X76" s="129">
        <f>U76/V76</f>
        <v>0.88888888888888884</v>
      </c>
      <c r="Y76" s="127">
        <f>2*(W76*X76)/(W76+X76)</f>
        <v>0.88888888888888884</v>
      </c>
      <c r="AA76" s="81">
        <f>AB76-2</f>
        <v>27</v>
      </c>
      <c r="AB76" s="81">
        <f>$I$74-1</f>
        <v>29</v>
      </c>
      <c r="AC76" s="129">
        <f>AA76/$I$74</f>
        <v>0.9</v>
      </c>
      <c r="AD76" s="129">
        <f>AA76/AB76</f>
        <v>0.93103448275862066</v>
      </c>
      <c r="AE76" s="127">
        <f>2*(AC76*AD76)/(AC76+AD76)</f>
        <v>0.9152542372881356</v>
      </c>
      <c r="AG76">
        <f>AH76-0</f>
        <v>9</v>
      </c>
      <c r="AH76">
        <v>9</v>
      </c>
      <c r="AI76" s="127">
        <f>AG76/$H$74</f>
        <v>0.81818181818181823</v>
      </c>
      <c r="AJ76" s="127">
        <f>AG76/AH76</f>
        <v>1</v>
      </c>
      <c r="AM76" s="122">
        <v>4</v>
      </c>
      <c r="AN76" s="101">
        <v>1</v>
      </c>
      <c r="AO76">
        <v>338</v>
      </c>
      <c r="AP76">
        <v>14</v>
      </c>
      <c r="AQ76" s="101">
        <v>11</v>
      </c>
      <c r="AR76" s="101">
        <v>6</v>
      </c>
      <c r="AS76">
        <v>3</v>
      </c>
      <c r="AT76">
        <v>3</v>
      </c>
      <c r="AU76">
        <v>0</v>
      </c>
      <c r="AV76" s="119">
        <v>8</v>
      </c>
      <c r="AW76" s="101">
        <f>($F$74-N76)/$F$74</f>
        <v>1</v>
      </c>
      <c r="AY76" s="101">
        <f>($G$74-AN76)/$G$74</f>
        <v>0.88888888888888884</v>
      </c>
      <c r="AZ76" s="101">
        <f>AR76/AQ76</f>
        <v>0.54545454545454541</v>
      </c>
      <c r="BA76" s="101">
        <f>AT76/AS76</f>
        <v>1</v>
      </c>
      <c r="BB76" s="85">
        <f>(AW76+AY76+AZ76+BA76)/4</f>
        <v>0.85858585858585856</v>
      </c>
      <c r="BC76" s="13">
        <f>AP76/$H$74</f>
        <v>1.2727272727272727</v>
      </c>
      <c r="BD76" s="118">
        <f>AV76/AP76</f>
        <v>0.5714285714285714</v>
      </c>
      <c r="BE76" s="13">
        <f>AO76/AP76</f>
        <v>24.142857142857142</v>
      </c>
      <c r="BF76" s="13">
        <f>AT76/$H$74</f>
        <v>0.27272727272727271</v>
      </c>
      <c r="BG76" s="13">
        <f>AR76/$H$74</f>
        <v>0.54545454545454541</v>
      </c>
      <c r="BQ76" t="str">
        <f t="shared" ref="BQ76:BQ78" si="12">_xlfn.CONCAT($C$74," &amp; ",C76," &amp; ",Q76," &amp; ",R76," &amp; ",S76," &amp; ",W76," &amp; ",X76," &amp; ",Y76," &amp; ",AC76," &amp; ",AD76," &amp; ",AE76," &amp; ",AG76," &amp; ",AH76," &amp; ",AI76," &amp; ",AJ76, " \\ \hline")</f>
        <v>8-2 &amp;  &amp; 0.78125 &amp; 0.806451612903226 &amp; 0.793650793650794 &amp; 0.888888888888889 &amp; 0.888888888888889 &amp; 0.888888888888889 &amp; 0.9 &amp; 0.931034482758621 &amp; 0.915254237288136 &amp; 9 &amp; 9 &amp; 0.818181818181818 &amp; 1 \\ \hline</v>
      </c>
    </row>
    <row r="77" spans="1:69" ht="16">
      <c r="A77" t="s">
        <v>307</v>
      </c>
      <c r="C77" s="310"/>
      <c r="L77" s="174" t="s">
        <v>612</v>
      </c>
      <c r="M77" s="77"/>
      <c r="O77" s="81">
        <f>P77-2</f>
        <v>24</v>
      </c>
      <c r="P77" s="81">
        <f>$F$74-6</f>
        <v>26</v>
      </c>
      <c r="Q77" s="129">
        <f>O77/$F$74</f>
        <v>0.75</v>
      </c>
      <c r="R77" s="129">
        <f>O77/P77</f>
        <v>0.92307692307692313</v>
      </c>
      <c r="S77" s="127">
        <f>2*(Q77*R77)/(Q77+R77)</f>
        <v>0.82758620689655171</v>
      </c>
      <c r="U77" s="81">
        <f>V77-2</f>
        <v>7</v>
      </c>
      <c r="V77" s="81">
        <f>$G$74-0</f>
        <v>9</v>
      </c>
      <c r="W77" s="129">
        <f>U77/$G$74</f>
        <v>0.77777777777777779</v>
      </c>
      <c r="X77" s="129">
        <f>U77/V77</f>
        <v>0.77777777777777779</v>
      </c>
      <c r="Y77" s="127">
        <f>2*(W77*X77)/(W77+X77)</f>
        <v>0.77777777777777779</v>
      </c>
      <c r="AA77" s="81">
        <f>AB77-5</f>
        <v>19</v>
      </c>
      <c r="AB77" s="81">
        <f>$I$74-6</f>
        <v>24</v>
      </c>
      <c r="AC77" s="129">
        <f>AA77/$I$74</f>
        <v>0.6333333333333333</v>
      </c>
      <c r="AD77" s="129">
        <f>AA77/AB77</f>
        <v>0.79166666666666663</v>
      </c>
      <c r="AE77" s="127">
        <f>2*(AC77*AD77)/(AC77+AD77)</f>
        <v>0.70370370370370383</v>
      </c>
      <c r="AG77">
        <f>AH77-0</f>
        <v>13</v>
      </c>
      <c r="AH77">
        <v>13</v>
      </c>
      <c r="AI77" s="127">
        <f>AG77/$H$74</f>
        <v>1.1818181818181819</v>
      </c>
      <c r="AJ77" s="127">
        <f>AG77/AH77</f>
        <v>1</v>
      </c>
      <c r="AM77" s="122">
        <v>7</v>
      </c>
      <c r="AN77" s="101">
        <v>2</v>
      </c>
      <c r="AO77">
        <v>302</v>
      </c>
      <c r="AP77">
        <v>17</v>
      </c>
      <c r="AQ77" s="101">
        <v>15</v>
      </c>
      <c r="AR77" s="101">
        <v>10</v>
      </c>
      <c r="AS77">
        <v>2</v>
      </c>
      <c r="AT77">
        <v>2</v>
      </c>
      <c r="AU77">
        <v>0</v>
      </c>
      <c r="AV77" s="119">
        <v>12</v>
      </c>
      <c r="AW77" s="101">
        <f>($F$74-N77)/$F$74</f>
        <v>1</v>
      </c>
      <c r="AY77" s="101">
        <f>($G$74-AN77)/$G$74</f>
        <v>0.77777777777777779</v>
      </c>
      <c r="AZ77" s="101">
        <f>AR77/AQ77</f>
        <v>0.66666666666666663</v>
      </c>
      <c r="BA77" s="101">
        <f>AT77/AS77</f>
        <v>1</v>
      </c>
      <c r="BB77" s="85">
        <f>(AW77+AY77+AZ77+BA77)/4</f>
        <v>0.86111111111111105</v>
      </c>
      <c r="BC77" s="13">
        <f>AP77/$H$74</f>
        <v>1.5454545454545454</v>
      </c>
      <c r="BD77" s="118">
        <f>AV77/AP77</f>
        <v>0.70588235294117652</v>
      </c>
      <c r="BE77" s="13">
        <f>AO77/AP77</f>
        <v>17.764705882352942</v>
      </c>
      <c r="BF77" s="13">
        <f>AT77/$H$74</f>
        <v>0.18181818181818182</v>
      </c>
      <c r="BG77" s="13">
        <f>AR77/$H$74</f>
        <v>0.90909090909090906</v>
      </c>
      <c r="BQ77" t="str">
        <f t="shared" si="12"/>
        <v>8-2 &amp;  &amp; 0.75 &amp; 0.923076923076923 &amp; 0.827586206896552 &amp; 0.777777777777778 &amp; 0.777777777777778 &amp; 0.777777777777778 &amp; 0.633333333333333 &amp; 0.791666666666667 &amp; 0.703703703703704 &amp; 13 &amp; 13 &amp; 1.18181818181818 &amp; 1 \\ \hline</v>
      </c>
    </row>
    <row r="78" spans="1:69" ht="16">
      <c r="A78" t="s">
        <v>308</v>
      </c>
      <c r="C78" s="310"/>
      <c r="L78" s="174" t="s">
        <v>613</v>
      </c>
      <c r="M78" s="77"/>
      <c r="O78" s="81">
        <f>P78-3</f>
        <v>28</v>
      </c>
      <c r="P78" s="81">
        <f>$F$74-1</f>
        <v>31</v>
      </c>
      <c r="Q78" s="129">
        <f>O78/$F$74</f>
        <v>0.875</v>
      </c>
      <c r="R78" s="129">
        <f>O78/P78</f>
        <v>0.90322580645161288</v>
      </c>
      <c r="S78" s="127">
        <f>2*(Q78*R78)/(Q78+R78)</f>
        <v>0.88888888888888884</v>
      </c>
      <c r="U78" s="81">
        <f>V78-1</f>
        <v>8</v>
      </c>
      <c r="V78" s="81">
        <f>$G$74-0</f>
        <v>9</v>
      </c>
      <c r="W78" s="129">
        <f>U78/$G$74</f>
        <v>0.88888888888888884</v>
      </c>
      <c r="X78" s="129">
        <f>U78/V78</f>
        <v>0.88888888888888884</v>
      </c>
      <c r="Y78" s="127">
        <f>2*(W78*X78)/(W78+X78)</f>
        <v>0.88888888888888884</v>
      </c>
      <c r="AA78" s="81">
        <f>AB78-1</f>
        <v>28</v>
      </c>
      <c r="AB78" s="81">
        <f>$I$74-1</f>
        <v>29</v>
      </c>
      <c r="AC78" s="129">
        <f>AA78/$I$74</f>
        <v>0.93333333333333335</v>
      </c>
      <c r="AD78" s="129">
        <f>AA78/AB78</f>
        <v>0.96551724137931039</v>
      </c>
      <c r="AE78" s="127">
        <f>2*(AC78*AD78)/(AC78+AD78)</f>
        <v>0.94915254237288149</v>
      </c>
      <c r="AG78">
        <f>AH78-0</f>
        <v>2</v>
      </c>
      <c r="AH78">
        <v>2</v>
      </c>
      <c r="AI78" s="127">
        <f>AG78/$H$74</f>
        <v>0.18181818181818182</v>
      </c>
      <c r="AJ78" s="127">
        <f>AG78/AH78</f>
        <v>1</v>
      </c>
      <c r="AM78" s="122">
        <v>7</v>
      </c>
      <c r="AN78" s="101">
        <v>1</v>
      </c>
      <c r="AO78">
        <v>362</v>
      </c>
      <c r="AP78">
        <v>19</v>
      </c>
      <c r="AQ78" s="101">
        <v>15</v>
      </c>
      <c r="AR78" s="101">
        <v>8</v>
      </c>
      <c r="AS78">
        <v>4</v>
      </c>
      <c r="AT78">
        <v>3</v>
      </c>
      <c r="AU78">
        <v>0</v>
      </c>
      <c r="AV78" s="119">
        <v>11</v>
      </c>
      <c r="AW78" s="101">
        <f>($F$74-N78)/$F$74</f>
        <v>1</v>
      </c>
      <c r="AY78" s="101">
        <f>($G$74-AN78)/$G$74</f>
        <v>0.88888888888888884</v>
      </c>
      <c r="AZ78" s="101">
        <f>AR78/AQ78</f>
        <v>0.53333333333333333</v>
      </c>
      <c r="BA78" s="101">
        <f>AT78/AS78</f>
        <v>0.75</v>
      </c>
      <c r="BB78" s="85">
        <f>(AW78+AY78+AZ78+BA78)/4</f>
        <v>0.79305555555555551</v>
      </c>
      <c r="BC78" s="13">
        <f>AP78/$H$74</f>
        <v>1.7272727272727273</v>
      </c>
      <c r="BD78" s="118">
        <f>AV78/AP78</f>
        <v>0.57894736842105265</v>
      </c>
      <c r="BE78" s="13">
        <f>AO78/AP78</f>
        <v>19.05263157894737</v>
      </c>
      <c r="BF78" s="13">
        <f>AT78/$H$74</f>
        <v>0.27272727272727271</v>
      </c>
      <c r="BG78" s="13">
        <f>AR78/$H$74</f>
        <v>0.72727272727272729</v>
      </c>
      <c r="BQ78" t="str">
        <f t="shared" si="12"/>
        <v>8-2 &amp;  &amp; 0.875 &amp; 0.903225806451613 &amp; 0.888888888888889 &amp; 0.888888888888889 &amp; 0.888888888888889 &amp; 0.888888888888889 &amp; 0.933333333333333 &amp; 0.96551724137931 &amp; 0.949152542372881 &amp; 2 &amp; 2 &amp; 0.181818181818182 &amp; 1 \\ \hline</v>
      </c>
    </row>
    <row r="79" spans="1:69">
      <c r="C79" s="98"/>
      <c r="Q79" s="129"/>
      <c r="R79" s="129"/>
      <c r="S79" s="127"/>
      <c r="W79" s="129"/>
      <c r="X79" s="129"/>
      <c r="Y79" s="127"/>
      <c r="AC79" s="129"/>
      <c r="AD79" s="129"/>
      <c r="AE79" s="127"/>
      <c r="AG79"/>
      <c r="AH79"/>
      <c r="AI79" s="127"/>
      <c r="AJ79" s="131"/>
    </row>
    <row r="80" spans="1:69" s="75" customFormat="1">
      <c r="A80" s="73" t="s">
        <v>347</v>
      </c>
      <c r="B80" s="95">
        <v>45178</v>
      </c>
      <c r="C80" s="99" t="s">
        <v>148</v>
      </c>
      <c r="D80" s="78">
        <f>VLOOKUP($C$80,Overview!$Q$2:$AS$64,23,FALSE)</f>
        <v>0.56186483688761291</v>
      </c>
      <c r="E80" s="78" t="str">
        <f>VLOOKUP($C$80,Overview!$Q$2:$AS$64,24,FALSE)</f>
        <v>low</v>
      </c>
      <c r="F80" s="75">
        <f>VLOOKUP(C80,Overview!$Q$2:$AS$64,13,FALSE)</f>
        <v>33</v>
      </c>
      <c r="G80" s="75">
        <f>VLOOKUP(C80,Overview!$Q$2:$AS$64,16,FALSE)</f>
        <v>8</v>
      </c>
      <c r="H80" s="75">
        <f>VLOOKUP(C80,Overview!$Q$2:$AS$64,18,FALSE)</f>
        <v>8</v>
      </c>
      <c r="I80" s="75">
        <f>VLOOKUP($C$80,Overview!$Q$2:$AS$64,19,FALSE)</f>
        <v>33</v>
      </c>
      <c r="K80" s="75" t="str">
        <f>VLOOKUP($C$80,Overview!$Q$2:$AS$64,5,FALSE)</f>
        <v>5-1, 3-8</v>
      </c>
      <c r="L80" s="96"/>
      <c r="N80" s="115"/>
      <c r="O80" s="97"/>
      <c r="P80" s="97"/>
      <c r="Q80" s="130"/>
      <c r="R80" s="130"/>
      <c r="S80" s="128"/>
      <c r="T80" s="115"/>
      <c r="U80" s="97"/>
      <c r="V80" s="97"/>
      <c r="W80" s="130"/>
      <c r="X80" s="130"/>
      <c r="Y80" s="128"/>
      <c r="Z80" s="115"/>
      <c r="AA80" s="97"/>
      <c r="AB80" s="97"/>
      <c r="AC80" s="130"/>
      <c r="AD80" s="130"/>
      <c r="AE80" s="128"/>
      <c r="AF80" s="115"/>
      <c r="AI80" s="128"/>
      <c r="AJ80" s="132"/>
      <c r="AK80" s="97"/>
      <c r="AL80" s="115"/>
      <c r="AM80" s="122"/>
      <c r="AN80" s="101"/>
      <c r="AQ80" s="101"/>
      <c r="AR80" s="101"/>
      <c r="AV80" s="119"/>
      <c r="AW80" s="101"/>
      <c r="AX80" s="101"/>
      <c r="AY80" s="101"/>
      <c r="AZ80" s="101"/>
      <c r="BA80" s="101"/>
      <c r="BB80" s="83"/>
      <c r="BD80" s="101"/>
      <c r="BQ80"/>
    </row>
    <row r="81" spans="1:69" ht="16">
      <c r="A81" t="s">
        <v>305</v>
      </c>
      <c r="C81" s="310"/>
      <c r="L81" s="174" t="s">
        <v>610</v>
      </c>
      <c r="M81" s="77"/>
      <c r="O81" s="81">
        <f>P81-0</f>
        <v>28</v>
      </c>
      <c r="P81" s="81">
        <f>$F$80-5</f>
        <v>28</v>
      </c>
      <c r="Q81" s="129">
        <f>O81/$F$80</f>
        <v>0.84848484848484851</v>
      </c>
      <c r="R81" s="129">
        <f>O81/P81</f>
        <v>1</v>
      </c>
      <c r="S81" s="127">
        <f>2*(Q81*R81)/(Q81+R81)</f>
        <v>0.91803278688524581</v>
      </c>
      <c r="U81" s="81">
        <f>V81-0</f>
        <v>5</v>
      </c>
      <c r="V81" s="81">
        <f>$G$80-3</f>
        <v>5</v>
      </c>
      <c r="W81" s="129">
        <f>U81/$G$80</f>
        <v>0.625</v>
      </c>
      <c r="X81" s="129">
        <f>U81/V81</f>
        <v>1</v>
      </c>
      <c r="Y81" s="127">
        <f>2*(W81*X81)/(W81+X81)</f>
        <v>0.76923076923076927</v>
      </c>
      <c r="AA81" s="81">
        <f>AB81-0</f>
        <v>28</v>
      </c>
      <c r="AB81" s="81">
        <f>$I$80-5</f>
        <v>28</v>
      </c>
      <c r="AC81" s="129">
        <f>AA81/$I$80</f>
        <v>0.84848484848484851</v>
      </c>
      <c r="AD81" s="129">
        <f>AA81/AB81</f>
        <v>1</v>
      </c>
      <c r="AE81" s="127">
        <f>2*(AC81*AD81)/(AC81+AD81)</f>
        <v>0.91803278688524581</v>
      </c>
      <c r="AG81">
        <f>AH81-0</f>
        <v>1</v>
      </c>
      <c r="AH81">
        <v>1</v>
      </c>
      <c r="AI81" s="127">
        <f>AG81/$H$80</f>
        <v>0.125</v>
      </c>
      <c r="AJ81" s="127">
        <f>AG81/AH81</f>
        <v>1</v>
      </c>
      <c r="AM81" s="122">
        <v>1</v>
      </c>
      <c r="AN81" s="101">
        <v>1</v>
      </c>
      <c r="AO81">
        <v>270</v>
      </c>
      <c r="AP81">
        <v>19</v>
      </c>
      <c r="AQ81" s="101">
        <v>9</v>
      </c>
      <c r="AR81" s="101">
        <v>9</v>
      </c>
      <c r="AS81">
        <v>10</v>
      </c>
      <c r="AT81">
        <v>8</v>
      </c>
      <c r="AU81">
        <v>0</v>
      </c>
      <c r="AV81" s="119">
        <v>1</v>
      </c>
      <c r="AW81" s="101">
        <f>($F$80-N81)/$F$80</f>
        <v>1</v>
      </c>
      <c r="AY81" s="101">
        <f>($G$80-AN81)/$G$80</f>
        <v>0.875</v>
      </c>
      <c r="AZ81" s="101">
        <f>AR81/AQ81</f>
        <v>1</v>
      </c>
      <c r="BA81" s="101">
        <f>AT81/AS81</f>
        <v>0.8</v>
      </c>
      <c r="BB81" s="85">
        <f>(AW81+AY81+AZ81+BA81)/4</f>
        <v>0.91874999999999996</v>
      </c>
      <c r="BC81" s="13">
        <f>AP81/$H$80</f>
        <v>2.375</v>
      </c>
      <c r="BD81" s="118">
        <f>AV81/AP81</f>
        <v>5.2631578947368418E-2</v>
      </c>
      <c r="BE81" s="13">
        <f>AO81/AP81</f>
        <v>14.210526315789474</v>
      </c>
      <c r="BF81" s="13">
        <f>AT81/$H$80</f>
        <v>1</v>
      </c>
      <c r="BG81" s="13">
        <f>AR81/$H$80</f>
        <v>1.125</v>
      </c>
      <c r="BQ81" t="str">
        <f>_xlfn.CONCAT($C$80," &amp; ",C81," &amp; ",Q81," &amp; ",R81," &amp; ",S81," &amp; ",W81," &amp; ",X81," &amp; ",Y81," &amp; ",AC81," &amp; ",AD81," &amp; ",AE81," &amp; ",AG81," &amp; ",AH81," &amp; ",AI81," &amp; ",AJ81, " \\ \hline")</f>
        <v>3-7 &amp;  &amp; 0.848484848484849 &amp; 1 &amp; 0.918032786885246 &amp; 0.625 &amp; 1 &amp; 0.769230769230769 &amp; 0.848484848484849 &amp; 1 &amp; 0.918032786885246 &amp; 1 &amp; 1 &amp; 0.125 &amp; 1 \\ \hline</v>
      </c>
    </row>
    <row r="82" spans="1:69" ht="16">
      <c r="A82" t="s">
        <v>306</v>
      </c>
      <c r="C82" s="310"/>
      <c r="L82" s="174" t="s">
        <v>611</v>
      </c>
      <c r="M82" s="77"/>
      <c r="O82" s="81">
        <f>P82-0</f>
        <v>28</v>
      </c>
      <c r="P82" s="81">
        <f>$F$80-5</f>
        <v>28</v>
      </c>
      <c r="Q82" s="129">
        <f>O82/$F$80</f>
        <v>0.84848484848484851</v>
      </c>
      <c r="R82" s="129">
        <f>O82/P82</f>
        <v>1</v>
      </c>
      <c r="S82" s="127">
        <f>2*(Q82*R82)/(Q82+R82)</f>
        <v>0.91803278688524581</v>
      </c>
      <c r="U82" s="81">
        <f>V82-0</f>
        <v>5</v>
      </c>
      <c r="V82" s="81">
        <f>$G$80-3</f>
        <v>5</v>
      </c>
      <c r="W82" s="129">
        <f>U82/$G$80</f>
        <v>0.625</v>
      </c>
      <c r="X82" s="129">
        <f>U82/V82</f>
        <v>1</v>
      </c>
      <c r="Y82" s="127">
        <f>2*(W82*X82)/(W82+X82)</f>
        <v>0.76923076923076927</v>
      </c>
      <c r="AA82" s="81">
        <f>AB82-0</f>
        <v>28</v>
      </c>
      <c r="AB82" s="81">
        <f>$I$80-5</f>
        <v>28</v>
      </c>
      <c r="AC82" s="129">
        <f>AA82/$I$80</f>
        <v>0.84848484848484851</v>
      </c>
      <c r="AD82" s="129">
        <f>AA82/AB82</f>
        <v>1</v>
      </c>
      <c r="AE82" s="127">
        <f>2*(AC82*AD82)/(AC82+AD82)</f>
        <v>0.91803278688524581</v>
      </c>
      <c r="AG82">
        <f>AH82-0</f>
        <v>14</v>
      </c>
      <c r="AH82">
        <v>14</v>
      </c>
      <c r="AI82" s="127">
        <f>AG82/$H$80</f>
        <v>1.75</v>
      </c>
      <c r="AJ82" s="127">
        <f>AG82/AH82</f>
        <v>1</v>
      </c>
      <c r="AM82" s="122">
        <v>1</v>
      </c>
      <c r="AN82" s="101">
        <v>1</v>
      </c>
      <c r="AO82">
        <v>318</v>
      </c>
      <c r="AP82">
        <v>20</v>
      </c>
      <c r="AQ82" s="101">
        <v>8</v>
      </c>
      <c r="AR82" s="101">
        <v>8</v>
      </c>
      <c r="AS82">
        <v>12</v>
      </c>
      <c r="AT82">
        <v>12</v>
      </c>
      <c r="AU82">
        <v>0</v>
      </c>
      <c r="AV82" s="119">
        <v>6</v>
      </c>
      <c r="AW82" s="101">
        <f>($F$80-N82)/$F$80</f>
        <v>1</v>
      </c>
      <c r="AY82" s="101">
        <f>($G$80-AN82)/$G$80</f>
        <v>0.875</v>
      </c>
      <c r="AZ82" s="101">
        <f>AR82/AQ82</f>
        <v>1</v>
      </c>
      <c r="BA82" s="101">
        <f>AT82/AS82</f>
        <v>1</v>
      </c>
      <c r="BB82" s="85">
        <f>(AW82+AY82+AZ82+BA82)/4</f>
        <v>0.96875</v>
      </c>
      <c r="BC82" s="13">
        <f>AP82/$H$80</f>
        <v>2.5</v>
      </c>
      <c r="BD82" s="118">
        <f>AV82/AP82</f>
        <v>0.3</v>
      </c>
      <c r="BE82" s="13">
        <f>AO82/AP82</f>
        <v>15.9</v>
      </c>
      <c r="BF82" s="13">
        <f>AT82/$H$80</f>
        <v>1.5</v>
      </c>
      <c r="BG82" s="13">
        <f>AR82/$H$80</f>
        <v>1</v>
      </c>
      <c r="BQ82" t="str">
        <f t="shared" ref="BQ82:BQ84" si="13">_xlfn.CONCAT($C$80," &amp; ",C82," &amp; ",Q82," &amp; ",R82," &amp; ",S82," &amp; ",W82," &amp; ",X82," &amp; ",Y82," &amp; ",AC82," &amp; ",AD82," &amp; ",AE82," &amp; ",AG82," &amp; ",AH82," &amp; ",AI82," &amp; ",AJ82, " \\ \hline")</f>
        <v>3-7 &amp;  &amp; 0.848484848484849 &amp; 1 &amp; 0.918032786885246 &amp; 0.625 &amp; 1 &amp; 0.769230769230769 &amp; 0.848484848484849 &amp; 1 &amp; 0.918032786885246 &amp; 14 &amp; 14 &amp; 1.75 &amp; 1 \\ \hline</v>
      </c>
    </row>
    <row r="83" spans="1:69" ht="16">
      <c r="A83" t="s">
        <v>307</v>
      </c>
      <c r="C83" s="310"/>
      <c r="L83" s="174" t="s">
        <v>612</v>
      </c>
      <c r="M83" s="77"/>
      <c r="O83" s="81">
        <f>P83-0</f>
        <v>33</v>
      </c>
      <c r="P83" s="81">
        <f>$F$80-0</f>
        <v>33</v>
      </c>
      <c r="Q83" s="129">
        <f>O83/$F$80</f>
        <v>1</v>
      </c>
      <c r="R83" s="129">
        <f>O83/P83</f>
        <v>1</v>
      </c>
      <c r="S83" s="127">
        <f>2*(Q83*R83)/(Q83+R83)</f>
        <v>1</v>
      </c>
      <c r="U83" s="81">
        <f>V83-0</f>
        <v>8</v>
      </c>
      <c r="V83" s="81">
        <f>$G$80-0</f>
        <v>8</v>
      </c>
      <c r="W83" s="129">
        <f>U83/$G$80</f>
        <v>1</v>
      </c>
      <c r="X83" s="129">
        <f>U83/V83</f>
        <v>1</v>
      </c>
      <c r="Y83" s="127">
        <f>2*(W83*X83)/(W83+X83)</f>
        <v>1</v>
      </c>
      <c r="AA83" s="81">
        <f>AB83-5</f>
        <v>28</v>
      </c>
      <c r="AB83" s="81">
        <f>$I$80-0</f>
        <v>33</v>
      </c>
      <c r="AC83" s="129">
        <f>AA83/$I$80</f>
        <v>0.84848484848484851</v>
      </c>
      <c r="AD83" s="129">
        <f>AA83/AB83</f>
        <v>0.84848484848484851</v>
      </c>
      <c r="AE83" s="127">
        <f>2*(AC83*AD83)/(AC83+AD83)</f>
        <v>0.84848484848484862</v>
      </c>
      <c r="AG83">
        <f>AH83-0</f>
        <v>13</v>
      </c>
      <c r="AH83">
        <v>13</v>
      </c>
      <c r="AI83" s="127">
        <f>AG83/$H$80</f>
        <v>1.625</v>
      </c>
      <c r="AJ83" s="127">
        <f>AG83/AH83</f>
        <v>1</v>
      </c>
      <c r="AM83" s="122">
        <v>1</v>
      </c>
      <c r="AN83" s="101">
        <v>1</v>
      </c>
      <c r="AO83">
        <v>344</v>
      </c>
      <c r="AP83">
        <v>23</v>
      </c>
      <c r="AQ83" s="101">
        <v>8</v>
      </c>
      <c r="AR83" s="101">
        <v>8</v>
      </c>
      <c r="AS83">
        <v>15</v>
      </c>
      <c r="AT83">
        <v>13</v>
      </c>
      <c r="AU83">
        <v>0</v>
      </c>
      <c r="AV83" s="119">
        <v>6</v>
      </c>
      <c r="AW83" s="101">
        <f>($F$80-N83)/$F$80</f>
        <v>1</v>
      </c>
      <c r="AY83" s="101">
        <f>($G$80-AN83)/$G$80</f>
        <v>0.875</v>
      </c>
      <c r="AZ83" s="101">
        <f>AR83/AQ83</f>
        <v>1</v>
      </c>
      <c r="BA83" s="101">
        <f>AT83/AS83</f>
        <v>0.8666666666666667</v>
      </c>
      <c r="BB83" s="85">
        <f>(AW83+AY83+AZ83+BA83)/4</f>
        <v>0.93541666666666667</v>
      </c>
      <c r="BC83" s="13">
        <f>AP83/$H$80</f>
        <v>2.875</v>
      </c>
      <c r="BD83" s="118">
        <f>AV83/AP83</f>
        <v>0.2608695652173913</v>
      </c>
      <c r="BE83" s="13">
        <f>AO83/AP83</f>
        <v>14.956521739130435</v>
      </c>
      <c r="BF83" s="13">
        <f>AT83/$H$80</f>
        <v>1.625</v>
      </c>
      <c r="BG83" s="13">
        <f>AR83/$H$80</f>
        <v>1</v>
      </c>
      <c r="BQ83" t="str">
        <f t="shared" si="13"/>
        <v>3-7 &amp;  &amp; 1 &amp; 1 &amp; 1 &amp; 1 &amp; 1 &amp; 1 &amp; 0.848484848484849 &amp; 0.848484848484849 &amp; 0.848484848484849 &amp; 13 &amp; 13 &amp; 1.625 &amp; 1 \\ \hline</v>
      </c>
    </row>
    <row r="84" spans="1:69" ht="16">
      <c r="A84" t="s">
        <v>308</v>
      </c>
      <c r="C84" s="310"/>
      <c r="L84" s="174" t="s">
        <v>613</v>
      </c>
      <c r="M84" s="77"/>
      <c r="O84" s="81">
        <f>P84-1</f>
        <v>32</v>
      </c>
      <c r="P84" s="81">
        <f>$F$80-0</f>
        <v>33</v>
      </c>
      <c r="Q84" s="129">
        <f>O84/$F$80</f>
        <v>0.96969696969696972</v>
      </c>
      <c r="R84" s="129">
        <f>O84/P84</f>
        <v>0.96969696969696972</v>
      </c>
      <c r="S84" s="127">
        <f>2*(Q84*R84)/(Q84+R84)</f>
        <v>0.96969696969696972</v>
      </c>
      <c r="U84" s="81">
        <f>V84-1</f>
        <v>7</v>
      </c>
      <c r="V84" s="81">
        <f>$G$80-0</f>
        <v>8</v>
      </c>
      <c r="W84" s="129">
        <f>U84/$G$80</f>
        <v>0.875</v>
      </c>
      <c r="X84" s="129">
        <f>U84/V84</f>
        <v>0.875</v>
      </c>
      <c r="Y84" s="127">
        <f>2*(W84*X84)/(W84+X84)</f>
        <v>0.875</v>
      </c>
      <c r="AA84" s="81">
        <f>AB84-13</f>
        <v>20</v>
      </c>
      <c r="AB84" s="81">
        <f>$I$80-0</f>
        <v>33</v>
      </c>
      <c r="AC84" s="129">
        <f>AA84/$I$80</f>
        <v>0.60606060606060608</v>
      </c>
      <c r="AD84" s="129">
        <f>AA84/AB84</f>
        <v>0.60606060606060608</v>
      </c>
      <c r="AE84" s="127">
        <f>2*(AC84*AD84)/(AC84+AD84)</f>
        <v>0.60606060606060608</v>
      </c>
      <c r="AG84">
        <f>AH84-3</f>
        <v>13</v>
      </c>
      <c r="AH84">
        <v>16</v>
      </c>
      <c r="AI84" s="127">
        <f>AG84/$H$80</f>
        <v>1.625</v>
      </c>
      <c r="AJ84" s="127">
        <f>AG84/AH84</f>
        <v>0.8125</v>
      </c>
      <c r="AM84" s="122">
        <v>1</v>
      </c>
      <c r="AN84" s="101">
        <v>1</v>
      </c>
      <c r="AO84">
        <v>384</v>
      </c>
      <c r="AP84">
        <v>28</v>
      </c>
      <c r="AQ84" s="101">
        <v>8</v>
      </c>
      <c r="AR84" s="101">
        <v>8</v>
      </c>
      <c r="AS84">
        <v>20</v>
      </c>
      <c r="AT84">
        <v>20</v>
      </c>
      <c r="AU84">
        <v>0</v>
      </c>
      <c r="AV84" s="119">
        <v>4</v>
      </c>
      <c r="AW84" s="101">
        <f>($F$80-N84)/$F$80</f>
        <v>1</v>
      </c>
      <c r="AY84" s="101">
        <f>($G$80-AN84)/$G$80</f>
        <v>0.875</v>
      </c>
      <c r="AZ84" s="101">
        <f>AR84/AQ84</f>
        <v>1</v>
      </c>
      <c r="BA84" s="101">
        <f>AT84/AS84</f>
        <v>1</v>
      </c>
      <c r="BB84" s="85">
        <f>(AW84+AY84+AZ84+BA84)/4</f>
        <v>0.96875</v>
      </c>
      <c r="BC84" s="13">
        <f>AP84/$H$80</f>
        <v>3.5</v>
      </c>
      <c r="BD84" s="118">
        <f>AV84/AP84</f>
        <v>0.14285714285714285</v>
      </c>
      <c r="BE84" s="13">
        <f>AO84/AP84</f>
        <v>13.714285714285714</v>
      </c>
      <c r="BF84" s="13">
        <f>AT84/$H$80</f>
        <v>2.5</v>
      </c>
      <c r="BG84" s="13">
        <f>AR84/$H$80</f>
        <v>1</v>
      </c>
      <c r="BQ84" t="str">
        <f t="shared" si="13"/>
        <v>3-7 &amp;  &amp; 0.96969696969697 &amp; 0.96969696969697 &amp; 0.96969696969697 &amp; 0.875 &amp; 0.875 &amp; 0.875 &amp; 0.606060606060606 &amp; 0.606060606060606 &amp; 0.606060606060606 &amp; 13 &amp; 16 &amp; 1.625 &amp; 0.8125 \\ \hline</v>
      </c>
    </row>
    <row r="85" spans="1:69">
      <c r="C85" s="98"/>
      <c r="Q85" s="129"/>
      <c r="R85" s="129"/>
      <c r="S85" s="127"/>
      <c r="W85" s="129"/>
      <c r="X85" s="129"/>
      <c r="Y85" s="127"/>
      <c r="AC85" s="129"/>
      <c r="AD85" s="129"/>
      <c r="AE85" s="127"/>
      <c r="AG85"/>
      <c r="AH85"/>
      <c r="AI85" s="127"/>
      <c r="AJ85" s="131"/>
    </row>
    <row r="86" spans="1:69" s="75" customFormat="1">
      <c r="A86" s="73" t="s">
        <v>400</v>
      </c>
      <c r="B86" s="94">
        <v>45179</v>
      </c>
      <c r="C86" s="99" t="s">
        <v>149</v>
      </c>
      <c r="D86" s="78">
        <f>VLOOKUP($C$86,Overview!$Q$2:$AS$64,23,FALSE)</f>
        <v>0.58694356495428268</v>
      </c>
      <c r="E86" s="78" t="str">
        <f>VLOOKUP($C$86,Overview!$Q$2:$AS$64,24,FALSE)</f>
        <v>low</v>
      </c>
      <c r="F86" s="75">
        <f>VLOOKUP(C86,Overview!$Q$2:$AS$64,13,FALSE)</f>
        <v>33</v>
      </c>
      <c r="G86" s="75">
        <f>VLOOKUP(C86,Overview!$Q$2:$AS$64,16,FALSE)</f>
        <v>8</v>
      </c>
      <c r="H86" s="75">
        <f>VLOOKUP(C86,Overview!$Q$2:$AS$64,18,FALSE)</f>
        <v>12</v>
      </c>
      <c r="I86" s="75">
        <f>VLOOKUP($C$86,Overview!$Q$2:$AS$64,19,FALSE)</f>
        <v>28</v>
      </c>
      <c r="K86" s="75" t="str">
        <f>VLOOKUP($C$86,Overview!$Q$2:$AS$64,5,FALSE)</f>
        <v>6-2, 5-2</v>
      </c>
      <c r="L86" s="96"/>
      <c r="N86" s="115"/>
      <c r="O86" s="97"/>
      <c r="P86" s="97"/>
      <c r="Q86" s="130"/>
      <c r="R86" s="130"/>
      <c r="S86" s="128"/>
      <c r="T86" s="115"/>
      <c r="U86" s="97"/>
      <c r="V86" s="97"/>
      <c r="W86" s="130"/>
      <c r="X86" s="130"/>
      <c r="Y86" s="128"/>
      <c r="Z86" s="115"/>
      <c r="AA86" s="97"/>
      <c r="AB86" s="97"/>
      <c r="AC86" s="130"/>
      <c r="AD86" s="130"/>
      <c r="AE86" s="128"/>
      <c r="AF86" s="115"/>
      <c r="AI86" s="128"/>
      <c r="AJ86" s="132"/>
      <c r="AK86" s="97"/>
      <c r="AL86" s="115"/>
      <c r="AM86" s="122"/>
      <c r="AN86" s="101"/>
      <c r="AQ86" s="101"/>
      <c r="AR86" s="101"/>
      <c r="AV86" s="119"/>
      <c r="AW86" s="101"/>
      <c r="AX86" s="101"/>
      <c r="AY86" s="101"/>
      <c r="AZ86" s="101"/>
      <c r="BA86" s="101"/>
      <c r="BB86" s="83"/>
      <c r="BD86" s="101"/>
      <c r="BQ86"/>
    </row>
    <row r="87" spans="1:69" ht="16">
      <c r="A87" t="s">
        <v>305</v>
      </c>
      <c r="C87" s="310"/>
      <c r="L87" s="174" t="s">
        <v>610</v>
      </c>
      <c r="M87" s="77"/>
      <c r="O87" s="81">
        <f>P87-0</f>
        <v>32</v>
      </c>
      <c r="P87" s="81">
        <f>$F$86-1</f>
        <v>32</v>
      </c>
      <c r="Q87" s="129">
        <f>O87/$F$86</f>
        <v>0.96969696969696972</v>
      </c>
      <c r="R87" s="129">
        <f>O87/P87</f>
        <v>1</v>
      </c>
      <c r="S87" s="127">
        <f>2*(Q87*R87)/(Q87+R87)</f>
        <v>0.98461538461538467</v>
      </c>
      <c r="U87" s="81">
        <f>V87-0</f>
        <v>8</v>
      </c>
      <c r="V87" s="81">
        <f>$G$86-0</f>
        <v>8</v>
      </c>
      <c r="W87" s="129">
        <f>U87/$G$86</f>
        <v>1</v>
      </c>
      <c r="X87" s="129">
        <f>U87/V87</f>
        <v>1</v>
      </c>
      <c r="Y87" s="127">
        <f>2*(W87*X87)/(W87+X87)</f>
        <v>1</v>
      </c>
      <c r="AA87" s="81">
        <f>AB87-1</f>
        <v>27</v>
      </c>
      <c r="AB87" s="81">
        <f>$I$86-0</f>
        <v>28</v>
      </c>
      <c r="AC87" s="129">
        <f>AA87/$I$86</f>
        <v>0.9642857142857143</v>
      </c>
      <c r="AD87" s="129">
        <f>AA87/AB87</f>
        <v>0.9642857142857143</v>
      </c>
      <c r="AE87" s="127">
        <f>2*(AC87*AD87)/(AC87+AD87)</f>
        <v>0.9642857142857143</v>
      </c>
      <c r="AG87">
        <f>AH87-0</f>
        <v>3</v>
      </c>
      <c r="AH87">
        <v>3</v>
      </c>
      <c r="AI87" s="127">
        <f>AG87/$H$86</f>
        <v>0.25</v>
      </c>
      <c r="AJ87" s="127">
        <f>AG87/AH87</f>
        <v>1</v>
      </c>
      <c r="AM87" s="122">
        <v>1</v>
      </c>
      <c r="AN87" s="101">
        <v>1</v>
      </c>
      <c r="AO87">
        <v>165</v>
      </c>
      <c r="AP87">
        <v>11</v>
      </c>
      <c r="AQ87" s="101">
        <v>8</v>
      </c>
      <c r="AR87" s="101">
        <v>6</v>
      </c>
      <c r="AS87">
        <v>1</v>
      </c>
      <c r="AT87">
        <v>1</v>
      </c>
      <c r="AU87">
        <v>2</v>
      </c>
      <c r="AV87" s="119">
        <v>3</v>
      </c>
      <c r="AW87" s="101">
        <f>($F$86-N87)/$F$86</f>
        <v>1</v>
      </c>
      <c r="AY87" s="101">
        <f>($G$86-AN87)/$G$86</f>
        <v>0.875</v>
      </c>
      <c r="AZ87" s="101">
        <f>AR87/AQ87</f>
        <v>0.75</v>
      </c>
      <c r="BA87" s="101">
        <f>AT87/AS87</f>
        <v>1</v>
      </c>
      <c r="BB87" s="85">
        <f>(AW87+AY87+AZ87+BA87)/4</f>
        <v>0.90625</v>
      </c>
      <c r="BC87" s="13">
        <f>AP87/$H$86</f>
        <v>0.91666666666666663</v>
      </c>
      <c r="BD87" s="118">
        <f>AV87/AP87</f>
        <v>0.27272727272727271</v>
      </c>
      <c r="BE87" s="13">
        <f>AO87/AP87</f>
        <v>15</v>
      </c>
      <c r="BF87" s="13">
        <f>AT87/$H$86</f>
        <v>8.3333333333333329E-2</v>
      </c>
      <c r="BG87" s="13">
        <f>AR87/$H$86</f>
        <v>0.5</v>
      </c>
      <c r="BQ87" t="str">
        <f>_xlfn.CONCAT($C$86," &amp; ",C87," &amp; ",Q87," &amp; ",R87," &amp; ",S87," &amp; ",W87," &amp; ",X87," &amp; ",Y87," &amp; ",AC87," &amp; ",AD87," &amp; ",AE87," &amp; ",AG87," &amp; ",AH87," &amp; ",AI87," &amp; ",AJ87, " \\ \hline")</f>
        <v>3-8 &amp;  &amp; 0.96969696969697 &amp; 1 &amp; 0.984615384615385 &amp; 1 &amp; 1 &amp; 1 &amp; 0.964285714285714 &amp; 0.964285714285714 &amp; 0.964285714285714 &amp; 3 &amp; 3 &amp; 0.25 &amp; 1 \\ \hline</v>
      </c>
    </row>
    <row r="88" spans="1:69" ht="16">
      <c r="A88" t="s">
        <v>306</v>
      </c>
      <c r="C88" s="310"/>
      <c r="L88" s="174" t="s">
        <v>611</v>
      </c>
      <c r="M88" s="77"/>
      <c r="O88" s="81">
        <f>P88-0</f>
        <v>31</v>
      </c>
      <c r="P88" s="81">
        <f>$F$86-2</f>
        <v>31</v>
      </c>
      <c r="Q88" s="129">
        <f>O88/$F$86</f>
        <v>0.93939393939393945</v>
      </c>
      <c r="R88" s="129">
        <f>O88/P88</f>
        <v>1</v>
      </c>
      <c r="S88" s="127">
        <f>2*(Q88*R88)/(Q88+R88)</f>
        <v>0.96875</v>
      </c>
      <c r="U88" s="81">
        <f>V88-0</f>
        <v>7</v>
      </c>
      <c r="V88" s="81">
        <f>$G$86-1</f>
        <v>7</v>
      </c>
      <c r="W88" s="129">
        <f>U88/$G$86</f>
        <v>0.875</v>
      </c>
      <c r="X88" s="129">
        <f>U88/V88</f>
        <v>1</v>
      </c>
      <c r="Y88" s="127">
        <f>2*(W88*X88)/(W88+X88)</f>
        <v>0.93333333333333335</v>
      </c>
      <c r="AA88" s="81">
        <f>AB88-1</f>
        <v>25</v>
      </c>
      <c r="AB88" s="81">
        <f>$I$86-2</f>
        <v>26</v>
      </c>
      <c r="AC88" s="129">
        <f>AA88/$I$86</f>
        <v>0.8928571428571429</v>
      </c>
      <c r="AD88" s="129">
        <f>AA88/AB88</f>
        <v>0.96153846153846156</v>
      </c>
      <c r="AE88" s="127">
        <f>2*(AC88*AD88)/(AC88+AD88)</f>
        <v>0.92592592592592593</v>
      </c>
      <c r="AG88">
        <f>AH88-0</f>
        <v>4</v>
      </c>
      <c r="AH88">
        <v>4</v>
      </c>
      <c r="AI88" s="127">
        <f>AG88/$H$86</f>
        <v>0.33333333333333331</v>
      </c>
      <c r="AJ88" s="127">
        <f>AG88/AH88</f>
        <v>1</v>
      </c>
      <c r="AM88" s="122">
        <v>1</v>
      </c>
      <c r="AN88" s="101">
        <v>1</v>
      </c>
      <c r="AO88">
        <v>266</v>
      </c>
      <c r="AP88" s="107">
        <v>15</v>
      </c>
      <c r="AQ88" s="101">
        <v>11</v>
      </c>
      <c r="AR88" s="101">
        <v>8</v>
      </c>
      <c r="AS88">
        <v>4</v>
      </c>
      <c r="AT88">
        <v>4</v>
      </c>
      <c r="AU88">
        <v>0</v>
      </c>
      <c r="AV88" s="119">
        <v>7</v>
      </c>
      <c r="AW88" s="101">
        <f>($F$86-N88)/$F$86</f>
        <v>1</v>
      </c>
      <c r="AY88" s="101">
        <f>($G$86-AN88)/$G$86</f>
        <v>0.875</v>
      </c>
      <c r="AZ88" s="101">
        <f>AR88/AQ88</f>
        <v>0.72727272727272729</v>
      </c>
      <c r="BA88" s="101">
        <f>AT88/AS88</f>
        <v>1</v>
      </c>
      <c r="BB88" s="85">
        <f>(AW88+AY88+AZ88+BA88)/4</f>
        <v>0.90056818181818188</v>
      </c>
      <c r="BC88" s="13">
        <f>AP88/$H$86</f>
        <v>1.25</v>
      </c>
      <c r="BD88" s="118">
        <f>AV88/AP88</f>
        <v>0.46666666666666667</v>
      </c>
      <c r="BE88" s="13">
        <f>AO88/AP88</f>
        <v>17.733333333333334</v>
      </c>
      <c r="BF88" s="13">
        <f>AT88/$H$86</f>
        <v>0.33333333333333331</v>
      </c>
      <c r="BG88" s="13">
        <f>AR88/$H$86</f>
        <v>0.66666666666666663</v>
      </c>
      <c r="BQ88" t="str">
        <f t="shared" ref="BQ88:BQ90" si="14">_xlfn.CONCAT($C$86," &amp; ",C88," &amp; ",Q88," &amp; ",R88," &amp; ",S88," &amp; ",W88," &amp; ",X88," &amp; ",Y88," &amp; ",AC88," &amp; ",AD88," &amp; ",AE88," &amp; ",AG88," &amp; ",AH88," &amp; ",AI88," &amp; ",AJ88, " \\ \hline")</f>
        <v>3-8 &amp;  &amp; 0.939393939393939 &amp; 1 &amp; 0.96875 &amp; 0.875 &amp; 1 &amp; 0.933333333333333 &amp; 0.892857142857143 &amp; 0.961538461538462 &amp; 0.925925925925926 &amp; 4 &amp; 4 &amp; 0.333333333333333 &amp; 1 \\ \hline</v>
      </c>
    </row>
    <row r="89" spans="1:69" ht="16">
      <c r="A89" t="s">
        <v>307</v>
      </c>
      <c r="C89" s="310"/>
      <c r="L89" s="174" t="s">
        <v>612</v>
      </c>
      <c r="M89" s="77"/>
      <c r="O89" s="81">
        <f>P89-0</f>
        <v>30</v>
      </c>
      <c r="P89" s="81">
        <f>$F$86-3</f>
        <v>30</v>
      </c>
      <c r="Q89" s="129">
        <f>O89/$F$86</f>
        <v>0.90909090909090906</v>
      </c>
      <c r="R89" s="129">
        <f>O89/P89</f>
        <v>1</v>
      </c>
      <c r="S89" s="127">
        <f>2*(Q89*R89)/(Q89+R89)</f>
        <v>0.95238095238095233</v>
      </c>
      <c r="U89" s="81">
        <f>V89-0</f>
        <v>8</v>
      </c>
      <c r="V89" s="81">
        <f>$G$86-0</f>
        <v>8</v>
      </c>
      <c r="W89" s="129">
        <f>U89/$G$86</f>
        <v>1</v>
      </c>
      <c r="X89" s="129">
        <f>U89/V89</f>
        <v>1</v>
      </c>
      <c r="Y89" s="127">
        <f>2*(W89*X89)/(W89+X89)</f>
        <v>1</v>
      </c>
      <c r="AA89" s="81">
        <f>AB89-8</f>
        <v>18</v>
      </c>
      <c r="AB89" s="81">
        <f>$I$86-2</f>
        <v>26</v>
      </c>
      <c r="AC89" s="129">
        <f>AA89/$I$86</f>
        <v>0.6428571428571429</v>
      </c>
      <c r="AD89" s="129">
        <f>AA89/AB89</f>
        <v>0.69230769230769229</v>
      </c>
      <c r="AE89" s="127">
        <f>2*(AC89*AD89)/(AC89+AD89)</f>
        <v>0.66666666666666663</v>
      </c>
      <c r="AG89">
        <f>AH89-0</f>
        <v>10</v>
      </c>
      <c r="AH89">
        <v>10</v>
      </c>
      <c r="AI89" s="127">
        <f>AG89/$H$86</f>
        <v>0.83333333333333337</v>
      </c>
      <c r="AJ89" s="127">
        <f>AG89/AH89</f>
        <v>1</v>
      </c>
      <c r="AM89" s="122">
        <v>1</v>
      </c>
      <c r="AN89" s="101">
        <v>1</v>
      </c>
      <c r="AO89">
        <v>254</v>
      </c>
      <c r="AP89">
        <v>19</v>
      </c>
      <c r="AQ89" s="101">
        <v>15</v>
      </c>
      <c r="AR89" s="101">
        <v>12</v>
      </c>
      <c r="AS89">
        <v>2</v>
      </c>
      <c r="AT89">
        <v>2</v>
      </c>
      <c r="AU89">
        <v>2</v>
      </c>
      <c r="AV89" s="119">
        <v>8</v>
      </c>
      <c r="AW89" s="101">
        <f>($F$86-N89)/$F$86</f>
        <v>1</v>
      </c>
      <c r="AY89" s="101">
        <f>($G$86-AN89)/$G$86</f>
        <v>0.875</v>
      </c>
      <c r="AZ89" s="101">
        <f>AR89/AQ89</f>
        <v>0.8</v>
      </c>
      <c r="BA89" s="101">
        <f>AT89/AS89</f>
        <v>1</v>
      </c>
      <c r="BB89" s="85">
        <f>(AW89+AY89+AZ89+BA89)/4</f>
        <v>0.91874999999999996</v>
      </c>
      <c r="BC89" s="13">
        <f>AP89/$H$86</f>
        <v>1.5833333333333333</v>
      </c>
      <c r="BD89" s="118">
        <f>AV89/AP89</f>
        <v>0.42105263157894735</v>
      </c>
      <c r="BE89" s="13">
        <f>AO89/AP89</f>
        <v>13.368421052631579</v>
      </c>
      <c r="BF89" s="13">
        <f>AT89/$H$86</f>
        <v>0.16666666666666666</v>
      </c>
      <c r="BG89" s="13">
        <f>AR89/$H$86</f>
        <v>1</v>
      </c>
      <c r="BQ89" t="str">
        <f t="shared" si="14"/>
        <v>3-8 &amp;  &amp; 0.909090909090909 &amp; 1 &amp; 0.952380952380952 &amp; 1 &amp; 1 &amp; 1 &amp; 0.642857142857143 &amp; 0.692307692307692 &amp; 0.666666666666667 &amp; 10 &amp; 10 &amp; 0.833333333333333 &amp; 1 \\ \hline</v>
      </c>
    </row>
    <row r="90" spans="1:69" ht="16">
      <c r="A90" t="s">
        <v>308</v>
      </c>
      <c r="C90" s="310"/>
      <c r="L90" s="174" t="s">
        <v>613</v>
      </c>
      <c r="M90" s="77"/>
      <c r="O90" s="81">
        <f>P90-0</f>
        <v>33</v>
      </c>
      <c r="P90" s="81">
        <f>$F$86-0</f>
        <v>33</v>
      </c>
      <c r="Q90" s="129">
        <f>O90/$F$86</f>
        <v>1</v>
      </c>
      <c r="R90" s="129">
        <f>O90/P90</f>
        <v>1</v>
      </c>
      <c r="S90" s="127">
        <f>2*(Q90*R90)/(Q90+R90)</f>
        <v>1</v>
      </c>
      <c r="U90" s="81">
        <f>V90-0</f>
        <v>8</v>
      </c>
      <c r="V90" s="81">
        <f>$G$86-0</f>
        <v>8</v>
      </c>
      <c r="W90" s="129">
        <f>U90/$G$86</f>
        <v>1</v>
      </c>
      <c r="X90" s="129">
        <f>U90/V90</f>
        <v>1</v>
      </c>
      <c r="Y90" s="127">
        <f>2*(W90*X90)/(W90+X90)</f>
        <v>1</v>
      </c>
      <c r="AA90" s="81">
        <f>AB90-15</f>
        <v>13</v>
      </c>
      <c r="AB90" s="81">
        <f>$I$86-0</f>
        <v>28</v>
      </c>
      <c r="AC90" s="129">
        <f>AA90/$I$86</f>
        <v>0.4642857142857143</v>
      </c>
      <c r="AD90" s="129">
        <f>AA90/AB90</f>
        <v>0.4642857142857143</v>
      </c>
      <c r="AE90" s="127">
        <f>2*(AC90*AD90)/(AC90+AD90)</f>
        <v>0.4642857142857143</v>
      </c>
      <c r="AG90">
        <f>AH90-0</f>
        <v>13</v>
      </c>
      <c r="AH90">
        <v>13</v>
      </c>
      <c r="AI90" s="127">
        <f>AG90/$H$86</f>
        <v>1.0833333333333333</v>
      </c>
      <c r="AJ90" s="127">
        <f>AG90/AH90</f>
        <v>1</v>
      </c>
      <c r="AM90" s="122">
        <v>0</v>
      </c>
      <c r="AN90" s="101">
        <v>0</v>
      </c>
      <c r="AO90">
        <v>217</v>
      </c>
      <c r="AP90">
        <v>16</v>
      </c>
      <c r="AQ90" s="101">
        <v>14</v>
      </c>
      <c r="AR90" s="101">
        <v>14</v>
      </c>
      <c r="AS90">
        <v>2</v>
      </c>
      <c r="AT90">
        <v>2</v>
      </c>
      <c r="AU90">
        <v>0</v>
      </c>
      <c r="AV90" s="119">
        <v>8</v>
      </c>
      <c r="AW90" s="101">
        <f>($F$86-N90)/$F$86</f>
        <v>1</v>
      </c>
      <c r="AY90" s="101">
        <f>($G$86-AN90)/$G$86</f>
        <v>1</v>
      </c>
      <c r="AZ90" s="101">
        <f>AR90/AQ90</f>
        <v>1</v>
      </c>
      <c r="BA90" s="101">
        <f>AT90/AS90</f>
        <v>1</v>
      </c>
      <c r="BB90" s="85">
        <f>(AW90+AY90+AZ90+BA90)/4</f>
        <v>1</v>
      </c>
      <c r="BC90" s="13">
        <f>AP90/$H$86</f>
        <v>1.3333333333333333</v>
      </c>
      <c r="BD90" s="118">
        <f>AV90/AP90</f>
        <v>0.5</v>
      </c>
      <c r="BE90" s="13">
        <f>AO90/AP90</f>
        <v>13.5625</v>
      </c>
      <c r="BF90" s="13">
        <f>AT90/$H$86</f>
        <v>0.16666666666666666</v>
      </c>
      <c r="BG90" s="13">
        <f>AR90/$H$86</f>
        <v>1.1666666666666667</v>
      </c>
      <c r="BQ90" t="str">
        <f t="shared" si="14"/>
        <v>3-8 &amp;  &amp; 1 &amp; 1 &amp; 1 &amp; 1 &amp; 1 &amp; 1 &amp; 0.464285714285714 &amp; 0.464285714285714 &amp; 0.464285714285714 &amp; 13 &amp; 13 &amp; 1.08333333333333 &amp; 1 \\ \hline</v>
      </c>
    </row>
    <row r="91" spans="1:69">
      <c r="C91" s="98"/>
      <c r="Q91" s="129"/>
      <c r="R91" s="129"/>
      <c r="S91" s="127"/>
      <c r="W91" s="129"/>
      <c r="X91" s="129"/>
      <c r="Y91" s="127"/>
      <c r="AC91" s="129"/>
      <c r="AD91" s="129"/>
      <c r="AE91" s="127"/>
      <c r="AG91"/>
      <c r="AH91"/>
      <c r="AI91" s="127"/>
      <c r="AJ91" s="131"/>
    </row>
    <row r="92" spans="1:69" s="75" customFormat="1">
      <c r="A92" s="75" t="s">
        <v>322</v>
      </c>
      <c r="B92" s="94">
        <v>45178</v>
      </c>
      <c r="C92" s="93" t="s">
        <v>180</v>
      </c>
      <c r="D92" s="78">
        <f>VLOOKUP($C$92,Overview!$Q$2:$AS$64,23,FALSE)</f>
        <v>0.61852981482680436</v>
      </c>
      <c r="E92" s="78" t="str">
        <f>VLOOKUP($C$92,Overview!$Q$2:$AS$64,24,FALSE)</f>
        <v>medium</v>
      </c>
      <c r="F92" s="75">
        <f>VLOOKUP(C92,Overview!$Q$2:$AS$64,13,FALSE)</f>
        <v>34</v>
      </c>
      <c r="G92" s="75">
        <f>VLOOKUP(C92,Overview!$Q$2:$AS$64,16,FALSE)</f>
        <v>12</v>
      </c>
      <c r="H92" s="75">
        <f>VLOOKUP(C92,Overview!$Q$2:$AS$64,18,FALSE)</f>
        <v>15</v>
      </c>
      <c r="I92" s="75">
        <f>VLOOKUP($C$92,Overview!$Q$2:$AS$64,19,FALSE)</f>
        <v>31</v>
      </c>
      <c r="K92" s="75" t="str">
        <f>VLOOKUP($C$92,Overview!$Q$2:$AS$64,5,FALSE)</f>
        <v>6-2, 3-8</v>
      </c>
      <c r="L92" s="96"/>
      <c r="N92" s="115"/>
      <c r="O92" s="97"/>
      <c r="P92" s="97"/>
      <c r="Q92" s="130"/>
      <c r="R92" s="130"/>
      <c r="S92" s="128"/>
      <c r="T92" s="115"/>
      <c r="U92" s="97"/>
      <c r="V92" s="97"/>
      <c r="W92" s="130"/>
      <c r="X92" s="130"/>
      <c r="Y92" s="128"/>
      <c r="Z92" s="115"/>
      <c r="AA92" s="97"/>
      <c r="AB92" s="97"/>
      <c r="AC92" s="130"/>
      <c r="AD92" s="130"/>
      <c r="AE92" s="128"/>
      <c r="AF92" s="115"/>
      <c r="AI92" s="128"/>
      <c r="AJ92" s="132"/>
      <c r="AK92" s="97"/>
      <c r="AL92" s="115"/>
      <c r="AM92" s="122"/>
      <c r="AN92" s="101"/>
      <c r="AQ92" s="101"/>
      <c r="AR92" s="101"/>
      <c r="AV92" s="119"/>
      <c r="AW92" s="101"/>
      <c r="AX92" s="101"/>
      <c r="AY92" s="101"/>
      <c r="AZ92" s="101"/>
      <c r="BA92" s="101"/>
      <c r="BB92" s="83"/>
      <c r="BD92" s="101"/>
      <c r="BQ92"/>
    </row>
    <row r="93" spans="1:69" ht="16">
      <c r="A93" t="s">
        <v>305</v>
      </c>
      <c r="C93" s="310"/>
      <c r="L93" s="48" t="s">
        <v>610</v>
      </c>
      <c r="M93" s="77"/>
      <c r="O93" s="81">
        <f>P93-2</f>
        <v>28</v>
      </c>
      <c r="P93" s="81">
        <f>$F$92-4</f>
        <v>30</v>
      </c>
      <c r="Q93" s="129">
        <f>O93/$F$92</f>
        <v>0.82352941176470584</v>
      </c>
      <c r="R93" s="129">
        <f>O93/P93</f>
        <v>0.93333333333333335</v>
      </c>
      <c r="S93" s="127">
        <f>2*(Q93*R93)/(Q93+R93)</f>
        <v>0.87499999999999989</v>
      </c>
      <c r="U93" s="81">
        <f>V93-2</f>
        <v>9</v>
      </c>
      <c r="V93" s="81">
        <f>$G$92-1</f>
        <v>11</v>
      </c>
      <c r="W93" s="129">
        <f>U93/$G$92</f>
        <v>0.75</v>
      </c>
      <c r="X93" s="129">
        <f>U93/V93</f>
        <v>0.81818181818181823</v>
      </c>
      <c r="Y93" s="127">
        <f>2*(W93*X93)/(W93+X93)</f>
        <v>0.78260869565217384</v>
      </c>
      <c r="AA93" s="81">
        <f>AB93-0</f>
        <v>27</v>
      </c>
      <c r="AB93" s="81">
        <f>$I$92-4</f>
        <v>27</v>
      </c>
      <c r="AC93" s="129">
        <f>AA93/$I$92</f>
        <v>0.87096774193548387</v>
      </c>
      <c r="AD93" s="129">
        <f>AA93/AB93</f>
        <v>1</v>
      </c>
      <c r="AE93" s="127">
        <f>2*(AC93*AD93)/(AC93+AD93)</f>
        <v>0.93103448275862066</v>
      </c>
      <c r="AG93">
        <f>AH93-0</f>
        <v>4</v>
      </c>
      <c r="AH93">
        <v>4</v>
      </c>
      <c r="AI93" s="127">
        <f>AG93/$H$92</f>
        <v>0.26666666666666666</v>
      </c>
      <c r="AJ93" s="127">
        <f>AG93/AH93</f>
        <v>1</v>
      </c>
      <c r="AM93" s="122">
        <v>0</v>
      </c>
      <c r="AN93" s="101">
        <v>0</v>
      </c>
      <c r="AO93">
        <v>280</v>
      </c>
      <c r="AP93">
        <v>12</v>
      </c>
      <c r="AQ93" s="101">
        <v>11</v>
      </c>
      <c r="AR93" s="101">
        <v>11</v>
      </c>
      <c r="AS93">
        <v>1</v>
      </c>
      <c r="AT93">
        <v>1</v>
      </c>
      <c r="AU93">
        <v>0</v>
      </c>
      <c r="AV93" s="119">
        <v>7</v>
      </c>
      <c r="AW93" s="101">
        <f>($F$92-N93)/$F$92</f>
        <v>1</v>
      </c>
      <c r="AY93" s="101">
        <f>($G$92-AN93)/$G$92</f>
        <v>1</v>
      </c>
      <c r="AZ93" s="101">
        <f>AR93/AQ93</f>
        <v>1</v>
      </c>
      <c r="BA93" s="101">
        <f>AT93/AS93</f>
        <v>1</v>
      </c>
      <c r="BB93" s="85">
        <f>(AW93+AY93+AZ93+BA93)/4</f>
        <v>1</v>
      </c>
      <c r="BC93" s="13">
        <f>AP93/$H$92</f>
        <v>0.8</v>
      </c>
      <c r="BD93" s="118">
        <f>AV93/AP93</f>
        <v>0.58333333333333337</v>
      </c>
      <c r="BE93" s="13">
        <f>AO93/AP93</f>
        <v>23.333333333333332</v>
      </c>
      <c r="BF93" s="13">
        <f>AT93/$H$92</f>
        <v>6.6666666666666666E-2</v>
      </c>
      <c r="BG93" s="13">
        <f>AR93/$H$92</f>
        <v>0.73333333333333328</v>
      </c>
      <c r="BQ93" t="str">
        <f>_xlfn.CONCAT($C$92," &amp; ",C93," &amp; ",Q93," &amp; ",R93," &amp; ",S93," &amp; ",W93," &amp; ",X93," &amp; ",Y93," &amp; ",AC93," &amp; ",AD93," &amp; ",AE93," &amp; ",AG93," &amp; ",AH93," &amp; ",AI93," &amp; ",AJ93, " \\ \hline")</f>
        <v>10-12 &amp;  &amp; 0.823529411764706 &amp; 0.933333333333333 &amp; 0.875 &amp; 0.75 &amp; 0.818181818181818 &amp; 0.782608695652174 &amp; 0.870967741935484 &amp; 1 &amp; 0.931034482758621 &amp; 4 &amp; 4 &amp; 0.266666666666667 &amp; 1 \\ \hline</v>
      </c>
    </row>
    <row r="94" spans="1:69" ht="16">
      <c r="A94" t="s">
        <v>306</v>
      </c>
      <c r="C94" s="310"/>
      <c r="L94" s="48" t="s">
        <v>611</v>
      </c>
      <c r="M94" s="77"/>
      <c r="O94" s="81">
        <f>P94-6</f>
        <v>23</v>
      </c>
      <c r="P94" s="81">
        <f>$F$92-5</f>
        <v>29</v>
      </c>
      <c r="Q94" s="129">
        <f>O94/$F$92</f>
        <v>0.67647058823529416</v>
      </c>
      <c r="R94" s="129">
        <f>O94/P94</f>
        <v>0.7931034482758621</v>
      </c>
      <c r="S94" s="127">
        <f>2*(Q94*R94)/(Q94+R94)</f>
        <v>0.73015873015873012</v>
      </c>
      <c r="U94" s="81">
        <f>V94-2</f>
        <v>7</v>
      </c>
      <c r="V94" s="81">
        <f>$G$92-3</f>
        <v>9</v>
      </c>
      <c r="W94" s="129">
        <f>U94/$G$92</f>
        <v>0.58333333333333337</v>
      </c>
      <c r="X94" s="129">
        <f>U94/V94</f>
        <v>0.77777777777777779</v>
      </c>
      <c r="Y94" s="127">
        <f>2*(W94*X94)/(W94+X94)</f>
        <v>0.66666666666666663</v>
      </c>
      <c r="AA94" s="81">
        <f>AB94-9</f>
        <v>17</v>
      </c>
      <c r="AB94" s="81">
        <f>$I$92-5</f>
        <v>26</v>
      </c>
      <c r="AC94" s="129">
        <f>AA94/$I$92</f>
        <v>0.54838709677419351</v>
      </c>
      <c r="AD94" s="129">
        <f>AA94/AB94</f>
        <v>0.65384615384615385</v>
      </c>
      <c r="AE94" s="127">
        <f>2*(AC94*AD94)/(AC94+AD94)</f>
        <v>0.59649122807017552</v>
      </c>
      <c r="AG94">
        <f>AH94-1</f>
        <v>9</v>
      </c>
      <c r="AH94">
        <v>10</v>
      </c>
      <c r="AI94" s="127">
        <f>AG94/$H$92</f>
        <v>0.6</v>
      </c>
      <c r="AJ94" s="127">
        <f>AG94/AH94</f>
        <v>0.9</v>
      </c>
      <c r="AM94" s="122">
        <v>0</v>
      </c>
      <c r="AN94" s="101">
        <v>0</v>
      </c>
      <c r="AO94">
        <v>289</v>
      </c>
      <c r="AP94">
        <v>19</v>
      </c>
      <c r="AQ94" s="101">
        <v>17</v>
      </c>
      <c r="AR94" s="101">
        <v>17</v>
      </c>
      <c r="AS94">
        <v>2</v>
      </c>
      <c r="AT94">
        <v>2</v>
      </c>
      <c r="AU94">
        <v>0</v>
      </c>
      <c r="AV94" s="119">
        <v>8</v>
      </c>
      <c r="AW94" s="101">
        <f>($F$92-N94)/$F$92</f>
        <v>1</v>
      </c>
      <c r="AY94" s="101">
        <f>($G$92-AN94)/$G$92</f>
        <v>1</v>
      </c>
      <c r="AZ94" s="101">
        <f>AR94/AQ94</f>
        <v>1</v>
      </c>
      <c r="BA94" s="101">
        <f>AT94/AS94</f>
        <v>1</v>
      </c>
      <c r="BB94" s="85">
        <f>(AW94+AY94+AZ94+BA94)/4</f>
        <v>1</v>
      </c>
      <c r="BC94" s="13">
        <f>AP94/$H$92</f>
        <v>1.2666666666666666</v>
      </c>
      <c r="BD94" s="118">
        <f>AV94/AP94</f>
        <v>0.42105263157894735</v>
      </c>
      <c r="BE94" s="13">
        <f>AO94/AP94</f>
        <v>15.210526315789474</v>
      </c>
      <c r="BF94" s="13">
        <f>AT94/$H$92</f>
        <v>0.13333333333333333</v>
      </c>
      <c r="BG94" s="13">
        <f>AR94/$H$92</f>
        <v>1.1333333333333333</v>
      </c>
      <c r="BQ94" t="str">
        <f t="shared" ref="BQ94:BQ96" si="15">_xlfn.CONCAT($C$92," &amp; ",C94," &amp; ",Q94," &amp; ",R94," &amp; ",S94," &amp; ",W94," &amp; ",X94," &amp; ",Y94," &amp; ",AC94," &amp; ",AD94," &amp; ",AE94," &amp; ",AG94," &amp; ",AH94," &amp; ",AI94," &amp; ",AJ94, " \\ \hline")</f>
        <v>10-12 &amp;  &amp; 0.676470588235294 &amp; 0.793103448275862 &amp; 0.73015873015873 &amp; 0.583333333333333 &amp; 0.777777777777778 &amp; 0.666666666666667 &amp; 0.548387096774194 &amp; 0.653846153846154 &amp; 0.596491228070176 &amp; 9 &amp; 10 &amp; 0.6 &amp; 0.9 \\ \hline</v>
      </c>
    </row>
    <row r="95" spans="1:69" ht="16">
      <c r="A95" t="s">
        <v>307</v>
      </c>
      <c r="C95" s="310"/>
      <c r="L95" s="48" t="s">
        <v>612</v>
      </c>
      <c r="M95" s="77"/>
      <c r="O95" s="81">
        <f>P95-4</f>
        <v>22</v>
      </c>
      <c r="P95" s="81">
        <f>$F$92-8</f>
        <v>26</v>
      </c>
      <c r="Q95" s="129">
        <f>O95/$F$92</f>
        <v>0.6470588235294118</v>
      </c>
      <c r="R95" s="129">
        <f>O95/P95</f>
        <v>0.84615384615384615</v>
      </c>
      <c r="S95" s="127">
        <f>2*(Q95*R95)/(Q95+R95)</f>
        <v>0.73333333333333339</v>
      </c>
      <c r="U95" s="81">
        <f>V95-2</f>
        <v>8</v>
      </c>
      <c r="V95" s="81">
        <f>$G$92-2</f>
        <v>10</v>
      </c>
      <c r="W95" s="129">
        <f>U95/$G$92</f>
        <v>0.66666666666666663</v>
      </c>
      <c r="X95" s="129">
        <f>U95/V95</f>
        <v>0.8</v>
      </c>
      <c r="Y95" s="127">
        <f>2*(W95*X95)/(W95+X95)</f>
        <v>0.72727272727272718</v>
      </c>
      <c r="AA95" s="81">
        <f>AB95-6</f>
        <v>17</v>
      </c>
      <c r="AB95" s="81">
        <f>$I$92-8</f>
        <v>23</v>
      </c>
      <c r="AC95" s="129">
        <f>AA95/$I$92</f>
        <v>0.54838709677419351</v>
      </c>
      <c r="AD95" s="129">
        <f>AA95/AB95</f>
        <v>0.73913043478260865</v>
      </c>
      <c r="AE95" s="127">
        <f>2*(AC95*AD95)/(AC95+AD95)</f>
        <v>0.62962962962962965</v>
      </c>
      <c r="AG95">
        <f>AH95-0</f>
        <v>12</v>
      </c>
      <c r="AH95">
        <v>12</v>
      </c>
      <c r="AI95" s="127">
        <f>AG95/$H$92</f>
        <v>0.8</v>
      </c>
      <c r="AJ95" s="127">
        <f>AG95/AH95</f>
        <v>1</v>
      </c>
      <c r="AM95" s="122">
        <v>0</v>
      </c>
      <c r="AN95" s="101">
        <v>0</v>
      </c>
      <c r="AO95">
        <v>291</v>
      </c>
      <c r="AP95">
        <v>19</v>
      </c>
      <c r="AQ95" s="101">
        <v>16</v>
      </c>
      <c r="AR95" s="101">
        <v>16</v>
      </c>
      <c r="AS95">
        <v>1</v>
      </c>
      <c r="AT95">
        <v>1</v>
      </c>
      <c r="AU95">
        <v>2</v>
      </c>
      <c r="AV95" s="119">
        <v>8</v>
      </c>
      <c r="AW95" s="101">
        <f>($F$92-N95)/$F$92</f>
        <v>1</v>
      </c>
      <c r="AY95" s="101">
        <f>($G$92-AN95)/$G$92</f>
        <v>1</v>
      </c>
      <c r="AZ95" s="101">
        <f>AR95/AQ95</f>
        <v>1</v>
      </c>
      <c r="BA95" s="101">
        <f>AT95/AS95</f>
        <v>1</v>
      </c>
      <c r="BB95" s="85">
        <f>(AW95+AY95+AZ95+BA95)/4</f>
        <v>1</v>
      </c>
      <c r="BC95" s="13">
        <f>AP95/$H$92</f>
        <v>1.2666666666666666</v>
      </c>
      <c r="BD95" s="118">
        <f>AV95/AP95</f>
        <v>0.42105263157894735</v>
      </c>
      <c r="BE95" s="13">
        <f>AO95/AP95</f>
        <v>15.315789473684211</v>
      </c>
      <c r="BF95" s="13">
        <f>AT95/$H$92</f>
        <v>6.6666666666666666E-2</v>
      </c>
      <c r="BG95" s="13">
        <f>AR95/$H$92</f>
        <v>1.0666666666666667</v>
      </c>
      <c r="BQ95" t="str">
        <f t="shared" si="15"/>
        <v>10-12 &amp;  &amp; 0.647058823529412 &amp; 0.846153846153846 &amp; 0.733333333333333 &amp; 0.666666666666667 &amp; 0.8 &amp; 0.727272727272727 &amp; 0.548387096774194 &amp; 0.739130434782609 &amp; 0.62962962962963 &amp; 12 &amp; 12 &amp; 0.8 &amp; 1 \\ \hline</v>
      </c>
    </row>
    <row r="96" spans="1:69" ht="16">
      <c r="A96" t="s">
        <v>308</v>
      </c>
      <c r="C96" s="310"/>
      <c r="L96" s="48" t="s">
        <v>613</v>
      </c>
      <c r="M96" s="77"/>
      <c r="O96" s="81">
        <f>P96-4</f>
        <v>26</v>
      </c>
      <c r="P96" s="81">
        <f>$F$92-4</f>
        <v>30</v>
      </c>
      <c r="Q96" s="129">
        <f>O96/$F$92</f>
        <v>0.76470588235294112</v>
      </c>
      <c r="R96" s="129">
        <f>O96/P96</f>
        <v>0.8666666666666667</v>
      </c>
      <c r="S96" s="127">
        <f>2*(Q96*R96)/(Q96+R96)</f>
        <v>0.8125</v>
      </c>
      <c r="U96" s="81">
        <f>V96-1</f>
        <v>8</v>
      </c>
      <c r="V96" s="81">
        <f>$G$92-3</f>
        <v>9</v>
      </c>
      <c r="W96" s="129">
        <f>U96/$G$92</f>
        <v>0.66666666666666663</v>
      </c>
      <c r="X96" s="129">
        <f>U96/V96</f>
        <v>0.88888888888888884</v>
      </c>
      <c r="Y96" s="127">
        <f>2*(W96*X96)/(W96+X96)</f>
        <v>0.76190476190476197</v>
      </c>
      <c r="AA96" s="81">
        <f>AB96-4</f>
        <v>23</v>
      </c>
      <c r="AB96" s="81">
        <f>$I$92-4</f>
        <v>27</v>
      </c>
      <c r="AC96" s="129">
        <f>AA96/$I$92</f>
        <v>0.74193548387096775</v>
      </c>
      <c r="AD96" s="129">
        <f>AA96/AB96</f>
        <v>0.85185185185185186</v>
      </c>
      <c r="AE96" s="127">
        <f>2*(AC96*AD96)/(AC96+AD96)</f>
        <v>0.7931034482758621</v>
      </c>
      <c r="AG96">
        <f>AH96-0</f>
        <v>9</v>
      </c>
      <c r="AH96">
        <v>9</v>
      </c>
      <c r="AI96" s="127">
        <f>AG96/$H$92</f>
        <v>0.6</v>
      </c>
      <c r="AJ96" s="127">
        <f>AG96/AH96</f>
        <v>1</v>
      </c>
      <c r="AM96" s="122">
        <v>2</v>
      </c>
      <c r="AN96" s="101">
        <v>1</v>
      </c>
      <c r="AO96">
        <v>296</v>
      </c>
      <c r="AP96">
        <v>16</v>
      </c>
      <c r="AQ96" s="101">
        <v>15</v>
      </c>
      <c r="AR96" s="101">
        <v>15</v>
      </c>
      <c r="AS96">
        <v>1</v>
      </c>
      <c r="AT96">
        <v>1</v>
      </c>
      <c r="AU96">
        <v>0</v>
      </c>
      <c r="AV96" s="119">
        <v>8</v>
      </c>
      <c r="AW96" s="101">
        <f>($F$92-N96)/$F$92</f>
        <v>1</v>
      </c>
      <c r="AY96" s="101">
        <f>($G$92-AN96)/$G$92</f>
        <v>0.91666666666666663</v>
      </c>
      <c r="AZ96" s="101">
        <f>AR96/AQ96</f>
        <v>1</v>
      </c>
      <c r="BA96" s="101">
        <f>AT96/AS96</f>
        <v>1</v>
      </c>
      <c r="BB96" s="85">
        <f>(AW96+AY96+AZ96+BA96)/4</f>
        <v>0.97916666666666663</v>
      </c>
      <c r="BC96" s="13">
        <f>AP96/$H$92</f>
        <v>1.0666666666666667</v>
      </c>
      <c r="BD96" s="118">
        <f>AV96/AP96</f>
        <v>0.5</v>
      </c>
      <c r="BE96" s="13">
        <f>AO96/AP96</f>
        <v>18.5</v>
      </c>
      <c r="BF96" s="13">
        <f>AT96/$H$92</f>
        <v>6.6666666666666666E-2</v>
      </c>
      <c r="BG96" s="13">
        <f>AR96/$H$92</f>
        <v>1</v>
      </c>
      <c r="BQ96" t="str">
        <f t="shared" si="15"/>
        <v>10-12 &amp;  &amp; 0.764705882352941 &amp; 0.866666666666667 &amp; 0.8125 &amp; 0.666666666666667 &amp; 0.888888888888889 &amp; 0.761904761904762 &amp; 0.741935483870968 &amp; 0.851851851851852 &amp; 0.793103448275862 &amp; 9 &amp; 9 &amp; 0.6 &amp; 1 \\ \hline</v>
      </c>
    </row>
    <row r="97" spans="1:69">
      <c r="C97" s="98"/>
      <c r="Q97" s="129"/>
      <c r="R97" s="129"/>
      <c r="S97" s="127"/>
      <c r="W97" s="129"/>
      <c r="X97" s="129"/>
      <c r="Y97" s="127"/>
      <c r="AC97" s="129"/>
      <c r="AD97" s="129"/>
      <c r="AE97" s="127"/>
      <c r="AG97"/>
      <c r="AH97"/>
      <c r="AI97" s="127"/>
      <c r="AJ97" s="131"/>
    </row>
    <row r="98" spans="1:69" s="75" customFormat="1">
      <c r="A98" s="75" t="s">
        <v>323</v>
      </c>
      <c r="B98" s="94">
        <v>45179</v>
      </c>
      <c r="C98" s="93" t="s">
        <v>142</v>
      </c>
      <c r="D98" s="78">
        <f>VLOOKUP($C$98,Overview!$Q$2:$AS$64,23,FALSE)</f>
        <v>0.68692634591772206</v>
      </c>
      <c r="E98" s="78" t="str">
        <f>VLOOKUP($C$98,Overview!$Q$2:$AS$64,24,FALSE)</f>
        <v>medium</v>
      </c>
      <c r="F98" s="75">
        <f>VLOOKUP(C98,Overview!$Q$2:$AS$64,13,FALSE)</f>
        <v>35</v>
      </c>
      <c r="G98" s="75">
        <f>VLOOKUP(C98,Overview!$Q$2:$AS$64,16,FALSE)</f>
        <v>9</v>
      </c>
      <c r="H98" s="75">
        <f>VLOOKUP(C98,Overview!$Q$2:$AS$64,18,FALSE)</f>
        <v>8</v>
      </c>
      <c r="I98" s="75">
        <f>VLOOKUP($C$98,Overview!$Q$2:$AS$64,19,FALSE)</f>
        <v>30</v>
      </c>
      <c r="K98" s="75" t="str">
        <f>VLOOKUP($C$98,Overview!$Q$2:$AS$64,5,FALSE)</f>
        <v>6-2, 3-8</v>
      </c>
      <c r="L98" s="96"/>
      <c r="N98" s="115"/>
      <c r="O98" s="97"/>
      <c r="P98" s="97"/>
      <c r="Q98" s="130"/>
      <c r="R98" s="130"/>
      <c r="S98" s="128"/>
      <c r="T98" s="115"/>
      <c r="U98" s="97"/>
      <c r="V98" s="97"/>
      <c r="W98" s="130"/>
      <c r="X98" s="130"/>
      <c r="Y98" s="128"/>
      <c r="Z98" s="115"/>
      <c r="AA98" s="97"/>
      <c r="AB98" s="97"/>
      <c r="AC98" s="130"/>
      <c r="AD98" s="130"/>
      <c r="AE98" s="128"/>
      <c r="AF98" s="115"/>
      <c r="AI98" s="128"/>
      <c r="AJ98" s="132"/>
      <c r="AK98" s="97"/>
      <c r="AL98" s="115"/>
      <c r="AM98" s="122"/>
      <c r="AN98" s="101"/>
      <c r="AQ98" s="101"/>
      <c r="AR98" s="101"/>
      <c r="AV98" s="119"/>
      <c r="AW98" s="101"/>
      <c r="AX98" s="101"/>
      <c r="AY98" s="101"/>
      <c r="AZ98" s="101"/>
      <c r="BA98" s="101"/>
      <c r="BB98" s="83"/>
      <c r="BD98" s="101"/>
      <c r="BQ98"/>
    </row>
    <row r="99" spans="1:69" ht="16">
      <c r="A99" t="s">
        <v>305</v>
      </c>
      <c r="C99" s="310"/>
      <c r="L99" s="48" t="s">
        <v>610</v>
      </c>
      <c r="M99" s="77"/>
      <c r="O99" s="81">
        <f>P99-0</f>
        <v>23</v>
      </c>
      <c r="P99" s="81">
        <f>$F$98-12</f>
        <v>23</v>
      </c>
      <c r="Q99" s="129">
        <f>O99/$F$98</f>
        <v>0.65714285714285714</v>
      </c>
      <c r="R99" s="129">
        <f>O99/P99</f>
        <v>1</v>
      </c>
      <c r="S99" s="127">
        <f>2*(Q99*R99)/(Q99+R99)</f>
        <v>0.7931034482758621</v>
      </c>
      <c r="U99" s="81">
        <f>V99-0</f>
        <v>7</v>
      </c>
      <c r="V99" s="81">
        <f>$G$98-2</f>
        <v>7</v>
      </c>
      <c r="W99" s="129">
        <f>U99/$G$98</f>
        <v>0.77777777777777779</v>
      </c>
      <c r="X99" s="129">
        <f>U99/V99</f>
        <v>1</v>
      </c>
      <c r="Y99" s="127">
        <f>2*(W99*X99)/(W99+X99)</f>
        <v>0.87500000000000011</v>
      </c>
      <c r="AA99" s="81">
        <f>AB99-9</f>
        <v>9</v>
      </c>
      <c r="AB99" s="81">
        <f>$I$98-12</f>
        <v>18</v>
      </c>
      <c r="AC99" s="129">
        <f>AA99/$I$98</f>
        <v>0.3</v>
      </c>
      <c r="AD99" s="129">
        <f>AA99/AB99</f>
        <v>0.5</v>
      </c>
      <c r="AE99" s="127">
        <f>2*(AC99*AD99)/(AC99+AD99)</f>
        <v>0.37499999999999994</v>
      </c>
      <c r="AG99">
        <f>AH99-0</f>
        <v>11</v>
      </c>
      <c r="AH99">
        <v>11</v>
      </c>
      <c r="AI99" s="127">
        <f>AG99/$H$98</f>
        <v>1.375</v>
      </c>
      <c r="AJ99" s="127">
        <f>AG99/AH99</f>
        <v>1</v>
      </c>
      <c r="AM99" s="122">
        <v>4</v>
      </c>
      <c r="AN99" s="101">
        <v>3</v>
      </c>
      <c r="AO99">
        <v>285</v>
      </c>
      <c r="AP99">
        <v>12</v>
      </c>
      <c r="AQ99" s="101">
        <v>8</v>
      </c>
      <c r="AR99" s="101">
        <v>6</v>
      </c>
      <c r="AS99">
        <v>4</v>
      </c>
      <c r="AT99">
        <v>4</v>
      </c>
      <c r="AU99">
        <v>0</v>
      </c>
      <c r="AV99" s="119">
        <v>5</v>
      </c>
      <c r="AW99" s="101">
        <f>($F$98-N99)/$F$98</f>
        <v>1</v>
      </c>
      <c r="AY99" s="101">
        <f>($G$98-AN99)/$G$98</f>
        <v>0.66666666666666663</v>
      </c>
      <c r="AZ99" s="101">
        <f>AR99/AQ99</f>
        <v>0.75</v>
      </c>
      <c r="BA99" s="101">
        <f>AT99/AS99</f>
        <v>1</v>
      </c>
      <c r="BB99" s="85">
        <f>(AW99+AY99+AZ99+BA99)/4</f>
        <v>0.85416666666666663</v>
      </c>
      <c r="BC99" s="13">
        <f>AP99/$H$98</f>
        <v>1.5</v>
      </c>
      <c r="BD99" s="118">
        <f>AV99/AP99</f>
        <v>0.41666666666666669</v>
      </c>
      <c r="BE99" s="13">
        <f>AO99/AP99</f>
        <v>23.75</v>
      </c>
      <c r="BF99" s="13">
        <f>AT99/$H$98</f>
        <v>0.5</v>
      </c>
      <c r="BG99" s="13">
        <f>AR99/$H$98</f>
        <v>0.75</v>
      </c>
      <c r="BQ99" t="str">
        <f>_xlfn.CONCAT($C$98," &amp; ",C99," &amp; ",Q99," &amp; ",R99," &amp; ",S99," &amp; ",W99," &amp; ",X99," &amp; ",Y99," &amp; ",AC99," &amp; ",AD99," &amp; ",AE99," &amp; ",AG99," &amp; ",AH99," &amp; ",AI99," &amp; ",AJ99, " \\ \hline")</f>
        <v>3-1 &amp;  &amp; 0.657142857142857 &amp; 1 &amp; 0.793103448275862 &amp; 0.777777777777778 &amp; 1 &amp; 0.875 &amp; 0.3 &amp; 0.5 &amp; 0.375 &amp; 11 &amp; 11 &amp; 1.375 &amp; 1 \\ \hline</v>
      </c>
    </row>
    <row r="100" spans="1:69" ht="16">
      <c r="A100" t="s">
        <v>306</v>
      </c>
      <c r="C100" s="310"/>
      <c r="L100" s="48" t="s">
        <v>611</v>
      </c>
      <c r="M100" s="2"/>
      <c r="O100" s="81">
        <f>P100-0</f>
        <v>21</v>
      </c>
      <c r="P100" s="81">
        <f>$F$98-14</f>
        <v>21</v>
      </c>
      <c r="Q100" s="129">
        <f>O100/$F$98</f>
        <v>0.6</v>
      </c>
      <c r="R100" s="129">
        <f>O100/P100</f>
        <v>1</v>
      </c>
      <c r="S100" s="127">
        <f>2*(Q100*R100)/(Q100+R100)</f>
        <v>0.74999999999999989</v>
      </c>
      <c r="U100" s="81">
        <f>V100-0</f>
        <v>7</v>
      </c>
      <c r="V100" s="81">
        <f>$G$98-2</f>
        <v>7</v>
      </c>
      <c r="W100" s="129">
        <f>U100/$G$98</f>
        <v>0.77777777777777779</v>
      </c>
      <c r="X100" s="129">
        <f>U100/V100</f>
        <v>1</v>
      </c>
      <c r="Y100" s="127">
        <f>2*(W100*X100)/(W100+X100)</f>
        <v>0.87500000000000011</v>
      </c>
      <c r="AA100" s="81">
        <f>AB100-6</f>
        <v>10</v>
      </c>
      <c r="AB100" s="81">
        <f>$I$98-14</f>
        <v>16</v>
      </c>
      <c r="AC100" s="129">
        <f>AA100/$I$98</f>
        <v>0.33333333333333331</v>
      </c>
      <c r="AD100" s="129">
        <f>AA100/AB100</f>
        <v>0.625</v>
      </c>
      <c r="AE100" s="127">
        <f>2*(AC100*AD100)/(AC100+AD100)</f>
        <v>0.43478260869565216</v>
      </c>
      <c r="AG100">
        <v>10</v>
      </c>
      <c r="AH100">
        <v>10</v>
      </c>
      <c r="AI100" s="127">
        <f>AG100/$H$98</f>
        <v>1.25</v>
      </c>
      <c r="AJ100" s="127">
        <f>AG100/AH100</f>
        <v>1</v>
      </c>
      <c r="AM100" s="122">
        <v>4</v>
      </c>
      <c r="AN100" s="101">
        <v>3</v>
      </c>
      <c r="AO100">
        <v>291</v>
      </c>
      <c r="AP100">
        <v>14</v>
      </c>
      <c r="AQ100" s="101">
        <v>9</v>
      </c>
      <c r="AR100" s="101">
        <v>7</v>
      </c>
      <c r="AS100">
        <v>4</v>
      </c>
      <c r="AT100">
        <v>4</v>
      </c>
      <c r="AU100">
        <v>1</v>
      </c>
      <c r="AV100" s="119">
        <v>7</v>
      </c>
      <c r="AW100" s="101">
        <f>($F$98-N100)/$F$98</f>
        <v>1</v>
      </c>
      <c r="AY100" s="101">
        <f>($G$98-AN100)/$G$98</f>
        <v>0.66666666666666663</v>
      </c>
      <c r="AZ100" s="101">
        <f>AR100/AQ100</f>
        <v>0.77777777777777779</v>
      </c>
      <c r="BA100" s="101">
        <f>AT100/AS100</f>
        <v>1</v>
      </c>
      <c r="BB100" s="85">
        <f>(AW100+AY100+AZ100+BA100)/4</f>
        <v>0.86111111111111105</v>
      </c>
      <c r="BC100" s="13">
        <f>AP100/$H$98</f>
        <v>1.75</v>
      </c>
      <c r="BD100" s="118">
        <f>AV100/AP100</f>
        <v>0.5</v>
      </c>
      <c r="BE100" s="13">
        <f>AO100/AP100</f>
        <v>20.785714285714285</v>
      </c>
      <c r="BF100" s="13">
        <f>AT100/$H$98</f>
        <v>0.5</v>
      </c>
      <c r="BG100" s="13">
        <f>AR100/$H$98</f>
        <v>0.875</v>
      </c>
      <c r="BQ100" t="str">
        <f t="shared" ref="BQ100:BQ102" si="16">_xlfn.CONCAT($C$98," &amp; ",C100," &amp; ",Q100," &amp; ",R100," &amp; ",S100," &amp; ",W100," &amp; ",X100," &amp; ",Y100," &amp; ",AC100," &amp; ",AD100," &amp; ",AE100," &amp; ",AG100," &amp; ",AH100," &amp; ",AI100," &amp; ",AJ100, " \\ \hline")</f>
        <v>3-1 &amp;  &amp; 0.6 &amp; 1 &amp; 0.75 &amp; 0.777777777777778 &amp; 1 &amp; 0.875 &amp; 0.333333333333333 &amp; 0.625 &amp; 0.434782608695652 &amp; 10 &amp; 10 &amp; 1.25 &amp; 1 \\ \hline</v>
      </c>
    </row>
    <row r="101" spans="1:69" ht="16">
      <c r="A101" t="s">
        <v>307</v>
      </c>
      <c r="C101" s="310"/>
      <c r="L101" s="48" t="s">
        <v>612</v>
      </c>
      <c r="M101" s="77"/>
      <c r="O101" s="81">
        <f>P101-0</f>
        <v>21</v>
      </c>
      <c r="P101" s="81">
        <f>$F$98-14</f>
        <v>21</v>
      </c>
      <c r="Q101" s="129">
        <f>O101/$F$98</f>
        <v>0.6</v>
      </c>
      <c r="R101" s="129">
        <f>O101/P101</f>
        <v>1</v>
      </c>
      <c r="S101" s="127">
        <f>2*(Q101*R101)/(Q101+R101)</f>
        <v>0.74999999999999989</v>
      </c>
      <c r="U101" s="81">
        <f>V101-0</f>
        <v>7</v>
      </c>
      <c r="V101" s="81">
        <f>$G$98-2</f>
        <v>7</v>
      </c>
      <c r="W101" s="129">
        <f>U101/$G$98</f>
        <v>0.77777777777777779</v>
      </c>
      <c r="X101" s="129">
        <f>U101/V101</f>
        <v>1</v>
      </c>
      <c r="Y101" s="127">
        <f>2*(W101*X101)/(W101+X101)</f>
        <v>0.87500000000000011</v>
      </c>
      <c r="AA101" s="81">
        <f>AB101-8</f>
        <v>8</v>
      </c>
      <c r="AB101" s="81">
        <f>$I$98-14</f>
        <v>16</v>
      </c>
      <c r="AC101" s="129">
        <f>AA101/$I$98</f>
        <v>0.26666666666666666</v>
      </c>
      <c r="AD101" s="129">
        <f>AA101/AB101</f>
        <v>0.5</v>
      </c>
      <c r="AE101" s="127">
        <f>2*(AC101*AD101)/(AC101+AD101)</f>
        <v>0.34782608695652178</v>
      </c>
      <c r="AG101">
        <f>AH101-0</f>
        <v>9</v>
      </c>
      <c r="AH101">
        <v>9</v>
      </c>
      <c r="AI101" s="127">
        <f>AG101/$H$98</f>
        <v>1.125</v>
      </c>
      <c r="AJ101" s="127">
        <f>AG101/AH101</f>
        <v>1</v>
      </c>
      <c r="AM101" s="122">
        <v>4</v>
      </c>
      <c r="AN101" s="101">
        <v>3</v>
      </c>
      <c r="AO101">
        <v>325</v>
      </c>
      <c r="AP101">
        <v>15</v>
      </c>
      <c r="AQ101" s="101">
        <v>10</v>
      </c>
      <c r="AR101" s="101">
        <v>8</v>
      </c>
      <c r="AS101">
        <v>5</v>
      </c>
      <c r="AT101">
        <v>4</v>
      </c>
      <c r="AU101">
        <v>0</v>
      </c>
      <c r="AV101" s="119">
        <v>8</v>
      </c>
      <c r="AW101" s="101">
        <f>($F$98-N101)/$F$98</f>
        <v>1</v>
      </c>
      <c r="AY101" s="101">
        <f>($G$98-AN101)/$G$98</f>
        <v>0.66666666666666663</v>
      </c>
      <c r="AZ101" s="101">
        <f>AR101/AQ101</f>
        <v>0.8</v>
      </c>
      <c r="BA101" s="101">
        <f>AT101/AS101</f>
        <v>0.8</v>
      </c>
      <c r="BB101" s="85">
        <f>(AW101+AY101+AZ101+BA101)/4</f>
        <v>0.81666666666666665</v>
      </c>
      <c r="BC101" s="13">
        <f>AP101/$H$98</f>
        <v>1.875</v>
      </c>
      <c r="BD101" s="118">
        <f>AV101/AP101</f>
        <v>0.53333333333333333</v>
      </c>
      <c r="BE101" s="13">
        <f>AO101/AP101</f>
        <v>21.666666666666668</v>
      </c>
      <c r="BF101" s="13">
        <f>AT101/$H$98</f>
        <v>0.5</v>
      </c>
      <c r="BG101" s="13">
        <f>AR101/$H$98</f>
        <v>1</v>
      </c>
      <c r="BQ101" t="str">
        <f t="shared" si="16"/>
        <v>3-1 &amp;  &amp; 0.6 &amp; 1 &amp; 0.75 &amp; 0.777777777777778 &amp; 1 &amp; 0.875 &amp; 0.266666666666667 &amp; 0.5 &amp; 0.347826086956522 &amp; 9 &amp; 9 &amp; 1.125 &amp; 1 \\ \hline</v>
      </c>
    </row>
    <row r="102" spans="1:69" ht="16">
      <c r="A102" t="s">
        <v>308</v>
      </c>
      <c r="C102" s="310"/>
      <c r="L102" s="48" t="s">
        <v>613</v>
      </c>
      <c r="M102" s="77"/>
      <c r="O102" s="81">
        <f>P102-0</f>
        <v>23</v>
      </c>
      <c r="P102" s="81">
        <f>$F$98-12</f>
        <v>23</v>
      </c>
      <c r="Q102" s="129">
        <f>O102/$F$98</f>
        <v>0.65714285714285714</v>
      </c>
      <c r="R102" s="129">
        <f>O102/P102</f>
        <v>1</v>
      </c>
      <c r="S102" s="127">
        <f>2*(Q102*R102)/(Q102+R102)</f>
        <v>0.7931034482758621</v>
      </c>
      <c r="U102" s="81">
        <f>V102-0</f>
        <v>9</v>
      </c>
      <c r="V102" s="81">
        <f>$G$98</f>
        <v>9</v>
      </c>
      <c r="W102" s="129">
        <f>U102/$G$98</f>
        <v>1</v>
      </c>
      <c r="X102" s="129">
        <f>U102/V102</f>
        <v>1</v>
      </c>
      <c r="Y102" s="127">
        <f>2*(W102*X102)/(W102+X102)</f>
        <v>1</v>
      </c>
      <c r="AA102" s="81">
        <f>AB102-0</f>
        <v>18</v>
      </c>
      <c r="AB102" s="81">
        <f>$I$98-12</f>
        <v>18</v>
      </c>
      <c r="AC102" s="129">
        <f>AA102/$I$98</f>
        <v>0.6</v>
      </c>
      <c r="AD102" s="129">
        <f>AA102/AB102</f>
        <v>1</v>
      </c>
      <c r="AE102" s="127">
        <f>2*(AC102*AD102)/(AC102+AD102)</f>
        <v>0.74999999999999989</v>
      </c>
      <c r="AG102">
        <f>AH102-0</f>
        <v>5</v>
      </c>
      <c r="AH102">
        <v>5</v>
      </c>
      <c r="AI102" s="127">
        <f>AG102/$H$98</f>
        <v>0.625</v>
      </c>
      <c r="AJ102" s="127">
        <f>AG102/AH102</f>
        <v>1</v>
      </c>
      <c r="AM102" s="122">
        <v>0</v>
      </c>
      <c r="AN102" s="101">
        <v>0</v>
      </c>
      <c r="AO102">
        <v>280</v>
      </c>
      <c r="AP102">
        <v>12</v>
      </c>
      <c r="AQ102" s="101">
        <v>10</v>
      </c>
      <c r="AR102" s="101">
        <v>10</v>
      </c>
      <c r="AS102">
        <v>2</v>
      </c>
      <c r="AT102">
        <v>2</v>
      </c>
      <c r="AU102">
        <v>0</v>
      </c>
      <c r="AV102" s="119">
        <v>7</v>
      </c>
      <c r="AW102" s="101">
        <f>($F$98-N102)/$F$98</f>
        <v>1</v>
      </c>
      <c r="AY102" s="101">
        <f>($G$98-AN102)/$G$98</f>
        <v>1</v>
      </c>
      <c r="AZ102" s="101">
        <f>AR102/AQ102</f>
        <v>1</v>
      </c>
      <c r="BA102" s="101">
        <f>AT102/AS102</f>
        <v>1</v>
      </c>
      <c r="BB102" s="85">
        <f>(AW102+AY102+AZ102+BA102)/4</f>
        <v>1</v>
      </c>
      <c r="BC102" s="13">
        <f>AP102/$H$98</f>
        <v>1.5</v>
      </c>
      <c r="BD102" s="118">
        <f>AV102/AP102</f>
        <v>0.58333333333333337</v>
      </c>
      <c r="BE102" s="13">
        <f>AO102/AP102</f>
        <v>23.333333333333332</v>
      </c>
      <c r="BF102" s="13">
        <f>AT102/$H$98</f>
        <v>0.25</v>
      </c>
      <c r="BG102" s="13">
        <f>AR102/$H$98</f>
        <v>1.25</v>
      </c>
      <c r="BQ102" t="str">
        <f t="shared" si="16"/>
        <v>3-1 &amp;  &amp; 0.657142857142857 &amp; 1 &amp; 0.793103448275862 &amp; 1 &amp; 1 &amp; 1 &amp; 0.6 &amp; 1 &amp; 0.75 &amp; 5 &amp; 5 &amp; 0.625 &amp; 1 \\ \hline</v>
      </c>
    </row>
    <row r="103" spans="1:69">
      <c r="A103" s="107" t="s">
        <v>309</v>
      </c>
      <c r="C103" s="98"/>
      <c r="L103" s="164" t="s">
        <v>649</v>
      </c>
      <c r="O103" s="81">
        <f>P103-0</f>
        <v>34</v>
      </c>
      <c r="P103" s="81">
        <f>$F$98-1</f>
        <v>34</v>
      </c>
      <c r="Q103" s="129">
        <f>O103/$F$98</f>
        <v>0.97142857142857142</v>
      </c>
      <c r="R103" s="129">
        <f>O103/P103</f>
        <v>1</v>
      </c>
      <c r="S103" s="127">
        <f>2*(Q103*R103)/(Q103+R103)</f>
        <v>0.98550724637681153</v>
      </c>
      <c r="U103" s="81">
        <f>V103-0</f>
        <v>9</v>
      </c>
      <c r="V103" s="81">
        <f>$G$98</f>
        <v>9</v>
      </c>
      <c r="W103" s="129">
        <f>U103/$G$98</f>
        <v>1</v>
      </c>
      <c r="X103" s="129">
        <f>U103/V103</f>
        <v>1</v>
      </c>
      <c r="Y103" s="127">
        <f>2*(W103*X103)/(W103+X103)</f>
        <v>1</v>
      </c>
      <c r="AA103" s="81">
        <f>AB103-8</f>
        <v>21</v>
      </c>
      <c r="AB103" s="81">
        <f>$I$98-1</f>
        <v>29</v>
      </c>
      <c r="AC103" s="129">
        <f>AA103/$I$98</f>
        <v>0.7</v>
      </c>
      <c r="AD103" s="129">
        <f>AA103/AB103</f>
        <v>0.72413793103448276</v>
      </c>
      <c r="AE103" s="177">
        <f>2*(AC103*AD103)/(AC103+AD103)</f>
        <v>0.71186440677966101</v>
      </c>
      <c r="AG103">
        <f>AH103-0</f>
        <v>13</v>
      </c>
      <c r="AH103">
        <v>13</v>
      </c>
      <c r="AI103" s="127"/>
      <c r="AJ103" s="131"/>
    </row>
    <row r="104" spans="1:69" s="75" customFormat="1">
      <c r="A104" s="75" t="s">
        <v>324</v>
      </c>
      <c r="B104" s="94">
        <v>45179</v>
      </c>
      <c r="C104" s="93" t="s">
        <v>153</v>
      </c>
      <c r="D104" s="78">
        <f>VLOOKUP($C$104,Overview!$Q$2:$AS$64,23,FALSE)</f>
        <v>0.71688008599465802</v>
      </c>
      <c r="E104" s="78" t="str">
        <f>VLOOKUP($C$104,Overview!$Q$2:$AS$64,24,FALSE)</f>
        <v>medium</v>
      </c>
      <c r="F104" s="75">
        <f>VLOOKUP(C104,Overview!$Q$2:$AS$64,13,FALSE)</f>
        <v>33</v>
      </c>
      <c r="G104" s="75">
        <f>VLOOKUP(C104,Overview!$Q$2:$AS$64,16,FALSE)</f>
        <v>12</v>
      </c>
      <c r="H104" s="75">
        <f>VLOOKUP(C104,Overview!$Q$2:$AS$64,18,FALSE)</f>
        <v>15</v>
      </c>
      <c r="I104" s="75">
        <f>VLOOKUP($C$104,Overview!$Q$2:$AS$64,19,FALSE)</f>
        <v>29</v>
      </c>
      <c r="K104" s="75" t="str">
        <f>VLOOKUP($C$104,Overview!$Q$2:$AS$64,5,FALSE)</f>
        <v>5-2, 5-1</v>
      </c>
      <c r="L104" s="96"/>
      <c r="N104" s="115"/>
      <c r="O104" s="97"/>
      <c r="P104" s="97"/>
      <c r="Q104" s="130"/>
      <c r="R104" s="130"/>
      <c r="S104" s="128"/>
      <c r="T104" s="115"/>
      <c r="U104" s="97"/>
      <c r="V104" s="97"/>
      <c r="W104" s="130"/>
      <c r="X104" s="130"/>
      <c r="Y104" s="128"/>
      <c r="Z104" s="115"/>
      <c r="AA104" s="97"/>
      <c r="AB104" s="97"/>
      <c r="AC104" s="130"/>
      <c r="AD104" s="130"/>
      <c r="AE104" s="128"/>
      <c r="AF104" s="115"/>
      <c r="AI104" s="128"/>
      <c r="AJ104" s="132"/>
      <c r="AK104" s="97"/>
      <c r="AL104" s="115"/>
      <c r="AM104" s="122"/>
      <c r="AN104" s="101"/>
      <c r="AQ104" s="101"/>
      <c r="AR104" s="101"/>
      <c r="AV104" s="119"/>
      <c r="AW104" s="101"/>
      <c r="AX104" s="101"/>
      <c r="AY104" s="101"/>
      <c r="AZ104" s="101"/>
      <c r="BA104" s="101"/>
      <c r="BB104" s="83"/>
      <c r="BD104" s="101"/>
      <c r="BQ104"/>
    </row>
    <row r="105" spans="1:69" ht="16">
      <c r="A105" t="s">
        <v>305</v>
      </c>
      <c r="C105" s="310"/>
      <c r="L105" s="48" t="s">
        <v>610</v>
      </c>
      <c r="M105" s="77"/>
      <c r="O105" s="81">
        <f>P105-2</f>
        <v>30</v>
      </c>
      <c r="P105" s="81">
        <f>$F$104-1</f>
        <v>32</v>
      </c>
      <c r="Q105" s="129">
        <f>O105/$F$104</f>
        <v>0.90909090909090906</v>
      </c>
      <c r="R105" s="129">
        <f>O105/P105</f>
        <v>0.9375</v>
      </c>
      <c r="S105" s="127">
        <f>2*(Q105*R105)/(Q105+R105)</f>
        <v>0.92307692307692302</v>
      </c>
      <c r="U105" s="81">
        <f>V105-2</f>
        <v>10</v>
      </c>
      <c r="V105" s="81">
        <f>$G$104</f>
        <v>12</v>
      </c>
      <c r="W105" s="129">
        <f>U105/$G$104</f>
        <v>0.83333333333333337</v>
      </c>
      <c r="X105" s="129">
        <f>U105/V105</f>
        <v>0.83333333333333337</v>
      </c>
      <c r="Y105" s="127">
        <f>2*(W105*X105)/(W105+X105)</f>
        <v>0.83333333333333337</v>
      </c>
      <c r="AA105" s="81">
        <f>AB105-2</f>
        <v>26</v>
      </c>
      <c r="AB105" s="81">
        <f>$I$104-1</f>
        <v>28</v>
      </c>
      <c r="AC105" s="129">
        <f>AA105/$I$104</f>
        <v>0.89655172413793105</v>
      </c>
      <c r="AD105" s="129">
        <f>AA105/AB105</f>
        <v>0.9285714285714286</v>
      </c>
      <c r="AE105" s="127">
        <f>2*(AC105*AD105)/(AC105+AD105)</f>
        <v>0.91228070175438603</v>
      </c>
      <c r="AG105">
        <f>AH105-0</f>
        <v>2</v>
      </c>
      <c r="AH105">
        <v>2</v>
      </c>
      <c r="AI105" s="127">
        <f>AG105/$H$104</f>
        <v>0.13333333333333333</v>
      </c>
      <c r="AJ105" s="127">
        <f>AG105/AH105</f>
        <v>1</v>
      </c>
      <c r="AM105" s="122">
        <v>1</v>
      </c>
      <c r="AN105" s="101">
        <v>1</v>
      </c>
      <c r="AO105">
        <v>333</v>
      </c>
      <c r="AP105">
        <v>15</v>
      </c>
      <c r="AQ105" s="101">
        <v>15</v>
      </c>
      <c r="AR105" s="101">
        <v>15</v>
      </c>
      <c r="AS105">
        <v>0</v>
      </c>
      <c r="AT105">
        <v>0</v>
      </c>
      <c r="AU105">
        <v>0</v>
      </c>
      <c r="AV105" s="119">
        <v>13</v>
      </c>
      <c r="AW105" s="101">
        <f>($F$104-N105)/$F$104</f>
        <v>1</v>
      </c>
      <c r="AY105" s="101">
        <f>($G$104-AN105)/$G$104</f>
        <v>0.91666666666666663</v>
      </c>
      <c r="AZ105" s="101">
        <f>AR105/AQ105</f>
        <v>1</v>
      </c>
      <c r="BA105" s="101">
        <v>0</v>
      </c>
      <c r="BB105" s="85">
        <f>(AW105+AY105+AZ105+BA105)/4</f>
        <v>0.72916666666666663</v>
      </c>
      <c r="BC105" s="13">
        <f>AP105/$H$104</f>
        <v>1</v>
      </c>
      <c r="BD105" s="118">
        <f>AV105/AP105</f>
        <v>0.8666666666666667</v>
      </c>
      <c r="BE105" s="13">
        <f>AO105/AP105</f>
        <v>22.2</v>
      </c>
      <c r="BF105" s="13">
        <f>AT105/$H$104</f>
        <v>0</v>
      </c>
      <c r="BG105" s="13">
        <f>AR105/$H$104</f>
        <v>1</v>
      </c>
      <c r="BQ105" t="str">
        <f>_xlfn.CONCAT($C$104," &amp; ",C105," &amp; ",Q105," &amp; ",R105," &amp; ",S105," &amp; ",W105," &amp; ",X105," &amp; ",Y105," &amp; ",AC105," &amp; ",AD105," &amp; ",AE105," &amp; ",AG105," &amp; ",AH105," &amp; ",AI105," &amp; ",AJ105, " \\ \hline")</f>
        <v>5-3 &amp;  &amp; 0.909090909090909 &amp; 0.9375 &amp; 0.923076923076923 &amp; 0.833333333333333 &amp; 0.833333333333333 &amp; 0.833333333333333 &amp; 0.896551724137931 &amp; 0.928571428571429 &amp; 0.912280701754386 &amp; 2 &amp; 2 &amp; 0.133333333333333 &amp; 1 \\ \hline</v>
      </c>
    </row>
    <row r="106" spans="1:69" ht="16">
      <c r="A106" t="s">
        <v>306</v>
      </c>
      <c r="C106" s="310"/>
      <c r="L106" s="48" t="s">
        <v>611</v>
      </c>
      <c r="M106" s="77"/>
      <c r="O106" s="81">
        <f>P106-2</f>
        <v>31</v>
      </c>
      <c r="P106" s="81">
        <f>$F$104</f>
        <v>33</v>
      </c>
      <c r="Q106" s="129">
        <f>O106/$F$104</f>
        <v>0.93939393939393945</v>
      </c>
      <c r="R106" s="129">
        <f>O106/P106</f>
        <v>0.93939393939393945</v>
      </c>
      <c r="S106" s="127">
        <f>2*(Q106*R106)/(Q106+R106)</f>
        <v>0.93939393939393945</v>
      </c>
      <c r="U106" s="81">
        <f>V106-2</f>
        <v>10</v>
      </c>
      <c r="V106" s="81">
        <f>$G$104</f>
        <v>12</v>
      </c>
      <c r="W106" s="129">
        <f>U106/$G$104</f>
        <v>0.83333333333333337</v>
      </c>
      <c r="X106" s="129">
        <f>U106/V106</f>
        <v>0.83333333333333337</v>
      </c>
      <c r="Y106" s="127">
        <f>2*(W106*X106)/(W106+X106)</f>
        <v>0.83333333333333337</v>
      </c>
      <c r="AA106" s="81">
        <f>AB106-2</f>
        <v>27</v>
      </c>
      <c r="AB106" s="81">
        <f>$I$104</f>
        <v>29</v>
      </c>
      <c r="AC106" s="129">
        <f>AA106/$I$104</f>
        <v>0.93103448275862066</v>
      </c>
      <c r="AD106" s="129">
        <f>AA106/AB106</f>
        <v>0.93103448275862066</v>
      </c>
      <c r="AE106" s="127">
        <f>2*(AC106*AD106)/(AC106+AD106)</f>
        <v>0.93103448275862066</v>
      </c>
      <c r="AG106">
        <f>AH106-0</f>
        <v>2</v>
      </c>
      <c r="AH106">
        <v>2</v>
      </c>
      <c r="AI106" s="127">
        <f>AG106/$H$104</f>
        <v>0.13333333333333333</v>
      </c>
      <c r="AJ106" s="127">
        <f>AG106/AH106</f>
        <v>1</v>
      </c>
      <c r="AM106" s="122">
        <v>1</v>
      </c>
      <c r="AN106" s="101">
        <v>1</v>
      </c>
      <c r="AO106">
        <v>345</v>
      </c>
      <c r="AP106" s="107">
        <v>16</v>
      </c>
      <c r="AQ106" s="101">
        <v>14</v>
      </c>
      <c r="AR106" s="101">
        <v>13</v>
      </c>
      <c r="AS106">
        <v>1</v>
      </c>
      <c r="AT106">
        <v>1</v>
      </c>
      <c r="AU106">
        <v>1</v>
      </c>
      <c r="AV106" s="119">
        <v>7</v>
      </c>
      <c r="AW106" s="101">
        <f>($F$104-N106)/$F$104</f>
        <v>1</v>
      </c>
      <c r="AY106" s="101">
        <f>($G$104-AN106)/$G$104</f>
        <v>0.91666666666666663</v>
      </c>
      <c r="AZ106" s="101">
        <f>AR106/AQ106</f>
        <v>0.9285714285714286</v>
      </c>
      <c r="BA106" s="101">
        <f>AT106/AS106</f>
        <v>1</v>
      </c>
      <c r="BB106" s="85">
        <f>(AW106+AY106+AZ106+BA106)/4</f>
        <v>0.96130952380952372</v>
      </c>
      <c r="BC106" s="13">
        <f>AP106/$H$104</f>
        <v>1.0666666666666667</v>
      </c>
      <c r="BD106" s="118">
        <f>AV106/AP106</f>
        <v>0.4375</v>
      </c>
      <c r="BE106" s="13">
        <f>AO106/AP106</f>
        <v>21.5625</v>
      </c>
      <c r="BF106" s="13">
        <f>AT106/$H$104</f>
        <v>6.6666666666666666E-2</v>
      </c>
      <c r="BG106" s="13">
        <f>AR106/$H$104</f>
        <v>0.8666666666666667</v>
      </c>
      <c r="BQ106" t="str">
        <f t="shared" ref="BQ106:BQ108" si="17">_xlfn.CONCAT($C$104," &amp; ",C106," &amp; ",Q106," &amp; ",R106," &amp; ",S106," &amp; ",W106," &amp; ",X106," &amp; ",Y106," &amp; ",AC106," &amp; ",AD106," &amp; ",AE106," &amp; ",AG106," &amp; ",AH106," &amp; ",AI106," &amp; ",AJ106, " \\ \hline")</f>
        <v>5-3 &amp;  &amp; 0.939393939393939 &amp; 0.939393939393939 &amp; 0.939393939393939 &amp; 0.833333333333333 &amp; 0.833333333333333 &amp; 0.833333333333333 &amp; 0.931034482758621 &amp; 0.931034482758621 &amp; 0.931034482758621 &amp; 2 &amp; 2 &amp; 0.133333333333333 &amp; 1 \\ \hline</v>
      </c>
    </row>
    <row r="107" spans="1:69" ht="16">
      <c r="A107" t="s">
        <v>307</v>
      </c>
      <c r="C107" s="310"/>
      <c r="L107" s="48" t="s">
        <v>612</v>
      </c>
      <c r="M107" s="77"/>
      <c r="O107" s="81">
        <f>P107-0</f>
        <v>33</v>
      </c>
      <c r="P107" s="81">
        <f>$F$104</f>
        <v>33</v>
      </c>
      <c r="Q107" s="129">
        <f>O107/$F$104</f>
        <v>1</v>
      </c>
      <c r="R107" s="129">
        <f>O107/P107</f>
        <v>1</v>
      </c>
      <c r="S107" s="127">
        <f>2*(Q107*R107)/(Q107+R107)</f>
        <v>1</v>
      </c>
      <c r="U107" s="81">
        <f>V107-0</f>
        <v>12</v>
      </c>
      <c r="V107" s="81">
        <f>$G$104</f>
        <v>12</v>
      </c>
      <c r="W107" s="129">
        <f>U107/$G$104</f>
        <v>1</v>
      </c>
      <c r="X107" s="129">
        <f>U107/V107</f>
        <v>1</v>
      </c>
      <c r="Y107" s="127">
        <f>2*(W107*X107)/(W107+X107)</f>
        <v>1</v>
      </c>
      <c r="AA107" s="81">
        <f>AB107-0</f>
        <v>29</v>
      </c>
      <c r="AB107" s="81">
        <f>$I$104</f>
        <v>29</v>
      </c>
      <c r="AC107" s="129">
        <f>AA107/$I$104</f>
        <v>1</v>
      </c>
      <c r="AD107" s="129">
        <f>AA107/AB107</f>
        <v>1</v>
      </c>
      <c r="AE107" s="127">
        <f>2*(AC107*AD107)/(AC107+AD107)</f>
        <v>1</v>
      </c>
      <c r="AG107">
        <f>AH107-0</f>
        <v>2</v>
      </c>
      <c r="AH107">
        <v>2</v>
      </c>
      <c r="AI107" s="127">
        <f>AG107/$H$104</f>
        <v>0.13333333333333333</v>
      </c>
      <c r="AJ107" s="127">
        <f>AG107/AH107</f>
        <v>1</v>
      </c>
      <c r="AM107" s="122">
        <v>1</v>
      </c>
      <c r="AN107" s="101">
        <v>1</v>
      </c>
      <c r="AO107">
        <v>294</v>
      </c>
      <c r="AP107" s="107">
        <v>14</v>
      </c>
      <c r="AQ107" s="101">
        <v>14</v>
      </c>
      <c r="AR107" s="101">
        <v>13</v>
      </c>
      <c r="AS107">
        <v>0</v>
      </c>
      <c r="AT107">
        <v>0</v>
      </c>
      <c r="AU107">
        <v>0</v>
      </c>
      <c r="AV107" s="119">
        <v>9</v>
      </c>
      <c r="AW107" s="101">
        <f>($F$104-N107)/$F$104</f>
        <v>1</v>
      </c>
      <c r="AY107" s="101">
        <f>($G$104-AN107)/$G$104</f>
        <v>0.91666666666666663</v>
      </c>
      <c r="AZ107" s="101">
        <f>AR107/AQ107</f>
        <v>0.9285714285714286</v>
      </c>
      <c r="BA107" s="101">
        <v>0</v>
      </c>
      <c r="BB107" s="85">
        <f>(AW107+AY107+AZ107+BA107)/4</f>
        <v>0.71130952380952372</v>
      </c>
      <c r="BC107" s="13">
        <f>AP107/$H$104</f>
        <v>0.93333333333333335</v>
      </c>
      <c r="BD107" s="118">
        <f>AV107/AP107</f>
        <v>0.6428571428571429</v>
      </c>
      <c r="BE107" s="13">
        <f>AO107/AP107</f>
        <v>21</v>
      </c>
      <c r="BF107" s="13">
        <f>AT107/$H$104</f>
        <v>0</v>
      </c>
      <c r="BG107" s="13">
        <f>AR107/$H$104</f>
        <v>0.8666666666666667</v>
      </c>
      <c r="BQ107" t="str">
        <f t="shared" si="17"/>
        <v>5-3 &amp;  &amp; 1 &amp; 1 &amp; 1 &amp; 1 &amp; 1 &amp; 1 &amp; 1 &amp; 1 &amp; 1 &amp; 2 &amp; 2 &amp; 0.133333333333333 &amp; 1 \\ \hline</v>
      </c>
    </row>
    <row r="108" spans="1:69" ht="16">
      <c r="A108" t="s">
        <v>308</v>
      </c>
      <c r="C108" s="310"/>
      <c r="L108" s="48" t="s">
        <v>613</v>
      </c>
      <c r="M108" s="77"/>
      <c r="O108" s="81">
        <f>P108-3</f>
        <v>29</v>
      </c>
      <c r="P108" s="81">
        <f>$F$104-1</f>
        <v>32</v>
      </c>
      <c r="Q108" s="129">
        <f>O108/$F$104</f>
        <v>0.87878787878787878</v>
      </c>
      <c r="R108" s="129">
        <f>O108/P108</f>
        <v>0.90625</v>
      </c>
      <c r="S108" s="127">
        <f>2*(Q108*R108)/(Q108+R108)</f>
        <v>0.89230769230769225</v>
      </c>
      <c r="U108" s="81">
        <f>V108-2</f>
        <v>8</v>
      </c>
      <c r="V108" s="81">
        <f>$G$104-2</f>
        <v>10</v>
      </c>
      <c r="W108" s="129">
        <f>U108/$G$104</f>
        <v>0.66666666666666663</v>
      </c>
      <c r="X108" s="129">
        <f>U108/V108</f>
        <v>0.8</v>
      </c>
      <c r="Y108" s="127">
        <f>2*(W108*X108)/(W108+X108)</f>
        <v>0.72727272727272718</v>
      </c>
      <c r="AA108" s="81">
        <f>AB108-7</f>
        <v>22</v>
      </c>
      <c r="AB108" s="81">
        <f>$I$104</f>
        <v>29</v>
      </c>
      <c r="AC108" s="129">
        <f>AA108/$I$104</f>
        <v>0.75862068965517238</v>
      </c>
      <c r="AD108" s="129">
        <f>AA108/AB108</f>
        <v>0.75862068965517238</v>
      </c>
      <c r="AE108" s="127">
        <f>2*(AC108*AD108)/(AC108+AD108)</f>
        <v>0.75862068965517238</v>
      </c>
      <c r="AG108">
        <f>AH108-1</f>
        <v>9</v>
      </c>
      <c r="AH108">
        <v>10</v>
      </c>
      <c r="AI108" s="127">
        <f>AG108/$H$104</f>
        <v>0.6</v>
      </c>
      <c r="AJ108" s="127">
        <f>AG108/AH108</f>
        <v>0.9</v>
      </c>
      <c r="AM108" s="122">
        <v>1</v>
      </c>
      <c r="AN108" s="101">
        <v>1</v>
      </c>
      <c r="AO108">
        <v>314</v>
      </c>
      <c r="AP108">
        <v>18</v>
      </c>
      <c r="AQ108" s="101">
        <v>18</v>
      </c>
      <c r="AR108" s="101">
        <v>17</v>
      </c>
      <c r="AS108">
        <v>0</v>
      </c>
      <c r="AT108">
        <v>0</v>
      </c>
      <c r="AU108">
        <v>0</v>
      </c>
      <c r="AV108" s="119">
        <v>15</v>
      </c>
      <c r="AW108" s="101">
        <f>($F$104-N108)/$F$104</f>
        <v>1</v>
      </c>
      <c r="AY108" s="101">
        <f>($G$104-AN108)/$G$104</f>
        <v>0.91666666666666663</v>
      </c>
      <c r="AZ108" s="101">
        <f>AR108/AQ108</f>
        <v>0.94444444444444442</v>
      </c>
      <c r="BA108" s="101">
        <v>0</v>
      </c>
      <c r="BB108" s="85">
        <f>(AW108+AY108+AZ108+BA108)/4</f>
        <v>0.71527777777777768</v>
      </c>
      <c r="BC108" s="13">
        <f>AP108/$H$104</f>
        <v>1.2</v>
      </c>
      <c r="BD108" s="118">
        <f>AV108/AP108</f>
        <v>0.83333333333333337</v>
      </c>
      <c r="BE108" s="13">
        <f>AO108/AP108</f>
        <v>17.444444444444443</v>
      </c>
      <c r="BF108" s="13">
        <f>AT108/$H$104</f>
        <v>0</v>
      </c>
      <c r="BG108" s="13">
        <f>AR108/$H$104</f>
        <v>1.1333333333333333</v>
      </c>
      <c r="BQ108" t="str">
        <f t="shared" si="17"/>
        <v>5-3 &amp;  &amp; 0.878787878787879 &amp; 0.90625 &amp; 0.892307692307692 &amp; 0.666666666666667 &amp; 0.8 &amp; 0.727272727272727 &amp; 0.758620689655172 &amp; 0.758620689655172 &amp; 0.758620689655172 &amp; 9 &amp; 10 &amp; 0.6 &amp; 0.9 \\ \hline</v>
      </c>
    </row>
    <row r="109" spans="1:69">
      <c r="A109" s="107" t="s">
        <v>309</v>
      </c>
      <c r="C109" s="98"/>
      <c r="L109" s="165" t="s">
        <v>149</v>
      </c>
      <c r="O109" s="81">
        <f>P109-2</f>
        <v>30</v>
      </c>
      <c r="P109" s="81">
        <f>$F$104-1</f>
        <v>32</v>
      </c>
      <c r="Q109" s="129">
        <f>O109/$F$104</f>
        <v>0.90909090909090906</v>
      </c>
      <c r="R109" s="129">
        <f>O109/P109</f>
        <v>0.9375</v>
      </c>
      <c r="S109" s="127">
        <f>2*(Q109*R109)/(Q109+R109)</f>
        <v>0.92307692307692302</v>
      </c>
      <c r="U109" s="81">
        <f>V109-0</f>
        <v>10</v>
      </c>
      <c r="V109" s="81">
        <f>$G$104-2</f>
        <v>10</v>
      </c>
      <c r="W109" s="129">
        <f>U109/$G$104</f>
        <v>0.83333333333333337</v>
      </c>
      <c r="X109" s="129">
        <f>U109/V109</f>
        <v>1</v>
      </c>
      <c r="Y109" s="127">
        <f>2*(W109*X109)/(W109+X109)</f>
        <v>0.90909090909090906</v>
      </c>
      <c r="AA109" s="81">
        <f>AB109-3</f>
        <v>25</v>
      </c>
      <c r="AB109" s="81">
        <f>$I$104-1</f>
        <v>28</v>
      </c>
      <c r="AC109" s="129">
        <f>AA109/$I$104</f>
        <v>0.86206896551724133</v>
      </c>
      <c r="AD109" s="129">
        <f>AA109/AB109</f>
        <v>0.8928571428571429</v>
      </c>
      <c r="AE109" s="177">
        <f>2*(AC109*AD109)/(AC109+AD109)</f>
        <v>0.8771929824561403</v>
      </c>
      <c r="AG109">
        <f>AH109-0</f>
        <v>4</v>
      </c>
      <c r="AH109">
        <v>4</v>
      </c>
      <c r="AI109" s="127">
        <f>AG109/$H$104</f>
        <v>0.26666666666666666</v>
      </c>
      <c r="AJ109" s="127">
        <f>AG109/AH109</f>
        <v>1</v>
      </c>
    </row>
    <row r="110" spans="1:69" s="75" customFormat="1">
      <c r="A110" s="75" t="s">
        <v>321</v>
      </c>
      <c r="B110" s="94">
        <v>45179</v>
      </c>
      <c r="C110" s="93" t="s">
        <v>165</v>
      </c>
      <c r="D110" s="78">
        <f>VLOOKUP($C$110,Overview!$Q$2:$AS$64,23,FALSE)</f>
        <v>0.76840547274981619</v>
      </c>
      <c r="E110" s="78" t="str">
        <f>VLOOKUP($C$110,Overview!$Q$2:$AS$64,24,FALSE)</f>
        <v>medium</v>
      </c>
      <c r="F110" s="75">
        <f>VLOOKUP(C110,Overview!$Q$2:$AS$64,13,FALSE)</f>
        <v>36</v>
      </c>
      <c r="G110" s="75">
        <f>VLOOKUP(C110,Overview!$Q$2:$AS$64,16,FALSE)</f>
        <v>11</v>
      </c>
      <c r="H110" s="75">
        <f>VLOOKUP(C110,Overview!$Q$2:$AS$64,18,FALSE)</f>
        <v>16</v>
      </c>
      <c r="I110" s="75">
        <f>VLOOKUP($C$110,Overview!$Q$2:$AS$64,19,FALSE)</f>
        <v>32</v>
      </c>
      <c r="K110" s="75" t="str">
        <f>VLOOKUP($C$110,Overview!$Q$2:$AS$64,5,FALSE)</f>
        <v>6-2, 3-8</v>
      </c>
      <c r="L110" s="96"/>
      <c r="N110" s="115"/>
      <c r="O110" s="97"/>
      <c r="P110" s="97"/>
      <c r="Q110" s="130"/>
      <c r="R110" s="130"/>
      <c r="S110" s="128"/>
      <c r="T110" s="115"/>
      <c r="U110" s="97"/>
      <c r="V110" s="97"/>
      <c r="W110" s="130"/>
      <c r="X110" s="130"/>
      <c r="Y110" s="128"/>
      <c r="Z110" s="115"/>
      <c r="AA110" s="97"/>
      <c r="AB110" s="97"/>
      <c r="AC110" s="130"/>
      <c r="AD110" s="130"/>
      <c r="AE110" s="128"/>
      <c r="AF110" s="115"/>
      <c r="AI110" s="128"/>
      <c r="AJ110" s="132"/>
      <c r="AK110" s="97"/>
      <c r="AL110" s="115"/>
      <c r="AM110" s="122"/>
      <c r="AN110" s="101"/>
      <c r="AQ110" s="101"/>
      <c r="AR110" s="101"/>
      <c r="AV110" s="119"/>
      <c r="AW110" s="101"/>
      <c r="AX110" s="101"/>
      <c r="AY110" s="101"/>
      <c r="AZ110" s="101"/>
      <c r="BA110" s="101"/>
      <c r="BB110" s="83"/>
      <c r="BD110" s="101"/>
      <c r="BQ110"/>
    </row>
    <row r="111" spans="1:69" ht="16">
      <c r="A111" t="s">
        <v>305</v>
      </c>
      <c r="C111" s="310"/>
      <c r="L111" s="48" t="s">
        <v>610</v>
      </c>
      <c r="M111" s="77"/>
      <c r="O111" s="163">
        <f>P111-6</f>
        <v>28</v>
      </c>
      <c r="P111" s="81">
        <f>$F$110-2</f>
        <v>34</v>
      </c>
      <c r="Q111" s="129">
        <f>O111/$F$110</f>
        <v>0.77777777777777779</v>
      </c>
      <c r="R111" s="129">
        <f>O111/P111</f>
        <v>0.82352941176470584</v>
      </c>
      <c r="S111" s="127">
        <f>2*(Q111*R111)/(Q111+R111)</f>
        <v>0.79999999999999993</v>
      </c>
      <c r="U111" s="81">
        <f>V111-3</f>
        <v>8</v>
      </c>
      <c r="V111" s="81">
        <f>$G$110</f>
        <v>11</v>
      </c>
      <c r="W111" s="129">
        <f>U111/$G$110</f>
        <v>0.72727272727272729</v>
      </c>
      <c r="X111" s="129">
        <f>U111/V111</f>
        <v>0.72727272727272729</v>
      </c>
      <c r="Y111" s="127">
        <f>2*(W111*X111)/(W111+X111)</f>
        <v>0.72727272727272729</v>
      </c>
      <c r="AA111" s="81">
        <f>AB111-3</f>
        <v>27</v>
      </c>
      <c r="AB111" s="81">
        <f>$I$110-2</f>
        <v>30</v>
      </c>
      <c r="AC111" s="129">
        <f>AA111/$I$110</f>
        <v>0.84375</v>
      </c>
      <c r="AD111" s="129">
        <f>AA111/AB111</f>
        <v>0.9</v>
      </c>
      <c r="AE111" s="127">
        <f>2*(AC111*AD111)/(AC111+AD111)</f>
        <v>0.87096774193548399</v>
      </c>
      <c r="AG111">
        <f>AH111-0</f>
        <v>2</v>
      </c>
      <c r="AH111">
        <v>2</v>
      </c>
      <c r="AI111" s="127">
        <f>AG111/$H$110</f>
        <v>0.125</v>
      </c>
      <c r="AJ111" s="127">
        <f>AG111/AH111</f>
        <v>1</v>
      </c>
      <c r="AM111" s="122">
        <v>0</v>
      </c>
      <c r="AN111" s="101">
        <v>0</v>
      </c>
      <c r="AO111">
        <v>196</v>
      </c>
      <c r="AP111">
        <v>9</v>
      </c>
      <c r="AQ111" s="101">
        <v>7</v>
      </c>
      <c r="AR111" s="101">
        <v>7</v>
      </c>
      <c r="AS111">
        <v>2</v>
      </c>
      <c r="AT111">
        <v>2</v>
      </c>
      <c r="AU111">
        <v>0</v>
      </c>
      <c r="AV111" s="119">
        <v>3</v>
      </c>
      <c r="AW111" s="101">
        <f>($F$110-N111)/$F$110</f>
        <v>1</v>
      </c>
      <c r="AY111" s="101">
        <f>($G$110-AN111)/$G$110</f>
        <v>1</v>
      </c>
      <c r="AZ111" s="101">
        <f>AR111/AQ111</f>
        <v>1</v>
      </c>
      <c r="BA111" s="101">
        <f>AT111/AS111</f>
        <v>1</v>
      </c>
      <c r="BB111" s="85">
        <f>(AW111+AY111+AZ111+BA111)/4</f>
        <v>1</v>
      </c>
      <c r="BC111" s="13">
        <f>AP111/$H$110</f>
        <v>0.5625</v>
      </c>
      <c r="BD111" s="118">
        <f>AV111/AP111</f>
        <v>0.33333333333333331</v>
      </c>
      <c r="BE111" s="13">
        <f>AO111/AP111</f>
        <v>21.777777777777779</v>
      </c>
      <c r="BF111" s="13">
        <f>AT111/$H$110</f>
        <v>0.125</v>
      </c>
      <c r="BG111" s="13">
        <f>AR111/$H$110</f>
        <v>0.4375</v>
      </c>
      <c r="BQ111" t="str">
        <f>_xlfn.CONCAT($C$110," &amp; ",C111," &amp; ",Q111," &amp; ",R111," &amp; ",S111," &amp; ",W111," &amp; ",X111," &amp; ",Y111," &amp; ",AC111," &amp; ",AD111," &amp; ",AE111," &amp; ",AG111," &amp; ",AH111," &amp; ",AI111," &amp; ",AJ111, " \\ \hline")</f>
        <v>9-3 &amp;  &amp; 0.777777777777778 &amp; 0.823529411764706 &amp; 0.8 &amp; 0.727272727272727 &amp; 0.727272727272727 &amp; 0.727272727272727 &amp; 0.84375 &amp; 0.9 &amp; 0.870967741935484 &amp; 2 &amp; 2 &amp; 0.125 &amp; 1 \\ \hline</v>
      </c>
    </row>
    <row r="112" spans="1:69" ht="16">
      <c r="A112" t="s">
        <v>306</v>
      </c>
      <c r="C112" s="310"/>
      <c r="L112" s="48" t="s">
        <v>611</v>
      </c>
      <c r="M112" s="77"/>
      <c r="O112" s="81">
        <f>P112-5</f>
        <v>26</v>
      </c>
      <c r="P112" s="81">
        <f>$F$110-5</f>
        <v>31</v>
      </c>
      <c r="Q112" s="129">
        <f>O112/$F$110</f>
        <v>0.72222222222222221</v>
      </c>
      <c r="R112" s="129">
        <f>O112/P112</f>
        <v>0.83870967741935487</v>
      </c>
      <c r="S112" s="127">
        <f>2*(Q112*R112)/(Q112+R112)</f>
        <v>0.77611940298507465</v>
      </c>
      <c r="U112" s="81">
        <f>V112-2</f>
        <v>8</v>
      </c>
      <c r="V112" s="81">
        <f>$G$110-1</f>
        <v>10</v>
      </c>
      <c r="W112" s="129">
        <f>U112/$G$110</f>
        <v>0.72727272727272729</v>
      </c>
      <c r="X112" s="129">
        <f>U112/V112</f>
        <v>0.8</v>
      </c>
      <c r="Y112" s="127">
        <f>2*(W112*X112)/(W112+X112)</f>
        <v>0.76190476190476197</v>
      </c>
      <c r="AA112" s="81">
        <f>AB112-3</f>
        <v>24</v>
      </c>
      <c r="AB112" s="81">
        <f>$I$110-5</f>
        <v>27</v>
      </c>
      <c r="AC112" s="129">
        <f>AA112/$I$110</f>
        <v>0.75</v>
      </c>
      <c r="AD112" s="129">
        <f>AA112/AB112</f>
        <v>0.88888888888888884</v>
      </c>
      <c r="AE112" s="127">
        <f>2*(AC112*AD112)/(AC112+AD112)</f>
        <v>0.81355932203389825</v>
      </c>
      <c r="AG112">
        <f>AH112-0</f>
        <v>3</v>
      </c>
      <c r="AH112">
        <v>3</v>
      </c>
      <c r="AI112" s="127">
        <f>AG112/$H$110</f>
        <v>0.1875</v>
      </c>
      <c r="AJ112" s="127">
        <f>AG112/AH112</f>
        <v>1</v>
      </c>
      <c r="AM112" s="122">
        <v>0</v>
      </c>
      <c r="AN112" s="101">
        <v>0</v>
      </c>
      <c r="AO112">
        <v>266</v>
      </c>
      <c r="AP112">
        <v>13</v>
      </c>
      <c r="AQ112" s="101">
        <v>8</v>
      </c>
      <c r="AR112" s="101">
        <v>8</v>
      </c>
      <c r="AS112">
        <v>5</v>
      </c>
      <c r="AT112">
        <v>4</v>
      </c>
      <c r="AU112">
        <v>0</v>
      </c>
      <c r="AV112" s="119">
        <v>8</v>
      </c>
      <c r="AW112" s="101">
        <f>($F$110-N112)/$F$110</f>
        <v>1</v>
      </c>
      <c r="AY112" s="101">
        <f>($G$110-AN112)/$G$110</f>
        <v>1</v>
      </c>
      <c r="AZ112" s="101">
        <f>AR112/AQ112</f>
        <v>1</v>
      </c>
      <c r="BA112" s="101">
        <f>AT112/AS112</f>
        <v>0.8</v>
      </c>
      <c r="BB112" s="85">
        <f>(AW112+AY112+AZ112+BA112)/4</f>
        <v>0.95</v>
      </c>
      <c r="BC112" s="13">
        <f>AP112/$H$110</f>
        <v>0.8125</v>
      </c>
      <c r="BD112" s="118">
        <f>AV112/AP112</f>
        <v>0.61538461538461542</v>
      </c>
      <c r="BE112" s="13">
        <f>AO112/AP112</f>
        <v>20.46153846153846</v>
      </c>
      <c r="BF112" s="13">
        <f>AT112/$H$110</f>
        <v>0.25</v>
      </c>
      <c r="BG112" s="13">
        <f>AR112/$H$110</f>
        <v>0.5</v>
      </c>
      <c r="BQ112" t="str">
        <f t="shared" ref="BQ112:BQ114" si="18">_xlfn.CONCAT($C$110," &amp; ",C112," &amp; ",Q112," &amp; ",R112," &amp; ",S112," &amp; ",W112," &amp; ",X112," &amp; ",Y112," &amp; ",AC112," &amp; ",AD112," &amp; ",AE112," &amp; ",AG112," &amp; ",AH112," &amp; ",AI112," &amp; ",AJ112, " \\ \hline")</f>
        <v>9-3 &amp;  &amp; 0.722222222222222 &amp; 0.838709677419355 &amp; 0.776119402985075 &amp; 0.727272727272727 &amp; 0.8 &amp; 0.761904761904762 &amp; 0.75 &amp; 0.888888888888889 &amp; 0.813559322033898 &amp; 3 &amp; 3 &amp; 0.1875 &amp; 1 \\ \hline</v>
      </c>
    </row>
    <row r="113" spans="1:69" ht="16">
      <c r="A113" t="s">
        <v>307</v>
      </c>
      <c r="C113" s="310"/>
      <c r="L113" s="48" t="s">
        <v>612</v>
      </c>
      <c r="M113" s="77"/>
      <c r="O113" s="81">
        <f>P113-5</f>
        <v>24</v>
      </c>
      <c r="P113" s="81">
        <f>$F$110-7</f>
        <v>29</v>
      </c>
      <c r="Q113" s="129">
        <f>O113/$F$110</f>
        <v>0.66666666666666663</v>
      </c>
      <c r="R113" s="129">
        <f>O113/P113</f>
        <v>0.82758620689655171</v>
      </c>
      <c r="S113" s="127">
        <f>2*(Q113*R113)/(Q113+R113)</f>
        <v>0.7384615384615385</v>
      </c>
      <c r="U113" s="81">
        <f>V113-3</f>
        <v>8</v>
      </c>
      <c r="V113" s="81">
        <f>$G$110</f>
        <v>11</v>
      </c>
      <c r="W113" s="129">
        <f>U113/$G$110</f>
        <v>0.72727272727272729</v>
      </c>
      <c r="X113" s="129">
        <f>U113/V113</f>
        <v>0.72727272727272729</v>
      </c>
      <c r="Y113" s="127">
        <f>2*(W113*X113)/(W113+X113)</f>
        <v>0.72727272727272729</v>
      </c>
      <c r="AA113" s="81">
        <f>AB113-4</f>
        <v>21</v>
      </c>
      <c r="AB113" s="81">
        <f>$I$110-7</f>
        <v>25</v>
      </c>
      <c r="AC113" s="129">
        <f>AA113/$I$110</f>
        <v>0.65625</v>
      </c>
      <c r="AD113" s="129">
        <f>AA113/AB113</f>
        <v>0.84</v>
      </c>
      <c r="AE113" s="127">
        <f>2*(AC113*AD113)/(AC113+AD113)</f>
        <v>0.73684210526315796</v>
      </c>
      <c r="AG113">
        <v>13</v>
      </c>
      <c r="AH113">
        <v>13</v>
      </c>
      <c r="AI113" s="127">
        <f>AG113/$H$110</f>
        <v>0.8125</v>
      </c>
      <c r="AJ113" s="127">
        <f>AG113/AH113</f>
        <v>1</v>
      </c>
      <c r="AM113" s="122">
        <v>1</v>
      </c>
      <c r="AN113" s="101">
        <v>1</v>
      </c>
      <c r="AO113">
        <v>291</v>
      </c>
      <c r="AP113">
        <v>16</v>
      </c>
      <c r="AQ113" s="101">
        <v>12</v>
      </c>
      <c r="AR113" s="101">
        <v>12</v>
      </c>
      <c r="AS113">
        <v>3</v>
      </c>
      <c r="AT113">
        <v>3</v>
      </c>
      <c r="AU113">
        <v>1</v>
      </c>
      <c r="AV113" s="119">
        <v>6</v>
      </c>
      <c r="AW113" s="101">
        <f>($F$110-N113)/$F$110</f>
        <v>1</v>
      </c>
      <c r="AY113" s="101">
        <f>($G$110-AN113)/$G$110</f>
        <v>0.90909090909090906</v>
      </c>
      <c r="AZ113" s="101">
        <f>AR113/AQ113</f>
        <v>1</v>
      </c>
      <c r="BA113" s="101">
        <f>AT113/AS113</f>
        <v>1</v>
      </c>
      <c r="BB113" s="85">
        <f>(AW113+AY113+AZ113+BA113)/4</f>
        <v>0.97727272727272729</v>
      </c>
      <c r="BC113" s="13">
        <f>AP113/$H$110</f>
        <v>1</v>
      </c>
      <c r="BD113" s="118">
        <f>AV113/AP113</f>
        <v>0.375</v>
      </c>
      <c r="BE113" s="13">
        <f>AO113/AP113</f>
        <v>18.1875</v>
      </c>
      <c r="BF113" s="13">
        <f>AT113/$H$110</f>
        <v>0.1875</v>
      </c>
      <c r="BG113" s="13">
        <f>AR113/$H$110</f>
        <v>0.75</v>
      </c>
      <c r="BQ113" t="str">
        <f t="shared" si="18"/>
        <v>9-3 &amp;  &amp; 0.666666666666667 &amp; 0.827586206896552 &amp; 0.738461538461539 &amp; 0.727272727272727 &amp; 0.727272727272727 &amp; 0.727272727272727 &amp; 0.65625 &amp; 0.84 &amp; 0.736842105263158 &amp; 13 &amp; 13 &amp; 0.8125 &amp; 1 \\ \hline</v>
      </c>
    </row>
    <row r="114" spans="1:69" ht="16">
      <c r="A114" t="s">
        <v>308</v>
      </c>
      <c r="C114" s="310"/>
      <c r="L114" s="48" t="s">
        <v>613</v>
      </c>
      <c r="M114" s="77"/>
      <c r="O114" s="81">
        <f>P114-6</f>
        <v>23</v>
      </c>
      <c r="P114" s="81">
        <f>$F$110-7</f>
        <v>29</v>
      </c>
      <c r="Q114" s="129">
        <f>O114/$F$110</f>
        <v>0.63888888888888884</v>
      </c>
      <c r="R114" s="129">
        <f>O114/P114</f>
        <v>0.7931034482758621</v>
      </c>
      <c r="S114" s="127">
        <f>2*(Q114*R114)/(Q114+R114)</f>
        <v>0.70769230769230762</v>
      </c>
      <c r="U114" s="81">
        <f>V114-3</f>
        <v>7</v>
      </c>
      <c r="V114" s="81">
        <f>$G$110-1</f>
        <v>10</v>
      </c>
      <c r="W114" s="129">
        <f>U114/$G$110</f>
        <v>0.63636363636363635</v>
      </c>
      <c r="X114" s="129">
        <f>U114/V114</f>
        <v>0.7</v>
      </c>
      <c r="Y114" s="127">
        <f>2*(W114*X114)/(W114+X114)</f>
        <v>0.66666666666666663</v>
      </c>
      <c r="AA114" s="81">
        <f>AB114-4</f>
        <v>21</v>
      </c>
      <c r="AB114" s="81">
        <f>$I$110-7</f>
        <v>25</v>
      </c>
      <c r="AC114" s="129">
        <f>AA114/$I$110</f>
        <v>0.65625</v>
      </c>
      <c r="AD114" s="129">
        <f>AA114/AB114</f>
        <v>0.84</v>
      </c>
      <c r="AE114" s="127">
        <f>2*(AC114*AD114)/(AC114+AD114)</f>
        <v>0.73684210526315796</v>
      </c>
      <c r="AG114">
        <f>AH114-0</f>
        <v>10</v>
      </c>
      <c r="AH114">
        <v>10</v>
      </c>
      <c r="AI114" s="127">
        <f>AG114/$H$110</f>
        <v>0.625</v>
      </c>
      <c r="AJ114" s="127">
        <f>AG114/AH114</f>
        <v>1</v>
      </c>
      <c r="AM114" s="122">
        <v>0</v>
      </c>
      <c r="AN114" s="101">
        <v>0</v>
      </c>
      <c r="AO114">
        <v>340</v>
      </c>
      <c r="AP114">
        <v>14</v>
      </c>
      <c r="AQ114" s="101">
        <v>13</v>
      </c>
      <c r="AR114" s="101">
        <v>13</v>
      </c>
      <c r="AS114">
        <v>1</v>
      </c>
      <c r="AT114">
        <v>1</v>
      </c>
      <c r="AU114">
        <v>0</v>
      </c>
      <c r="AV114" s="119">
        <v>7</v>
      </c>
      <c r="AW114" s="101">
        <f>($F$110-N114)/$F$110</f>
        <v>1</v>
      </c>
      <c r="AY114" s="101">
        <f>($G$110-AN114)/$G$110</f>
        <v>1</v>
      </c>
      <c r="AZ114" s="101">
        <f>AR114/AQ114</f>
        <v>1</v>
      </c>
      <c r="BA114" s="101">
        <f>AT114/AS114</f>
        <v>1</v>
      </c>
      <c r="BB114" s="85">
        <f>(AW114+AY114+AZ114+BA114)/4</f>
        <v>1</v>
      </c>
      <c r="BC114" s="13">
        <f>AP114/$H$110</f>
        <v>0.875</v>
      </c>
      <c r="BD114" s="118">
        <f>AV114/AP114</f>
        <v>0.5</v>
      </c>
      <c r="BE114" s="13">
        <f>AO114/AP114</f>
        <v>24.285714285714285</v>
      </c>
      <c r="BF114" s="13">
        <f>AT114/$H$110</f>
        <v>6.25E-2</v>
      </c>
      <c r="BG114" s="13">
        <f>AR114/$H$110</f>
        <v>0.8125</v>
      </c>
      <c r="BQ114" t="str">
        <f t="shared" si="18"/>
        <v>9-3 &amp;  &amp; 0.638888888888889 &amp; 0.793103448275862 &amp; 0.707692307692308 &amp; 0.636363636363636 &amp; 0.7 &amp; 0.666666666666667 &amp; 0.65625 &amp; 0.84 &amp; 0.736842105263158 &amp; 10 &amp; 10 &amp; 0.625 &amp; 1 \\ \hline</v>
      </c>
    </row>
    <row r="115" spans="1:69">
      <c r="A115" s="14"/>
      <c r="C115" s="98"/>
      <c r="L115" s="173"/>
      <c r="Q115" s="129"/>
      <c r="R115" s="129"/>
      <c r="S115" s="127"/>
      <c r="W115" s="129"/>
      <c r="X115" s="129"/>
      <c r="Y115" s="127"/>
      <c r="AC115" s="129"/>
      <c r="AD115" s="129"/>
      <c r="AE115" s="127"/>
      <c r="AG115"/>
      <c r="AH115"/>
      <c r="AI115" s="127"/>
      <c r="AJ115" s="131"/>
    </row>
    <row r="116" spans="1:69" s="75" customFormat="1">
      <c r="A116" s="75" t="s">
        <v>325</v>
      </c>
      <c r="B116" s="94">
        <v>45179</v>
      </c>
      <c r="C116" s="93" t="s">
        <v>136</v>
      </c>
      <c r="D116" s="78">
        <f>VLOOKUP($C$116,Overview!$Q$2:$AS$64,23,FALSE)</f>
        <v>0.95238369736820083</v>
      </c>
      <c r="E116" s="78" t="str">
        <f>VLOOKUP($C$116,Overview!$Q$2:$AS$64,24,FALSE)</f>
        <v>medium</v>
      </c>
      <c r="F116" s="75">
        <f>VLOOKUP(C116,Overview!$Q$2:$AS$64,13,FALSE)</f>
        <v>42</v>
      </c>
      <c r="G116" s="75">
        <f>VLOOKUP(C116,Overview!$Q$2:$AS$64,16,FALSE)</f>
        <v>8</v>
      </c>
      <c r="H116" s="75">
        <f>VLOOKUP(C116,Overview!$Q$2:$AS$64,18,FALSE)</f>
        <v>18</v>
      </c>
      <c r="I116" s="75">
        <f>VLOOKUP($C$116,Overview!$Q$2:$AS$64,19,FALSE)</f>
        <v>38</v>
      </c>
      <c r="K116" s="75" t="str">
        <f>VLOOKUP($C$116,Overview!$Q$2:$AS$64,5,FALSE)</f>
        <v>5-2, 3-8</v>
      </c>
      <c r="L116" s="96"/>
      <c r="N116" s="115"/>
      <c r="O116" s="97"/>
      <c r="P116" s="97"/>
      <c r="Q116" s="130"/>
      <c r="R116" s="130"/>
      <c r="S116" s="128"/>
      <c r="T116" s="115"/>
      <c r="U116" s="97"/>
      <c r="V116" s="97"/>
      <c r="W116" s="130"/>
      <c r="X116" s="130"/>
      <c r="Y116" s="128"/>
      <c r="Z116" s="115"/>
      <c r="AA116" s="97"/>
      <c r="AB116" s="97"/>
      <c r="AC116" s="130"/>
      <c r="AD116" s="130"/>
      <c r="AE116" s="128"/>
      <c r="AF116" s="115"/>
      <c r="AI116" s="128"/>
      <c r="AJ116" s="132"/>
      <c r="AK116" s="97"/>
      <c r="AL116" s="115"/>
      <c r="AM116" s="122"/>
      <c r="AN116" s="101"/>
      <c r="AQ116" s="101"/>
      <c r="AR116" s="101"/>
      <c r="AV116" s="119"/>
      <c r="AW116" s="101"/>
      <c r="AX116" s="101"/>
      <c r="AY116" s="101"/>
      <c r="AZ116" s="101"/>
      <c r="BA116" s="101"/>
      <c r="BB116" s="83"/>
      <c r="BD116" s="101"/>
      <c r="BQ116"/>
    </row>
    <row r="117" spans="1:69" ht="16">
      <c r="A117" t="s">
        <v>305</v>
      </c>
      <c r="C117" s="310"/>
      <c r="L117" s="48" t="s">
        <v>610</v>
      </c>
      <c r="M117" s="77"/>
      <c r="O117" s="81">
        <f>P117-0</f>
        <v>35</v>
      </c>
      <c r="P117" s="81">
        <f>$F$116-7</f>
        <v>35</v>
      </c>
      <c r="Q117" s="129">
        <f>O117/$F$116</f>
        <v>0.83333333333333337</v>
      </c>
      <c r="R117" s="129">
        <f>O117/P117</f>
        <v>1</v>
      </c>
      <c r="S117" s="127">
        <f>2*(Q117*R117)/(Q117+R117)</f>
        <v>0.90909090909090906</v>
      </c>
      <c r="U117" s="81">
        <f>V117-0</f>
        <v>7</v>
      </c>
      <c r="V117" s="81">
        <f>$G$116-1</f>
        <v>7</v>
      </c>
      <c r="W117" s="129">
        <f>U117/$G$116</f>
        <v>0.875</v>
      </c>
      <c r="X117" s="129">
        <f>U117/V117</f>
        <v>1</v>
      </c>
      <c r="Y117" s="127">
        <f>2*(W117*X117)/(W117+X117)</f>
        <v>0.93333333333333335</v>
      </c>
      <c r="AA117" s="81">
        <f>AB117-13</f>
        <v>18</v>
      </c>
      <c r="AB117" s="81">
        <f>$I$116-7</f>
        <v>31</v>
      </c>
      <c r="AC117" s="129">
        <f>AA117/$I$116</f>
        <v>0.47368421052631576</v>
      </c>
      <c r="AD117" s="129">
        <f>AA117/AB117</f>
        <v>0.58064516129032262</v>
      </c>
      <c r="AE117" s="127">
        <f>2*(AC117*AD117)/(AC117+AD117)</f>
        <v>0.52173913043478259</v>
      </c>
      <c r="AG117">
        <f>AH117-0</f>
        <v>2</v>
      </c>
      <c r="AH117">
        <v>2</v>
      </c>
      <c r="AI117" s="127">
        <f>AG117/$H$116</f>
        <v>0.1111111111111111</v>
      </c>
      <c r="AJ117" s="127">
        <f>AG117/AH117</f>
        <v>1</v>
      </c>
      <c r="AM117" s="122">
        <v>6</v>
      </c>
      <c r="AN117" s="101">
        <v>3</v>
      </c>
      <c r="AO117">
        <v>159</v>
      </c>
      <c r="AP117">
        <v>11</v>
      </c>
      <c r="AQ117" s="101">
        <v>11</v>
      </c>
      <c r="AR117" s="101">
        <v>6</v>
      </c>
      <c r="AS117">
        <v>0</v>
      </c>
      <c r="AT117">
        <v>0</v>
      </c>
      <c r="AU117">
        <v>0</v>
      </c>
      <c r="AV117" s="119">
        <v>7</v>
      </c>
      <c r="AW117" s="101">
        <f>($F$116-N117)/$F$116</f>
        <v>1</v>
      </c>
      <c r="AY117" s="101">
        <f>($G$116-AN117)/$G$116</f>
        <v>0.625</v>
      </c>
      <c r="AZ117" s="101">
        <f>AR117/AQ117</f>
        <v>0.54545454545454541</v>
      </c>
      <c r="BA117" s="101">
        <v>0</v>
      </c>
      <c r="BB117" s="85">
        <f>(AW117+AY117+AZ117+BA117)/4</f>
        <v>0.54261363636363635</v>
      </c>
      <c r="BC117" s="13">
        <f>AP117/$H$116</f>
        <v>0.61111111111111116</v>
      </c>
      <c r="BD117" s="118">
        <f>AV117/AP117</f>
        <v>0.63636363636363635</v>
      </c>
      <c r="BE117" s="13">
        <f>AO117/AP117</f>
        <v>14.454545454545455</v>
      </c>
      <c r="BF117" s="13">
        <f>AT117/$H$116</f>
        <v>0</v>
      </c>
      <c r="BG117" s="13">
        <f>AR117/$H$116</f>
        <v>0.33333333333333331</v>
      </c>
      <c r="BQ117" t="str">
        <f>_xlfn.CONCAT($C$116," &amp; ",C117," &amp; ",Q117," &amp; ",R117," &amp; ",S117," &amp; ",W117," &amp; ",X117," &amp; ",Y117," &amp; ",AC117," &amp; ",AD117," &amp; ",AE117," &amp; ",AG117," &amp; ",AH117," &amp; ",AI117," &amp; ",AJ117, " \\ \hline")</f>
        <v>1-1 &amp;  &amp; 0.833333333333333 &amp; 1 &amp; 0.909090909090909 &amp; 0.875 &amp; 1 &amp; 0.933333333333333 &amp; 0.473684210526316 &amp; 0.580645161290323 &amp; 0.521739130434783 &amp; 2 &amp; 2 &amp; 0.111111111111111 &amp; 1 \\ \hline</v>
      </c>
    </row>
    <row r="118" spans="1:69" ht="16">
      <c r="A118" t="s">
        <v>306</v>
      </c>
      <c r="C118" s="310"/>
      <c r="L118" s="48" t="s">
        <v>611</v>
      </c>
      <c r="M118" s="77"/>
      <c r="O118" s="81">
        <f>P118</f>
        <v>38</v>
      </c>
      <c r="P118" s="81">
        <f>$F$116-4</f>
        <v>38</v>
      </c>
      <c r="Q118" s="129">
        <f>O118/$F$116</f>
        <v>0.90476190476190477</v>
      </c>
      <c r="R118" s="129">
        <f>O118/P118</f>
        <v>1</v>
      </c>
      <c r="S118" s="127">
        <f>2*(Q118*R118)/(Q118+R118)</f>
        <v>0.95000000000000007</v>
      </c>
      <c r="U118" s="81">
        <v>8</v>
      </c>
      <c r="V118" s="81">
        <f>$G$116</f>
        <v>8</v>
      </c>
      <c r="W118" s="129">
        <f>U118/$G$116</f>
        <v>1</v>
      </c>
      <c r="X118" s="129">
        <f>U118/V118</f>
        <v>1</v>
      </c>
      <c r="Y118" s="127">
        <f>2*(W118*X118)/(W118+X118)</f>
        <v>1</v>
      </c>
      <c r="AA118" s="81">
        <f>AB118-7</f>
        <v>27</v>
      </c>
      <c r="AB118" s="81">
        <f>$I$116-4</f>
        <v>34</v>
      </c>
      <c r="AC118" s="129">
        <f>AA118/$I$116</f>
        <v>0.71052631578947367</v>
      </c>
      <c r="AD118" s="129">
        <f>AA118/AB118</f>
        <v>0.79411764705882348</v>
      </c>
      <c r="AE118" s="127">
        <f>2*(AC118*AD118)/(AC118+AD118)</f>
        <v>0.74999999999999989</v>
      </c>
      <c r="AG118">
        <f>AH118-0</f>
        <v>2</v>
      </c>
      <c r="AH118">
        <v>2</v>
      </c>
      <c r="AI118" s="127">
        <f>AG118/$H$116</f>
        <v>0.1111111111111111</v>
      </c>
      <c r="AJ118" s="127">
        <f>AG118/AH118</f>
        <v>1</v>
      </c>
      <c r="AM118" s="122">
        <v>6</v>
      </c>
      <c r="AN118" s="101">
        <v>3</v>
      </c>
      <c r="AO118">
        <v>224</v>
      </c>
      <c r="AP118">
        <v>15</v>
      </c>
      <c r="AQ118" s="101">
        <v>13</v>
      </c>
      <c r="AR118" s="101">
        <v>8</v>
      </c>
      <c r="AS118">
        <v>2</v>
      </c>
      <c r="AT118">
        <v>2</v>
      </c>
      <c r="AU118">
        <v>0</v>
      </c>
      <c r="AV118" s="119">
        <v>9</v>
      </c>
      <c r="AW118" s="101">
        <f>($F$116-N118)/$F$116</f>
        <v>1</v>
      </c>
      <c r="AY118" s="101">
        <f>($G$116-AN118)/$G$116</f>
        <v>0.625</v>
      </c>
      <c r="AZ118" s="101">
        <f>AR118/AQ118</f>
        <v>0.61538461538461542</v>
      </c>
      <c r="BA118" s="101">
        <f>AT118/AS118</f>
        <v>1</v>
      </c>
      <c r="BB118" s="85">
        <f>(AW118+AY118+AZ118+BA118)/4</f>
        <v>0.81009615384615385</v>
      </c>
      <c r="BC118" s="13">
        <f>AP118/$H$116</f>
        <v>0.83333333333333337</v>
      </c>
      <c r="BD118" s="118">
        <f>AV118/AP118</f>
        <v>0.6</v>
      </c>
      <c r="BE118" s="13">
        <f>AO118/AP118</f>
        <v>14.933333333333334</v>
      </c>
      <c r="BF118" s="13">
        <f>AT118/$H$116</f>
        <v>0.1111111111111111</v>
      </c>
      <c r="BG118" s="13">
        <f>AR118/$H$116</f>
        <v>0.44444444444444442</v>
      </c>
      <c r="BQ118" t="str">
        <f t="shared" ref="BQ118:BQ120" si="19">_xlfn.CONCAT($C$116," &amp; ",C118," &amp; ",Q118," &amp; ",R118," &amp; ",S118," &amp; ",W118," &amp; ",X118," &amp; ",Y118," &amp; ",AC118," &amp; ",AD118," &amp; ",AE118," &amp; ",AG118," &amp; ",AH118," &amp; ",AI118," &amp; ",AJ118, " \\ \hline")</f>
        <v>1-1 &amp;  &amp; 0.904761904761905 &amp; 1 &amp; 0.95 &amp; 1 &amp; 1 &amp; 1 &amp; 0.710526315789474 &amp; 0.794117647058823 &amp; 0.75 &amp; 2 &amp; 2 &amp; 0.111111111111111 &amp; 1 \\ \hline</v>
      </c>
    </row>
    <row r="119" spans="1:69" ht="16">
      <c r="A119" t="s">
        <v>307</v>
      </c>
      <c r="C119" s="310"/>
      <c r="L119" s="48" t="s">
        <v>612</v>
      </c>
      <c r="M119" s="77"/>
      <c r="O119" s="81">
        <f>P119-0</f>
        <v>38</v>
      </c>
      <c r="P119" s="81">
        <f>$F$116-4</f>
        <v>38</v>
      </c>
      <c r="Q119" s="129">
        <f>O119/$F$116</f>
        <v>0.90476190476190477</v>
      </c>
      <c r="R119" s="129">
        <f>O119/P119</f>
        <v>1</v>
      </c>
      <c r="S119" s="127">
        <f>2*(Q119*R119)/(Q119+R119)</f>
        <v>0.95000000000000007</v>
      </c>
      <c r="U119" s="81">
        <f>V119-0</f>
        <v>8</v>
      </c>
      <c r="V119" s="81">
        <f>$G$116</f>
        <v>8</v>
      </c>
      <c r="W119" s="129">
        <f>U119/$G$116</f>
        <v>1</v>
      </c>
      <c r="X119" s="129">
        <f>U119/V119</f>
        <v>1</v>
      </c>
      <c r="Y119" s="127">
        <f>2*(W119*X119)/(W119+X119)</f>
        <v>1</v>
      </c>
      <c r="AA119" s="81">
        <f>AB119-7</f>
        <v>27</v>
      </c>
      <c r="AB119" s="81">
        <f>$I$116-4</f>
        <v>34</v>
      </c>
      <c r="AC119" s="129">
        <f>AA119/$I$116</f>
        <v>0.71052631578947367</v>
      </c>
      <c r="AD119" s="129">
        <f>AA119/AB119</f>
        <v>0.79411764705882348</v>
      </c>
      <c r="AE119" s="127">
        <f>2*(AC119*AD119)/(AC119+AD119)</f>
        <v>0.74999999999999989</v>
      </c>
      <c r="AG119">
        <f>AH119-0</f>
        <v>2</v>
      </c>
      <c r="AH119">
        <v>2</v>
      </c>
      <c r="AI119" s="127">
        <f>AG119/$H$116</f>
        <v>0.1111111111111111</v>
      </c>
      <c r="AJ119" s="127">
        <f>AG119/AH119</f>
        <v>1</v>
      </c>
      <c r="AM119" s="122">
        <v>0</v>
      </c>
      <c r="AN119" s="101">
        <v>0</v>
      </c>
      <c r="AO119">
        <v>312</v>
      </c>
      <c r="AP119">
        <v>15</v>
      </c>
      <c r="AQ119" s="101">
        <v>15</v>
      </c>
      <c r="AR119" s="101">
        <v>14</v>
      </c>
      <c r="AS119">
        <v>0</v>
      </c>
      <c r="AT119">
        <v>0</v>
      </c>
      <c r="AU119">
        <v>0</v>
      </c>
      <c r="AV119" s="119">
        <v>12</v>
      </c>
      <c r="AW119" s="101">
        <f>($F$116-N119)/$F$116</f>
        <v>1</v>
      </c>
      <c r="AY119" s="101">
        <f>($G$116-AN119)/$G$116</f>
        <v>1</v>
      </c>
      <c r="AZ119" s="101">
        <f>AR119/AQ119</f>
        <v>0.93333333333333335</v>
      </c>
      <c r="BA119" s="101">
        <v>0</v>
      </c>
      <c r="BB119" s="85">
        <f>(AW119+AY119+AZ119+BA119)/4</f>
        <v>0.73333333333333339</v>
      </c>
      <c r="BC119" s="13">
        <f>AP119/$H$116</f>
        <v>0.83333333333333337</v>
      </c>
      <c r="BD119" s="118">
        <f>AV119/AP119</f>
        <v>0.8</v>
      </c>
      <c r="BE119" s="13">
        <f>AO119/AP119</f>
        <v>20.8</v>
      </c>
      <c r="BF119" s="13">
        <f>AT119/$H$116</f>
        <v>0</v>
      </c>
      <c r="BG119" s="13">
        <f>AR119/$H$116</f>
        <v>0.77777777777777779</v>
      </c>
      <c r="BQ119" t="str">
        <f t="shared" si="19"/>
        <v>1-1 &amp;  &amp; 0.904761904761905 &amp; 1 &amp; 0.95 &amp; 1 &amp; 1 &amp; 1 &amp; 0.710526315789474 &amp; 0.794117647058823 &amp; 0.75 &amp; 2 &amp; 2 &amp; 0.111111111111111 &amp; 1 \\ \hline</v>
      </c>
    </row>
    <row r="120" spans="1:69" ht="16">
      <c r="A120" t="s">
        <v>308</v>
      </c>
      <c r="C120" s="310"/>
      <c r="L120" s="48" t="s">
        <v>613</v>
      </c>
      <c r="M120" s="77"/>
      <c r="O120" s="81">
        <f>P120-1</f>
        <v>41</v>
      </c>
      <c r="P120" s="81">
        <f>$F$116</f>
        <v>42</v>
      </c>
      <c r="Q120" s="129">
        <f>O120/$F$116</f>
        <v>0.97619047619047616</v>
      </c>
      <c r="R120" s="129">
        <f>O120/P120</f>
        <v>0.97619047619047616</v>
      </c>
      <c r="S120" s="127">
        <f>2*(Q120*R120)/(Q120+R120)</f>
        <v>0.97619047619047616</v>
      </c>
      <c r="U120" s="81">
        <f>V120-0</f>
        <v>8</v>
      </c>
      <c r="V120" s="81">
        <f>$G$116</f>
        <v>8</v>
      </c>
      <c r="W120" s="129">
        <f>U120/$G$116</f>
        <v>1</v>
      </c>
      <c r="X120" s="129">
        <f>U120/V120</f>
        <v>1</v>
      </c>
      <c r="Y120" s="127">
        <f>2*(W120*X120)/(W120+X120)</f>
        <v>1</v>
      </c>
      <c r="AA120" s="81">
        <f>AB120-1</f>
        <v>37</v>
      </c>
      <c r="AB120" s="81">
        <f>$I$116</f>
        <v>38</v>
      </c>
      <c r="AC120" s="129">
        <f>AA120/$I$116</f>
        <v>0.97368421052631582</v>
      </c>
      <c r="AD120" s="129">
        <f>AA120/AB120</f>
        <v>0.97368421052631582</v>
      </c>
      <c r="AE120" s="127">
        <f>2*(AC120*AD120)/(AC120+AD120)</f>
        <v>0.97368421052631582</v>
      </c>
      <c r="AG120">
        <f>AH120-0</f>
        <v>10</v>
      </c>
      <c r="AH120">
        <v>10</v>
      </c>
      <c r="AI120" s="127">
        <f>AG120/$H$116</f>
        <v>0.55555555555555558</v>
      </c>
      <c r="AJ120" s="127">
        <f>AG120/AH120</f>
        <v>1</v>
      </c>
      <c r="AM120" s="122">
        <v>0</v>
      </c>
      <c r="AN120" s="101">
        <v>0</v>
      </c>
      <c r="AO120">
        <v>294</v>
      </c>
      <c r="AP120">
        <v>18</v>
      </c>
      <c r="AQ120" s="101">
        <v>18</v>
      </c>
      <c r="AR120" s="101">
        <v>17</v>
      </c>
      <c r="AS120">
        <v>0</v>
      </c>
      <c r="AT120">
        <v>0</v>
      </c>
      <c r="AU120">
        <v>0</v>
      </c>
      <c r="AV120" s="119">
        <v>14</v>
      </c>
      <c r="AW120" s="101">
        <f>($F$116-N120)/$F$116</f>
        <v>1</v>
      </c>
      <c r="AY120" s="101">
        <f>($G$116-AN120)/$G$116</f>
        <v>1</v>
      </c>
      <c r="AZ120" s="101">
        <f>AR120/AQ120</f>
        <v>0.94444444444444442</v>
      </c>
      <c r="BA120" s="101">
        <v>0</v>
      </c>
      <c r="BB120" s="85">
        <f>(AW120+AY120+AZ120+BA120)/4</f>
        <v>0.73611111111111116</v>
      </c>
      <c r="BC120" s="13">
        <f>AP120/$H$116</f>
        <v>1</v>
      </c>
      <c r="BD120" s="118">
        <f>AV120/AP120</f>
        <v>0.77777777777777779</v>
      </c>
      <c r="BE120" s="13">
        <f>AO120/AP120</f>
        <v>16.333333333333332</v>
      </c>
      <c r="BF120" s="13">
        <f>AT120/$H$116</f>
        <v>0</v>
      </c>
      <c r="BG120" s="13">
        <f>AR120/$H$116</f>
        <v>0.94444444444444442</v>
      </c>
      <c r="BQ120" t="str">
        <f t="shared" si="19"/>
        <v>1-1 &amp;  &amp; 0.976190476190476 &amp; 0.976190476190476 &amp; 0.976190476190476 &amp; 1 &amp; 1 &amp; 1 &amp; 0.973684210526316 &amp; 0.973684210526316 &amp; 0.973684210526316 &amp; 10 &amp; 10 &amp; 0.555555555555556 &amp; 1 \\ \hline</v>
      </c>
    </row>
    <row r="121" spans="1:69">
      <c r="C121" s="98"/>
      <c r="Q121" s="129"/>
      <c r="R121" s="129"/>
      <c r="S121" s="127"/>
      <c r="W121" s="129"/>
      <c r="X121" s="129"/>
      <c r="Y121" s="127"/>
      <c r="AC121" s="129"/>
      <c r="AD121" s="129"/>
      <c r="AE121" s="127"/>
      <c r="AG121"/>
      <c r="AH121"/>
      <c r="AI121" s="127"/>
      <c r="AJ121" s="131"/>
      <c r="AV121" s="119">
        <v>0</v>
      </c>
    </row>
    <row r="122" spans="1:69" s="75" customFormat="1">
      <c r="A122" s="75" t="s">
        <v>326</v>
      </c>
      <c r="B122" s="94">
        <v>45179</v>
      </c>
      <c r="C122" s="93" t="s">
        <v>166</v>
      </c>
      <c r="D122" s="78">
        <f>VLOOKUP($C$122,Overview!$Q$2:$AS$64,23,FALSE)</f>
        <v>0.97510654491951687</v>
      </c>
      <c r="E122" s="78" t="str">
        <f>VLOOKUP($C$122,Overview!$Q$2:$AS$64,24,FALSE)</f>
        <v>medium</v>
      </c>
      <c r="F122" s="75">
        <f>VLOOKUP(C122,Overview!$Q$2:$AS$64,13,FALSE)</f>
        <v>39</v>
      </c>
      <c r="G122" s="75">
        <f>VLOOKUP(C122,Overview!$Q$2:$AS$64,16,FALSE)</f>
        <v>13</v>
      </c>
      <c r="H122" s="75">
        <f>VLOOKUP(C122,Overview!$Q$2:$AS$64,18,FALSE)</f>
        <v>17</v>
      </c>
      <c r="I122" s="75">
        <f>VLOOKUP($C$122,Overview!$Q$2:$AS$64,19,FALSE)</f>
        <v>35</v>
      </c>
      <c r="K122" s="75" t="str">
        <f>VLOOKUP($C$122,Overview!$Q$2:$AS$64,5,FALSE)</f>
        <v>6-2, 3-7</v>
      </c>
      <c r="L122" s="96"/>
      <c r="N122" s="115"/>
      <c r="O122" s="97"/>
      <c r="P122" s="97"/>
      <c r="Q122" s="130"/>
      <c r="R122" s="130"/>
      <c r="S122" s="128"/>
      <c r="T122" s="115"/>
      <c r="U122" s="97"/>
      <c r="V122" s="97"/>
      <c r="W122" s="130"/>
      <c r="X122" s="130"/>
      <c r="Y122" s="128"/>
      <c r="Z122" s="115"/>
      <c r="AA122" s="97"/>
      <c r="AB122" s="97"/>
      <c r="AC122" s="130"/>
      <c r="AD122" s="130"/>
      <c r="AE122" s="128"/>
      <c r="AF122" s="115"/>
      <c r="AI122" s="128"/>
      <c r="AJ122" s="132"/>
      <c r="AK122" s="97"/>
      <c r="AL122" s="115"/>
      <c r="AM122" s="122"/>
      <c r="AN122" s="101"/>
      <c r="AQ122" s="101"/>
      <c r="AR122" s="101"/>
      <c r="AV122" s="119"/>
      <c r="AW122" s="101"/>
      <c r="AX122" s="101"/>
      <c r="AY122" s="101"/>
      <c r="AZ122" s="101"/>
      <c r="BA122" s="101"/>
      <c r="BB122" s="83"/>
      <c r="BD122" s="101"/>
      <c r="BQ122"/>
    </row>
    <row r="123" spans="1:69" ht="16">
      <c r="A123" t="s">
        <v>305</v>
      </c>
      <c r="C123" s="310"/>
      <c r="L123" s="48" t="s">
        <v>610</v>
      </c>
      <c r="M123" s="77"/>
      <c r="O123" s="81">
        <f>P123-5</f>
        <v>31</v>
      </c>
      <c r="P123" s="81">
        <f>$F$122-3</f>
        <v>36</v>
      </c>
      <c r="Q123" s="129">
        <f>O123/$F$122</f>
        <v>0.79487179487179482</v>
      </c>
      <c r="R123" s="129">
        <f>O123/P123</f>
        <v>0.86111111111111116</v>
      </c>
      <c r="S123" s="127">
        <f>2*(Q123*R123)/(Q123+R123)</f>
        <v>0.82666666666666666</v>
      </c>
      <c r="U123" s="81">
        <f>V123-3</f>
        <v>8</v>
      </c>
      <c r="V123" s="81">
        <f>$G$122-2</f>
        <v>11</v>
      </c>
      <c r="W123" s="129">
        <f>U123/$G$122</f>
        <v>0.61538461538461542</v>
      </c>
      <c r="X123" s="129">
        <f>U123/V123</f>
        <v>0.72727272727272729</v>
      </c>
      <c r="Y123" s="127">
        <f>2*(W123*X123)/(W123+X123)</f>
        <v>0.66666666666666674</v>
      </c>
      <c r="AA123" s="81">
        <f>AB123-3</f>
        <v>29</v>
      </c>
      <c r="AB123" s="81">
        <f>$I$122-3</f>
        <v>32</v>
      </c>
      <c r="AC123" s="129">
        <f>AA123/$I$122</f>
        <v>0.82857142857142863</v>
      </c>
      <c r="AD123" s="129">
        <f>AA123/AB123</f>
        <v>0.90625</v>
      </c>
      <c r="AE123" s="127">
        <f>2*(AC123*AD123)/(AC123+AD123)</f>
        <v>0.86567164179104472</v>
      </c>
      <c r="AG123">
        <v>1</v>
      </c>
      <c r="AH123">
        <v>2</v>
      </c>
      <c r="AI123" s="127">
        <f>AG123/$H$122</f>
        <v>5.8823529411764705E-2</v>
      </c>
      <c r="AJ123" s="127">
        <f>AG123/AH123</f>
        <v>0.5</v>
      </c>
      <c r="AM123" s="122">
        <v>1</v>
      </c>
      <c r="AN123" s="101">
        <v>1</v>
      </c>
      <c r="AO123">
        <v>194</v>
      </c>
      <c r="AP123">
        <v>11</v>
      </c>
      <c r="AQ123" s="101">
        <v>10</v>
      </c>
      <c r="AR123" s="101">
        <v>9</v>
      </c>
      <c r="AS123">
        <v>1</v>
      </c>
      <c r="AT123">
        <v>0</v>
      </c>
      <c r="AU123">
        <v>0</v>
      </c>
      <c r="AV123" s="119">
        <v>7</v>
      </c>
      <c r="AW123" s="101">
        <f>($F$122-N123)/$F$122</f>
        <v>1</v>
      </c>
      <c r="AY123" s="101">
        <f>($G$122-AN123)/$G$122</f>
        <v>0.92307692307692313</v>
      </c>
      <c r="AZ123" s="101">
        <f>AR123/AQ123</f>
        <v>0.9</v>
      </c>
      <c r="BA123" s="101">
        <f>AT123/AS123</f>
        <v>0</v>
      </c>
      <c r="BB123" s="85">
        <f>(AW123+AY123+AZ123+BA123)/4</f>
        <v>0.70576923076923082</v>
      </c>
      <c r="BC123" s="13">
        <f>AP123/$H$122</f>
        <v>0.6470588235294118</v>
      </c>
      <c r="BD123" s="118">
        <f>AV123/AP123</f>
        <v>0.63636363636363635</v>
      </c>
      <c r="BE123" s="13">
        <f>AO123/AP123</f>
        <v>17.636363636363637</v>
      </c>
      <c r="BF123" s="13">
        <f>AT123/$H$122</f>
        <v>0</v>
      </c>
      <c r="BG123" s="13">
        <f>AR123/$H$122</f>
        <v>0.52941176470588236</v>
      </c>
      <c r="BQ123" t="str">
        <f>_xlfn.CONCAT($C$122," &amp; ",C123," &amp; ",Q123," &amp; ",R123," &amp; ",S123," &amp; ",W123," &amp; ",X123," &amp; ",Y123," &amp; ",AC123," &amp; ",AD123," &amp; ",AE123," &amp; ",AG123," &amp; ",AH123," &amp; ",AI123," &amp; ",AJ123, " \\ \hline")</f>
        <v>9-4 &amp;  &amp; 0.794871794871795 &amp; 0.861111111111111 &amp; 0.826666666666667 &amp; 0.615384615384615 &amp; 0.727272727272727 &amp; 0.666666666666667 &amp; 0.828571428571429 &amp; 0.90625 &amp; 0.865671641791045 &amp; 1 &amp; 2 &amp; 0.0588235294117647 &amp; 0.5 \\ \hline</v>
      </c>
    </row>
    <row r="124" spans="1:69" ht="16">
      <c r="A124" t="s">
        <v>306</v>
      </c>
      <c r="C124" s="310"/>
      <c r="L124" s="48" t="s">
        <v>611</v>
      </c>
      <c r="M124" s="77"/>
      <c r="O124" s="81">
        <f>P124-0</f>
        <v>36</v>
      </c>
      <c r="P124" s="81">
        <f>$F$122-3</f>
        <v>36</v>
      </c>
      <c r="Q124" s="129">
        <f>O124/$F$122</f>
        <v>0.92307692307692313</v>
      </c>
      <c r="R124" s="129">
        <f>O124/P124</f>
        <v>1</v>
      </c>
      <c r="S124" s="127">
        <f>2*(Q124*R124)/(Q124+R124)</f>
        <v>0.96000000000000008</v>
      </c>
      <c r="U124" s="81">
        <v>11</v>
      </c>
      <c r="V124" s="81">
        <f>$G$122-2</f>
        <v>11</v>
      </c>
      <c r="W124" s="129">
        <f>U124/$G$122</f>
        <v>0.84615384615384615</v>
      </c>
      <c r="X124" s="129">
        <f>U124/V124</f>
        <v>1</v>
      </c>
      <c r="Y124" s="127">
        <f>2*(W124*X124)/(W124+X124)</f>
        <v>0.91666666666666663</v>
      </c>
      <c r="AA124" s="81">
        <f>AB124-3</f>
        <v>29</v>
      </c>
      <c r="AB124" s="81">
        <f>$I$122-3</f>
        <v>32</v>
      </c>
      <c r="AC124" s="129">
        <f>AA124/$I$122</f>
        <v>0.82857142857142863</v>
      </c>
      <c r="AD124" s="129">
        <f>AA124/AB124</f>
        <v>0.90625</v>
      </c>
      <c r="AE124" s="127">
        <f>2*(AC124*AD124)/(AC124+AD124)</f>
        <v>0.86567164179104472</v>
      </c>
      <c r="AG124">
        <v>1</v>
      </c>
      <c r="AH124">
        <v>2</v>
      </c>
      <c r="AI124" s="127">
        <f>AG124/$H$122</f>
        <v>5.8823529411764705E-2</v>
      </c>
      <c r="AJ124" s="127">
        <f>AG124/AH124</f>
        <v>0.5</v>
      </c>
      <c r="AM124" s="122">
        <v>1</v>
      </c>
      <c r="AN124" s="101">
        <v>1</v>
      </c>
      <c r="AO124">
        <v>367</v>
      </c>
      <c r="AP124">
        <v>14</v>
      </c>
      <c r="AQ124" s="101">
        <v>12</v>
      </c>
      <c r="AR124" s="101">
        <v>11</v>
      </c>
      <c r="AS124">
        <v>2</v>
      </c>
      <c r="AT124">
        <v>1</v>
      </c>
      <c r="AU124">
        <v>0</v>
      </c>
      <c r="AV124" s="119">
        <v>7</v>
      </c>
      <c r="AW124" s="101">
        <f>($F$122-N124)/$F$122</f>
        <v>1</v>
      </c>
      <c r="AY124" s="101">
        <f>($G$122-AN124)/$G$122</f>
        <v>0.92307692307692313</v>
      </c>
      <c r="AZ124" s="101">
        <f>AR124/AQ124</f>
        <v>0.91666666666666663</v>
      </c>
      <c r="BA124" s="101">
        <f>AT124/AS124</f>
        <v>0.5</v>
      </c>
      <c r="BB124" s="85">
        <f>(AW124+AY124+AZ124+BA124)/4</f>
        <v>0.83493589743589747</v>
      </c>
      <c r="BC124" s="13">
        <f>AP124/$H$122</f>
        <v>0.82352941176470584</v>
      </c>
      <c r="BD124" s="118">
        <f>AV124/AP124</f>
        <v>0.5</v>
      </c>
      <c r="BE124" s="13">
        <f>AO124/AP124</f>
        <v>26.214285714285715</v>
      </c>
      <c r="BF124" s="13">
        <f>AT124/$H$122</f>
        <v>5.8823529411764705E-2</v>
      </c>
      <c r="BG124" s="13">
        <f>AR124/$H$122</f>
        <v>0.6470588235294118</v>
      </c>
      <c r="BQ124" t="str">
        <f t="shared" ref="BQ124:BQ126" si="20">_xlfn.CONCAT($C$122," &amp; ",C124," &amp; ",Q124," &amp; ",R124," &amp; ",S124," &amp; ",W124," &amp; ",X124," &amp; ",Y124," &amp; ",AC124," &amp; ",AD124," &amp; ",AE124," &amp; ",AG124," &amp; ",AH124," &amp; ",AI124," &amp; ",AJ124, " \\ \hline")</f>
        <v>9-4 &amp;  &amp; 0.923076923076923 &amp; 1 &amp; 0.96 &amp; 0.846153846153846 &amp; 1 &amp; 0.916666666666667 &amp; 0.828571428571429 &amp; 0.90625 &amp; 0.865671641791045 &amp; 1 &amp; 2 &amp; 0.0588235294117647 &amp; 0.5 \\ \hline</v>
      </c>
    </row>
    <row r="125" spans="1:69" ht="16">
      <c r="A125" t="s">
        <v>307</v>
      </c>
      <c r="C125" s="310"/>
      <c r="L125" s="48" t="s">
        <v>612</v>
      </c>
      <c r="M125" s="77"/>
      <c r="O125" s="81">
        <f>P125-6</f>
        <v>29</v>
      </c>
      <c r="P125" s="81">
        <f>$F$122-4</f>
        <v>35</v>
      </c>
      <c r="Q125" s="129">
        <f>O125/$F$122</f>
        <v>0.74358974358974361</v>
      </c>
      <c r="R125" s="129">
        <f>O125/P125</f>
        <v>0.82857142857142863</v>
      </c>
      <c r="S125" s="127">
        <f>2*(Q125*R125)/(Q125+R125)</f>
        <v>0.78378378378378377</v>
      </c>
      <c r="U125" s="81">
        <f>V125-4</f>
        <v>7</v>
      </c>
      <c r="V125" s="81">
        <f>$G$122-2</f>
        <v>11</v>
      </c>
      <c r="W125" s="129">
        <f>U125/$G$122</f>
        <v>0.53846153846153844</v>
      </c>
      <c r="X125" s="129">
        <f>U125/V125</f>
        <v>0.63636363636363635</v>
      </c>
      <c r="Y125" s="127">
        <f>2*(W125*X125)/(W125+X125)</f>
        <v>0.58333333333333337</v>
      </c>
      <c r="AA125" s="81">
        <f>AB125-14</f>
        <v>18</v>
      </c>
      <c r="AB125" s="81">
        <f>$I$122-3</f>
        <v>32</v>
      </c>
      <c r="AC125" s="129">
        <f>AA125/$I$122</f>
        <v>0.51428571428571423</v>
      </c>
      <c r="AD125" s="129">
        <f>AA125/AB125</f>
        <v>0.5625</v>
      </c>
      <c r="AE125" s="127">
        <f>2*(AC125*AD125)/(AC125+AD125)</f>
        <v>0.53731343283582089</v>
      </c>
      <c r="AG125">
        <f>AH125-1</f>
        <v>18</v>
      </c>
      <c r="AH125">
        <v>19</v>
      </c>
      <c r="AI125" s="127">
        <f>AG125/$H$122</f>
        <v>1.0588235294117647</v>
      </c>
      <c r="AJ125" s="127">
        <f>AG125/AH125</f>
        <v>0.94736842105263153</v>
      </c>
      <c r="AM125" s="122">
        <v>1</v>
      </c>
      <c r="AN125" s="101">
        <v>1</v>
      </c>
      <c r="AO125">
        <v>284</v>
      </c>
      <c r="AP125">
        <v>16</v>
      </c>
      <c r="AQ125" s="101">
        <v>14</v>
      </c>
      <c r="AR125" s="101">
        <v>13</v>
      </c>
      <c r="AS125">
        <v>2</v>
      </c>
      <c r="AT125">
        <v>1</v>
      </c>
      <c r="AU125">
        <v>0</v>
      </c>
      <c r="AV125" s="119">
        <v>9</v>
      </c>
      <c r="AW125" s="101">
        <f>($F$122-N125)/$F$122</f>
        <v>1</v>
      </c>
      <c r="AY125" s="101">
        <f>($G$122-AN125)/$G$122</f>
        <v>0.92307692307692313</v>
      </c>
      <c r="AZ125" s="101">
        <f>AR125/AQ125</f>
        <v>0.9285714285714286</v>
      </c>
      <c r="BA125" s="101">
        <f>AT125/AS125</f>
        <v>0.5</v>
      </c>
      <c r="BB125" s="85">
        <f>(AW125+AY125+AZ125+BA125)/4</f>
        <v>0.83791208791208793</v>
      </c>
      <c r="BC125" s="13">
        <f>AP125/$H$122</f>
        <v>0.94117647058823528</v>
      </c>
      <c r="BD125" s="118">
        <f>AV125/AP125</f>
        <v>0.5625</v>
      </c>
      <c r="BE125" s="13">
        <f>AO125/AP125</f>
        <v>17.75</v>
      </c>
      <c r="BF125" s="13">
        <f>AT125/$H$122</f>
        <v>5.8823529411764705E-2</v>
      </c>
      <c r="BG125" s="13">
        <f>AR125/$H$122</f>
        <v>0.76470588235294112</v>
      </c>
      <c r="BQ125" t="str">
        <f t="shared" si="20"/>
        <v>9-4 &amp;  &amp; 0.743589743589744 &amp; 0.828571428571429 &amp; 0.783783783783784 &amp; 0.538461538461538 &amp; 0.636363636363636 &amp; 0.583333333333333 &amp; 0.514285714285714 &amp; 0.5625 &amp; 0.537313432835821 &amp; 18 &amp; 19 &amp; 1.05882352941176 &amp; 0.947368421052632 \\ \hline</v>
      </c>
    </row>
    <row r="126" spans="1:69" ht="16">
      <c r="A126" t="s">
        <v>308</v>
      </c>
      <c r="C126" s="310"/>
      <c r="L126" s="48" t="s">
        <v>613</v>
      </c>
      <c r="M126" s="77"/>
      <c r="O126" s="81">
        <f>P126</f>
        <v>36</v>
      </c>
      <c r="P126" s="81">
        <f>$F$122-3</f>
        <v>36</v>
      </c>
      <c r="Q126" s="129">
        <f>O126/$F$122</f>
        <v>0.92307692307692313</v>
      </c>
      <c r="R126" s="129">
        <f>O126/P126</f>
        <v>1</v>
      </c>
      <c r="S126" s="127">
        <f>2*(Q126*R126)/(Q126+R126)</f>
        <v>0.96000000000000008</v>
      </c>
      <c r="U126" s="81">
        <f>V126-0</f>
        <v>12</v>
      </c>
      <c r="V126" s="81">
        <f>$G$122-1</f>
        <v>12</v>
      </c>
      <c r="W126" s="129">
        <f>U126/$G$122</f>
        <v>0.92307692307692313</v>
      </c>
      <c r="X126" s="129">
        <f>U126/V126</f>
        <v>1</v>
      </c>
      <c r="Y126" s="127">
        <f>2*(W126*X126)/(W126+X126)</f>
        <v>0.96000000000000008</v>
      </c>
      <c r="AA126" s="81">
        <f>AB126-7</f>
        <v>25</v>
      </c>
      <c r="AB126" s="81">
        <f>$I$122-3</f>
        <v>32</v>
      </c>
      <c r="AC126" s="129">
        <f>AA126/$I$122</f>
        <v>0.7142857142857143</v>
      </c>
      <c r="AD126" s="129">
        <f>AA126/AB126</f>
        <v>0.78125</v>
      </c>
      <c r="AE126" s="127">
        <f>2*(AC126*AD126)/(AC126+AD126)</f>
        <v>0.74626865671641784</v>
      </c>
      <c r="AG126">
        <f>AH126-4</f>
        <v>13</v>
      </c>
      <c r="AH126">
        <v>17</v>
      </c>
      <c r="AI126" s="127">
        <f>AG126/$H$122</f>
        <v>0.76470588235294112</v>
      </c>
      <c r="AJ126" s="127">
        <f>AG126/AH126</f>
        <v>0.76470588235294112</v>
      </c>
      <c r="AM126" s="122">
        <v>1</v>
      </c>
      <c r="AN126" s="101">
        <v>1</v>
      </c>
      <c r="AO126">
        <v>387</v>
      </c>
      <c r="AP126">
        <v>18</v>
      </c>
      <c r="AQ126" s="101">
        <v>15</v>
      </c>
      <c r="AR126" s="101">
        <v>14</v>
      </c>
      <c r="AS126">
        <v>2</v>
      </c>
      <c r="AT126">
        <v>1</v>
      </c>
      <c r="AU126">
        <v>0</v>
      </c>
      <c r="AV126" s="119">
        <v>13</v>
      </c>
      <c r="AW126" s="101">
        <f>($F$122-N126)/$F$122</f>
        <v>1</v>
      </c>
      <c r="AY126" s="101">
        <f>($G$122-AN126)/$G$122</f>
        <v>0.92307692307692313</v>
      </c>
      <c r="AZ126" s="101">
        <f>AR126/AQ126</f>
        <v>0.93333333333333335</v>
      </c>
      <c r="BA126" s="101">
        <f>AT126/AS126</f>
        <v>0.5</v>
      </c>
      <c r="BB126" s="85">
        <f>(AW126+AY126+AZ126+BA126)/4</f>
        <v>0.83910256410256412</v>
      </c>
      <c r="BC126" s="13">
        <f>AP126/$H$122</f>
        <v>1.0588235294117647</v>
      </c>
      <c r="BD126" s="118">
        <f>AV126/AP126</f>
        <v>0.72222222222222221</v>
      </c>
      <c r="BE126" s="13">
        <f>AO126/AP126</f>
        <v>21.5</v>
      </c>
      <c r="BF126" s="13">
        <f>AT126/$H$122</f>
        <v>5.8823529411764705E-2</v>
      </c>
      <c r="BG126" s="13">
        <f>AR126/$H$122</f>
        <v>0.82352941176470584</v>
      </c>
      <c r="BQ126" t="str">
        <f t="shared" si="20"/>
        <v>9-4 &amp;  &amp; 0.923076923076923 &amp; 1 &amp; 0.96 &amp; 0.923076923076923 &amp; 1 &amp; 0.96 &amp; 0.714285714285714 &amp; 0.78125 &amp; 0.746268656716418 &amp; 13 &amp; 17 &amp; 0.764705882352941 &amp; 0.764705882352941 \\ \hline</v>
      </c>
    </row>
    <row r="127" spans="1:69">
      <c r="A127" s="107" t="s">
        <v>309</v>
      </c>
      <c r="C127" s="98"/>
      <c r="L127" s="165" t="s">
        <v>149</v>
      </c>
      <c r="O127" s="81">
        <f>P127-5</f>
        <v>31</v>
      </c>
      <c r="P127" s="81">
        <f>$F$122-3</f>
        <v>36</v>
      </c>
      <c r="Q127" s="129">
        <f>O127/$F$122</f>
        <v>0.79487179487179482</v>
      </c>
      <c r="R127" s="129">
        <f>O127/P127</f>
        <v>0.86111111111111116</v>
      </c>
      <c r="S127" s="127">
        <f>2*(Q127*R127)/(Q127+R127)</f>
        <v>0.82666666666666666</v>
      </c>
      <c r="U127" s="81">
        <f>V127-3</f>
        <v>10</v>
      </c>
      <c r="V127" s="81">
        <f>$G$122-0</f>
        <v>13</v>
      </c>
      <c r="W127" s="129">
        <f>U127/$G$122</f>
        <v>0.76923076923076927</v>
      </c>
      <c r="X127" s="129">
        <f>U127/V127</f>
        <v>0.76923076923076927</v>
      </c>
      <c r="Y127" s="127">
        <f>2*(W127*X127)/(W127+X127)</f>
        <v>0.76923076923076927</v>
      </c>
      <c r="AA127" s="81">
        <f>AB127-3</f>
        <v>29</v>
      </c>
      <c r="AB127" s="81">
        <f>$I$122-3</f>
        <v>32</v>
      </c>
      <c r="AC127" s="129">
        <f>AA127/$I$122</f>
        <v>0.82857142857142863</v>
      </c>
      <c r="AD127" s="129">
        <f>AA127/AB127</f>
        <v>0.90625</v>
      </c>
      <c r="AE127" s="127">
        <f>2*(AC127*AD127)/(AC127+AD127)</f>
        <v>0.86567164179104472</v>
      </c>
      <c r="AG127">
        <f>AH127-0</f>
        <v>4</v>
      </c>
      <c r="AH127">
        <v>4</v>
      </c>
      <c r="AI127" s="127">
        <f>AG127/$H$122</f>
        <v>0.23529411764705882</v>
      </c>
      <c r="AJ127" s="127">
        <f>AG127/AH127</f>
        <v>1</v>
      </c>
    </row>
    <row r="128" spans="1:69" s="75" customFormat="1">
      <c r="A128" s="75" t="s">
        <v>327</v>
      </c>
      <c r="B128" s="94">
        <v>45179</v>
      </c>
      <c r="C128" s="93" t="s">
        <v>164</v>
      </c>
      <c r="D128" s="78">
        <f>VLOOKUP($C$128,Overview!$Q$2:$AS$64,23,FALSE)</f>
        <v>1.0040864084632239</v>
      </c>
      <c r="E128" s="78" t="str">
        <f>VLOOKUP($C$128,Overview!$Q$2:$AS$64,24,FALSE)</f>
        <v>medium</v>
      </c>
      <c r="F128" s="75">
        <f>VLOOKUP(C128,Overview!$Q$2:$AS$64,13,FALSE)</f>
        <v>36</v>
      </c>
      <c r="G128" s="75">
        <f>VLOOKUP(C128,Overview!$Q$2:$AS$64,16,FALSE)</f>
        <v>15</v>
      </c>
      <c r="H128" s="75">
        <f>VLOOKUP(C128,Overview!$Q$2:$AS$64,18,FALSE)</f>
        <v>16</v>
      </c>
      <c r="I128" s="75">
        <f>VLOOKUP($C$128,Overview!$Q$2:$AS$64,19,FALSE)</f>
        <v>33</v>
      </c>
      <c r="K128" s="75" t="str">
        <f>VLOOKUP($C$128,Overview!$Q$2:$AS$64,5,FALSE)</f>
        <v>5-2, 3-7</v>
      </c>
      <c r="L128" s="96"/>
      <c r="N128" s="115"/>
      <c r="O128" s="97"/>
      <c r="P128" s="97"/>
      <c r="Q128" s="130"/>
      <c r="R128" s="130"/>
      <c r="S128" s="128"/>
      <c r="T128" s="115"/>
      <c r="U128" s="97"/>
      <c r="V128" s="97"/>
      <c r="W128" s="130"/>
      <c r="X128" s="130"/>
      <c r="Y128" s="128"/>
      <c r="Z128" s="115"/>
      <c r="AA128" s="97"/>
      <c r="AB128" s="97"/>
      <c r="AC128" s="130"/>
      <c r="AD128" s="130"/>
      <c r="AE128" s="128"/>
      <c r="AF128" s="115"/>
      <c r="AI128" s="128"/>
      <c r="AJ128" s="132"/>
      <c r="AK128" s="97"/>
      <c r="AL128" s="115"/>
      <c r="AM128" s="122"/>
      <c r="AN128" s="101"/>
      <c r="AQ128" s="101"/>
      <c r="AR128" s="101"/>
      <c r="AV128" s="119"/>
      <c r="AW128" s="101"/>
      <c r="AX128" s="101"/>
      <c r="AY128" s="101"/>
      <c r="AZ128" s="101"/>
      <c r="BA128" s="101"/>
      <c r="BB128" s="83"/>
      <c r="BD128" s="101"/>
      <c r="BQ128"/>
    </row>
    <row r="129" spans="1:69" ht="16">
      <c r="A129" t="s">
        <v>305</v>
      </c>
      <c r="C129" s="310"/>
      <c r="L129" s="48" t="s">
        <v>610</v>
      </c>
      <c r="M129" s="77"/>
      <c r="O129" s="81">
        <f>P129-7</f>
        <v>28</v>
      </c>
      <c r="P129" s="81">
        <f>$F$128-1</f>
        <v>35</v>
      </c>
      <c r="Q129" s="129">
        <f>O129/$F$128</f>
        <v>0.77777777777777779</v>
      </c>
      <c r="R129" s="129">
        <f>O129/P129</f>
        <v>0.8</v>
      </c>
      <c r="S129" s="127">
        <f>2*(Q129*R129)/(Q129+R129)</f>
        <v>0.78873239436619713</v>
      </c>
      <c r="U129" s="81">
        <f>V129-2</f>
        <v>9</v>
      </c>
      <c r="V129" s="81">
        <f>$G$128-4</f>
        <v>11</v>
      </c>
      <c r="W129" s="129">
        <f>U129/$G$128</f>
        <v>0.6</v>
      </c>
      <c r="X129" s="129">
        <f>U129/V129</f>
        <v>0.81818181818181823</v>
      </c>
      <c r="Y129" s="127">
        <f>2*(W129*X129)/(W129+X129)</f>
        <v>0.69230769230769229</v>
      </c>
      <c r="AA129" s="81">
        <f>AB129-4</f>
        <v>28</v>
      </c>
      <c r="AB129" s="81">
        <f>$I$128-1</f>
        <v>32</v>
      </c>
      <c r="AC129" s="129">
        <f>AA129/$I$128</f>
        <v>0.84848484848484851</v>
      </c>
      <c r="AD129" s="129">
        <f>AA129/AB129</f>
        <v>0.875</v>
      </c>
      <c r="AE129" s="127">
        <f>2*(AC129*AD129)/(AC129+AD129)</f>
        <v>0.86153846153846148</v>
      </c>
      <c r="AG129">
        <f>AH129-0</f>
        <v>4</v>
      </c>
      <c r="AH129">
        <v>4</v>
      </c>
      <c r="AI129" s="127">
        <f>AG129/$H$128</f>
        <v>0.25</v>
      </c>
      <c r="AJ129" s="127">
        <f>AG129/AH129</f>
        <v>1</v>
      </c>
      <c r="AM129" s="122">
        <v>6</v>
      </c>
      <c r="AN129" s="101">
        <v>5</v>
      </c>
      <c r="AO129">
        <v>348</v>
      </c>
      <c r="AP129">
        <v>16</v>
      </c>
      <c r="AQ129" s="101">
        <v>16</v>
      </c>
      <c r="AR129" s="101">
        <v>13</v>
      </c>
      <c r="AS129">
        <v>0</v>
      </c>
      <c r="AT129">
        <v>0</v>
      </c>
      <c r="AU129">
        <v>0</v>
      </c>
      <c r="AV129" s="119">
        <v>14</v>
      </c>
      <c r="AW129" s="101">
        <f>($F$128-N129)/$F$128</f>
        <v>1</v>
      </c>
      <c r="AY129" s="101">
        <f>($G$128-AN129)/$G$128</f>
        <v>0.66666666666666663</v>
      </c>
      <c r="AZ129" s="101">
        <f>AR129/AQ129</f>
        <v>0.8125</v>
      </c>
      <c r="BA129" s="101">
        <v>0</v>
      </c>
      <c r="BB129" s="85">
        <f>(AW129+AY129+AZ129+BA129)/4</f>
        <v>0.61979166666666663</v>
      </c>
      <c r="BC129" s="13">
        <f>AP129/$H$128</f>
        <v>1</v>
      </c>
      <c r="BD129" s="118">
        <f>AV129/AP129</f>
        <v>0.875</v>
      </c>
      <c r="BE129" s="13">
        <f>AO129/AP129</f>
        <v>21.75</v>
      </c>
      <c r="BF129" s="13">
        <f>AT129/$H$128</f>
        <v>0</v>
      </c>
      <c r="BG129" s="13">
        <f>AR129/$H$128</f>
        <v>0.8125</v>
      </c>
      <c r="BQ129" t="str">
        <f>_xlfn.CONCAT($C$128," &amp; ",C129," &amp; ",Q129," &amp; ",R129," &amp; ",S129," &amp; ",W129," &amp; ",X129," &amp; ",Y129," &amp; ",AC129," &amp; ",AD129," &amp; ",AE129," &amp; ",AG129," &amp; ",AH129," &amp; ",AI129," &amp; ",AJ129, " \\ \hline")</f>
        <v>9-2 &amp;  &amp; 0.777777777777778 &amp; 0.8 &amp; 0.788732394366197 &amp; 0.6 &amp; 0.818181818181818 &amp; 0.692307692307692 &amp; 0.848484848484849 &amp; 0.875 &amp; 0.861538461538461 &amp; 4 &amp; 4 &amp; 0.25 &amp; 1 \\ \hline</v>
      </c>
    </row>
    <row r="130" spans="1:69" ht="16">
      <c r="A130" t="s">
        <v>306</v>
      </c>
      <c r="C130" s="310"/>
      <c r="L130" s="48" t="s">
        <v>611</v>
      </c>
      <c r="M130" s="77"/>
      <c r="O130" s="81">
        <f>P130-8</f>
        <v>27</v>
      </c>
      <c r="P130" s="81">
        <f>$F$128-1</f>
        <v>35</v>
      </c>
      <c r="Q130" s="129">
        <f>O130/$F$128</f>
        <v>0.75</v>
      </c>
      <c r="R130" s="129">
        <f>O130/P130</f>
        <v>0.77142857142857146</v>
      </c>
      <c r="S130" s="127">
        <f>2*(Q130*R130)/(Q130+R130)</f>
        <v>0.76056338028169024</v>
      </c>
      <c r="U130" s="81">
        <f>V130-3</f>
        <v>8</v>
      </c>
      <c r="V130" s="81">
        <f>$G$128-4</f>
        <v>11</v>
      </c>
      <c r="W130" s="129">
        <f>U130/$G$128</f>
        <v>0.53333333333333333</v>
      </c>
      <c r="X130" s="129">
        <f>U130/V130</f>
        <v>0.72727272727272729</v>
      </c>
      <c r="Y130" s="127">
        <f>2*(W130*X130)/(W130+X130)</f>
        <v>0.61538461538461531</v>
      </c>
      <c r="AA130" s="81">
        <f>AB130-7</f>
        <v>25</v>
      </c>
      <c r="AB130" s="81">
        <f>$I$128-1</f>
        <v>32</v>
      </c>
      <c r="AC130" s="129">
        <f>AA130/$I$128</f>
        <v>0.75757575757575757</v>
      </c>
      <c r="AD130" s="129">
        <f>AA130/AB130</f>
        <v>0.78125</v>
      </c>
      <c r="AE130" s="127">
        <f>2*(AC130*AD130)/(AC130+AD130)</f>
        <v>0.76923076923076916</v>
      </c>
      <c r="AG130">
        <v>3</v>
      </c>
      <c r="AH130">
        <v>3</v>
      </c>
      <c r="AI130" s="127">
        <f>AG130/$H$128</f>
        <v>0.1875</v>
      </c>
      <c r="AJ130" s="127">
        <f>AG130/AH130</f>
        <v>1</v>
      </c>
      <c r="AM130" s="122">
        <v>1</v>
      </c>
      <c r="AN130" s="101">
        <v>1</v>
      </c>
      <c r="AO130">
        <v>303</v>
      </c>
      <c r="AP130" s="107">
        <v>12</v>
      </c>
      <c r="AQ130" s="101">
        <v>11</v>
      </c>
      <c r="AR130" s="101">
        <v>10</v>
      </c>
      <c r="AS130">
        <v>1</v>
      </c>
      <c r="AT130">
        <v>1</v>
      </c>
      <c r="AU130">
        <v>0</v>
      </c>
      <c r="AV130" s="119">
        <v>10</v>
      </c>
      <c r="AW130" s="101">
        <f>($F$128-N130)/$F$128</f>
        <v>1</v>
      </c>
      <c r="AY130" s="101">
        <f>($G$128-AN130)/$G$128</f>
        <v>0.93333333333333335</v>
      </c>
      <c r="AZ130" s="101">
        <f>AR130/AQ130</f>
        <v>0.90909090909090906</v>
      </c>
      <c r="BA130" s="101">
        <f>AT130/AS130</f>
        <v>1</v>
      </c>
      <c r="BB130" s="85">
        <f>(AW130+AY130+AZ130+BA130)/4</f>
        <v>0.96060606060606057</v>
      </c>
      <c r="BC130" s="13">
        <f>AP130/$H$128</f>
        <v>0.75</v>
      </c>
      <c r="BD130" s="118">
        <f>AV130/AP130</f>
        <v>0.83333333333333337</v>
      </c>
      <c r="BE130" s="13">
        <f>AO130/AP130</f>
        <v>25.25</v>
      </c>
      <c r="BF130" s="13">
        <f>AT130/$H$128</f>
        <v>6.25E-2</v>
      </c>
      <c r="BG130" s="13">
        <f>AR130/$H$128</f>
        <v>0.625</v>
      </c>
      <c r="BQ130" t="str">
        <f t="shared" ref="BQ130:BQ132" si="21">_xlfn.CONCAT($C$128," &amp; ",C130," &amp; ",Q130," &amp; ",R130," &amp; ",S130," &amp; ",W130," &amp; ",X130," &amp; ",Y130," &amp; ",AC130," &amp; ",AD130," &amp; ",AE130," &amp; ",AG130," &amp; ",AH130," &amp; ",AI130," &amp; ",AJ130, " \\ \hline")</f>
        <v>9-2 &amp;  &amp; 0.75 &amp; 0.771428571428571 &amp; 0.76056338028169 &amp; 0.533333333333333 &amp; 0.727272727272727 &amp; 0.615384615384615 &amp; 0.757575757575758 &amp; 0.78125 &amp; 0.769230769230769 &amp; 3 &amp; 3 &amp; 0.1875 &amp; 1 \\ \hline</v>
      </c>
    </row>
    <row r="131" spans="1:69" ht="16">
      <c r="A131" t="s">
        <v>307</v>
      </c>
      <c r="C131" s="310"/>
      <c r="L131" s="48" t="s">
        <v>612</v>
      </c>
      <c r="M131" s="77"/>
      <c r="O131" s="81">
        <f>P131-7</f>
        <v>28</v>
      </c>
      <c r="P131" s="81">
        <f>$F$128-1</f>
        <v>35</v>
      </c>
      <c r="Q131" s="129">
        <f>O131/$F$128</f>
        <v>0.77777777777777779</v>
      </c>
      <c r="R131" s="129">
        <f>O131/P131</f>
        <v>0.8</v>
      </c>
      <c r="S131" s="127">
        <f>2*(Q131*R131)/(Q131+R131)</f>
        <v>0.78873239436619713</v>
      </c>
      <c r="U131" s="81">
        <f>V131-3</f>
        <v>9</v>
      </c>
      <c r="V131" s="81">
        <f>$G$128-3</f>
        <v>12</v>
      </c>
      <c r="W131" s="129">
        <f>U131/$G$128</f>
        <v>0.6</v>
      </c>
      <c r="X131" s="129">
        <f>U131/V131</f>
        <v>0.75</v>
      </c>
      <c r="Y131" s="127">
        <f>2*(W131*X131)/(W131+X131)</f>
        <v>0.66666666666666652</v>
      </c>
      <c r="AA131" s="81">
        <f>AB131-3</f>
        <v>29</v>
      </c>
      <c r="AB131" s="81">
        <f>$I$128-1</f>
        <v>32</v>
      </c>
      <c r="AC131" s="129">
        <f>AA131/$I$128</f>
        <v>0.87878787878787878</v>
      </c>
      <c r="AD131" s="129">
        <f>AA131/AB131</f>
        <v>0.90625</v>
      </c>
      <c r="AE131" s="127">
        <f>2*(AC131*AD131)/(AC131+AD131)</f>
        <v>0.89230769230769225</v>
      </c>
      <c r="AG131">
        <f>AH131-0</f>
        <v>12</v>
      </c>
      <c r="AH131">
        <v>12</v>
      </c>
      <c r="AI131" s="127">
        <f>AG131/$H$128</f>
        <v>0.75</v>
      </c>
      <c r="AJ131" s="127">
        <f>AG131/AH131</f>
        <v>1</v>
      </c>
      <c r="AM131" s="122">
        <v>4</v>
      </c>
      <c r="AN131" s="101">
        <v>4</v>
      </c>
      <c r="AO131">
        <v>340</v>
      </c>
      <c r="AP131">
        <v>15</v>
      </c>
      <c r="AQ131" s="101">
        <v>15</v>
      </c>
      <c r="AR131" s="101">
        <v>11</v>
      </c>
      <c r="AS131">
        <v>0</v>
      </c>
      <c r="AT131">
        <v>0</v>
      </c>
      <c r="AU131">
        <v>0</v>
      </c>
      <c r="AV131" s="119">
        <v>11</v>
      </c>
      <c r="AW131" s="101">
        <f>($F$128-N131)/$F$128</f>
        <v>1</v>
      </c>
      <c r="AY131" s="101">
        <f>($G$128-AN131)/$G$128</f>
        <v>0.73333333333333328</v>
      </c>
      <c r="AZ131" s="101">
        <f>AR131/AQ131</f>
        <v>0.73333333333333328</v>
      </c>
      <c r="BA131" s="101">
        <v>0</v>
      </c>
      <c r="BB131" s="85">
        <f>(AW131+AY131+AZ131+BA131)/4</f>
        <v>0.6166666666666667</v>
      </c>
      <c r="BC131" s="13">
        <f>AP131/$H$128</f>
        <v>0.9375</v>
      </c>
      <c r="BD131" s="118">
        <f>AV131/AP131</f>
        <v>0.73333333333333328</v>
      </c>
      <c r="BE131" s="13">
        <f>AO131/AP131</f>
        <v>22.666666666666668</v>
      </c>
      <c r="BF131" s="13">
        <f>AT131/$H$128</f>
        <v>0</v>
      </c>
      <c r="BG131" s="13">
        <f>AR131/$H$128</f>
        <v>0.6875</v>
      </c>
      <c r="BQ131" t="str">
        <f t="shared" si="21"/>
        <v>9-2 &amp;  &amp; 0.777777777777778 &amp; 0.8 &amp; 0.788732394366197 &amp; 0.6 &amp; 0.75 &amp; 0.666666666666667 &amp; 0.878787878787879 &amp; 0.90625 &amp; 0.892307692307692 &amp; 12 &amp; 12 &amp; 0.75 &amp; 1 \\ \hline</v>
      </c>
    </row>
    <row r="132" spans="1:69" ht="16">
      <c r="A132" t="s">
        <v>308</v>
      </c>
      <c r="C132" s="310"/>
      <c r="L132" s="48" t="s">
        <v>613</v>
      </c>
      <c r="M132" s="77"/>
      <c r="O132" s="81">
        <f>P132-2</f>
        <v>31</v>
      </c>
      <c r="P132" s="81">
        <f>$F$128-3</f>
        <v>33</v>
      </c>
      <c r="Q132" s="129">
        <f>O132/$F$128</f>
        <v>0.86111111111111116</v>
      </c>
      <c r="R132" s="129">
        <f>O132/P132</f>
        <v>0.93939393939393945</v>
      </c>
      <c r="S132" s="127">
        <f>2*(Q132*R132)/(Q132+R132)</f>
        <v>0.89855072463768126</v>
      </c>
      <c r="U132" s="81">
        <f>V132-1</f>
        <v>14</v>
      </c>
      <c r="V132" s="81">
        <f>$G$128</f>
        <v>15</v>
      </c>
      <c r="W132" s="129">
        <f>U132/$G$128</f>
        <v>0.93333333333333335</v>
      </c>
      <c r="X132" s="129">
        <f>U132/V132</f>
        <v>0.93333333333333335</v>
      </c>
      <c r="Y132" s="127">
        <f>2*(W132*X132)/(W132+X132)</f>
        <v>0.93333333333333335</v>
      </c>
      <c r="AA132" s="81">
        <f>AB132-9</f>
        <v>21</v>
      </c>
      <c r="AB132" s="81">
        <f>$I$128-3</f>
        <v>30</v>
      </c>
      <c r="AC132" s="129">
        <f>AA132/$I$128</f>
        <v>0.63636363636363635</v>
      </c>
      <c r="AD132" s="129">
        <f>AA132/AB132</f>
        <v>0.7</v>
      </c>
      <c r="AE132" s="127">
        <f>2*(AC132*AD132)/(AC132+AD132)</f>
        <v>0.66666666666666663</v>
      </c>
      <c r="AG132">
        <f>AH132-1</f>
        <v>11</v>
      </c>
      <c r="AH132">
        <v>12</v>
      </c>
      <c r="AI132" s="127">
        <f>AG132/$H$128</f>
        <v>0.6875</v>
      </c>
      <c r="AJ132" s="127">
        <f>AG132/AH132</f>
        <v>0.91666666666666663</v>
      </c>
      <c r="AM132" s="122">
        <v>4</v>
      </c>
      <c r="AN132" s="101">
        <v>4</v>
      </c>
      <c r="AO132">
        <v>331</v>
      </c>
      <c r="AP132">
        <v>13</v>
      </c>
      <c r="AQ132" s="101">
        <v>13</v>
      </c>
      <c r="AR132" s="101">
        <v>10</v>
      </c>
      <c r="AS132">
        <v>0</v>
      </c>
      <c r="AT132">
        <v>0</v>
      </c>
      <c r="AU132">
        <v>0</v>
      </c>
      <c r="AV132" s="119">
        <v>10</v>
      </c>
      <c r="AW132" s="101">
        <f>($F$128-N132)/$F$128</f>
        <v>1</v>
      </c>
      <c r="AY132" s="101">
        <f>($G$128-AN132)/$G$128</f>
        <v>0.73333333333333328</v>
      </c>
      <c r="AZ132" s="101">
        <f>AR132/AQ132</f>
        <v>0.76923076923076927</v>
      </c>
      <c r="BA132" s="101">
        <v>0</v>
      </c>
      <c r="BB132" s="85">
        <f>(AW132+AY132+AZ132+BA132)/4</f>
        <v>0.62564102564102564</v>
      </c>
      <c r="BC132" s="13">
        <f>AP132/$H$128</f>
        <v>0.8125</v>
      </c>
      <c r="BD132" s="118">
        <f>AV132/AP132</f>
        <v>0.76923076923076927</v>
      </c>
      <c r="BE132" s="13">
        <f>AO132/AP132</f>
        <v>25.46153846153846</v>
      </c>
      <c r="BF132" s="13">
        <f>AT132/$H$128</f>
        <v>0</v>
      </c>
      <c r="BG132" s="13">
        <f>AR132/$H$128</f>
        <v>0.625</v>
      </c>
      <c r="BQ132" t="str">
        <f t="shared" si="21"/>
        <v>9-2 &amp;  &amp; 0.861111111111111 &amp; 0.939393939393939 &amp; 0.898550724637681 &amp; 0.933333333333333 &amp; 0.933333333333333 &amp; 0.933333333333333 &amp; 0.636363636363636 &amp; 0.7 &amp; 0.666666666666667 &amp; 11 &amp; 12 &amp; 0.6875 &amp; 0.916666666666667 \\ \hline</v>
      </c>
    </row>
    <row r="133" spans="1:69">
      <c r="C133" s="98"/>
      <c r="L133" s="176" t="s">
        <v>149</v>
      </c>
      <c r="Q133" s="129"/>
      <c r="R133" s="129"/>
      <c r="S133" s="127"/>
      <c r="W133" s="129"/>
      <c r="X133" s="129"/>
      <c r="Y133" s="127"/>
      <c r="AC133" s="129"/>
      <c r="AD133" s="129"/>
      <c r="AE133" s="127"/>
      <c r="AG133"/>
      <c r="AH133"/>
      <c r="AI133" s="127"/>
      <c r="AJ133" s="131"/>
    </row>
    <row r="134" spans="1:69" s="75" customFormat="1">
      <c r="A134" s="75" t="s">
        <v>328</v>
      </c>
      <c r="B134" s="94">
        <v>45179</v>
      </c>
      <c r="C134" s="93" t="s">
        <v>137</v>
      </c>
      <c r="D134" s="78">
        <f>VLOOKUP($C$134,Overview!$Q$2:$AS$64,23,FALSE)</f>
        <v>1.1042071083576701</v>
      </c>
      <c r="E134" s="78" t="str">
        <f>VLOOKUP($C$134,Overview!$Q$2:$AS$64,24,FALSE)</f>
        <v>medium</v>
      </c>
      <c r="F134" s="75">
        <f>VLOOKUP(C134,Overview!$Q$2:$AS$64,13,FALSE)</f>
        <v>48</v>
      </c>
      <c r="G134" s="75">
        <f>VLOOKUP(C134,Overview!$Q$2:$AS$64,16,FALSE)</f>
        <v>12</v>
      </c>
      <c r="H134" s="75">
        <f>VLOOKUP(C134,Overview!$Q$2:$AS$64,18,FALSE)</f>
        <v>22</v>
      </c>
      <c r="I134" s="75">
        <f>VLOOKUP($C$134,Overview!$Q$2:$AS$64,19,FALSE)</f>
        <v>46</v>
      </c>
      <c r="K134" s="75" t="str">
        <f>VLOOKUP($C$134,Overview!$Q$2:$AS$64,5,FALSE)</f>
        <v>6-2, 3-8</v>
      </c>
      <c r="L134" s="96"/>
      <c r="N134" s="115"/>
      <c r="O134" s="97"/>
      <c r="P134" s="97"/>
      <c r="Q134" s="130"/>
      <c r="R134" s="130"/>
      <c r="S134" s="128"/>
      <c r="T134" s="115"/>
      <c r="U134" s="97"/>
      <c r="V134" s="97"/>
      <c r="W134" s="130"/>
      <c r="X134" s="130"/>
      <c r="Y134" s="128"/>
      <c r="Z134" s="115"/>
      <c r="AA134" s="97"/>
      <c r="AB134" s="97"/>
      <c r="AC134" s="130"/>
      <c r="AD134" s="130"/>
      <c r="AE134" s="128"/>
      <c r="AF134" s="115"/>
      <c r="AI134" s="128"/>
      <c r="AJ134" s="132"/>
      <c r="AK134" s="97"/>
      <c r="AL134" s="115"/>
      <c r="AM134" s="122"/>
      <c r="AN134" s="101"/>
      <c r="AQ134" s="101"/>
      <c r="AR134" s="101"/>
      <c r="AV134" s="119"/>
      <c r="AW134" s="101"/>
      <c r="AX134" s="101"/>
      <c r="AY134" s="101"/>
      <c r="AZ134" s="101"/>
      <c r="BA134" s="101"/>
      <c r="BB134" s="83"/>
      <c r="BD134" s="101"/>
      <c r="BQ134"/>
    </row>
    <row r="135" spans="1:69" ht="16">
      <c r="A135" t="s">
        <v>305</v>
      </c>
      <c r="C135" s="310"/>
      <c r="L135" s="48" t="s">
        <v>610</v>
      </c>
      <c r="M135" s="77"/>
      <c r="O135" s="81">
        <f>P135-1</f>
        <v>20</v>
      </c>
      <c r="P135" s="81">
        <f>$F$134-27</f>
        <v>21</v>
      </c>
      <c r="Q135" s="129">
        <f>O135/$F$134</f>
        <v>0.41666666666666669</v>
      </c>
      <c r="R135" s="129">
        <f>O135/P135</f>
        <v>0.95238095238095233</v>
      </c>
      <c r="S135" s="127">
        <f>2*(Q135*R135)/(Q135+R135)</f>
        <v>0.57971014492753614</v>
      </c>
      <c r="U135" s="81">
        <f>V135-1</f>
        <v>7</v>
      </c>
      <c r="V135" s="81">
        <f>$G$134-4</f>
        <v>8</v>
      </c>
      <c r="W135" s="129">
        <f>U135/$G$134</f>
        <v>0.58333333333333337</v>
      </c>
      <c r="X135" s="129">
        <f>U135/V135</f>
        <v>0.875</v>
      </c>
      <c r="Y135" s="127">
        <f>2*(W135*X135)/(W135+X135)</f>
        <v>0.70000000000000007</v>
      </c>
      <c r="AA135" s="81">
        <f>AB135-7</f>
        <v>12</v>
      </c>
      <c r="AB135" s="81">
        <f>I134-27</f>
        <v>19</v>
      </c>
      <c r="AC135" s="129">
        <f>AA135/$I$134</f>
        <v>0.2608695652173913</v>
      </c>
      <c r="AD135" s="129">
        <f>AA135/AB135</f>
        <v>0.63157894736842102</v>
      </c>
      <c r="AE135" s="127">
        <f>2*(AC135*AD135)/(AC135+AD135)</f>
        <v>0.3692307692307692</v>
      </c>
      <c r="AG135">
        <f>AH135-0</f>
        <v>2</v>
      </c>
      <c r="AH135">
        <v>2</v>
      </c>
      <c r="AI135" s="127">
        <f>AG135/$H$134</f>
        <v>9.0909090909090912E-2</v>
      </c>
      <c r="AJ135" s="127">
        <f>AG135/AH135</f>
        <v>1</v>
      </c>
      <c r="AM135" s="122">
        <v>11</v>
      </c>
      <c r="AN135" s="101">
        <v>6</v>
      </c>
      <c r="AO135">
        <v>277</v>
      </c>
      <c r="AP135">
        <v>12</v>
      </c>
      <c r="AQ135" s="101">
        <v>12</v>
      </c>
      <c r="AR135" s="101">
        <v>7</v>
      </c>
      <c r="AS135">
        <v>0</v>
      </c>
      <c r="AT135">
        <v>0</v>
      </c>
      <c r="AU135">
        <v>0</v>
      </c>
      <c r="AV135" s="119">
        <v>10</v>
      </c>
      <c r="AW135" s="101">
        <f>($F$134-N135)/$F$134</f>
        <v>1</v>
      </c>
      <c r="AY135" s="101">
        <f>($G$134-AN135)/$G$134</f>
        <v>0.5</v>
      </c>
      <c r="AZ135" s="101">
        <f>AR135/AQ135</f>
        <v>0.58333333333333337</v>
      </c>
      <c r="BA135" s="101">
        <v>0</v>
      </c>
      <c r="BB135" s="85">
        <f>(AW135+AY135+AZ135+BA135)/4</f>
        <v>0.52083333333333337</v>
      </c>
      <c r="BC135" s="13">
        <f>AP135/$H$134</f>
        <v>0.54545454545454541</v>
      </c>
      <c r="BD135" s="118">
        <f>AV135/AP135</f>
        <v>0.83333333333333337</v>
      </c>
      <c r="BE135" s="13">
        <f>AO135/AP135</f>
        <v>23.083333333333332</v>
      </c>
      <c r="BF135" s="13">
        <f>AT135/$H$134</f>
        <v>0</v>
      </c>
      <c r="BG135" s="13">
        <f>AR135/$H$134</f>
        <v>0.31818181818181818</v>
      </c>
      <c r="BQ135" t="str">
        <f>_xlfn.CONCAT($C$134," &amp; ",C135," &amp; ",Q135," &amp; ",R135," &amp; ",S135," &amp; ",W135," &amp; ",X135," &amp; ",Y135," &amp; ",AC135," &amp; ",AD135," &amp; ",AE135," &amp; ",AG135," &amp; ",AH135," &amp; ",AI135," &amp; ",AJ135, " \\ \hline")</f>
        <v>1-2 &amp;  &amp; 0.416666666666667 &amp; 0.952380952380952 &amp; 0.579710144927536 &amp; 0.583333333333333 &amp; 0.875 &amp; 0.7 &amp; 0.260869565217391 &amp; 0.631578947368421 &amp; 0.369230769230769 &amp; 2 &amp; 2 &amp; 0.0909090909090909 &amp; 1 \\ \hline</v>
      </c>
    </row>
    <row r="136" spans="1:69" ht="16">
      <c r="A136" t="s">
        <v>306</v>
      </c>
      <c r="C136" s="310"/>
      <c r="L136" s="48" t="s">
        <v>611</v>
      </c>
      <c r="M136" s="77"/>
      <c r="O136" s="81">
        <f>P136-3</f>
        <v>25</v>
      </c>
      <c r="P136" s="81">
        <f>$F$134-20</f>
        <v>28</v>
      </c>
      <c r="Q136" s="129">
        <f>O136/$F$134</f>
        <v>0.52083333333333337</v>
      </c>
      <c r="R136" s="129">
        <f>O136/P136</f>
        <v>0.8928571428571429</v>
      </c>
      <c r="S136" s="127">
        <f>2*(Q136*R136)/(Q136+R136)</f>
        <v>0.65789473684210531</v>
      </c>
      <c r="U136" s="81">
        <f>V136-2</f>
        <v>8</v>
      </c>
      <c r="V136" s="81">
        <f>$G$134-2</f>
        <v>10</v>
      </c>
      <c r="W136" s="129">
        <f>U136/$G$134</f>
        <v>0.66666666666666663</v>
      </c>
      <c r="X136" s="129">
        <f>U136/V136</f>
        <v>0.8</v>
      </c>
      <c r="Y136" s="127">
        <f>2*(W136*X136)/(W136+X136)</f>
        <v>0.72727272727272718</v>
      </c>
      <c r="AA136" s="81">
        <f>AB136-7</f>
        <v>19</v>
      </c>
      <c r="AB136" s="81">
        <f>$I$134-20</f>
        <v>26</v>
      </c>
      <c r="AC136" s="129">
        <f>AA136/$I$134</f>
        <v>0.41304347826086957</v>
      </c>
      <c r="AD136" s="129">
        <f>AA136/AB136</f>
        <v>0.73076923076923073</v>
      </c>
      <c r="AE136" s="127">
        <f>2*(AC136*AD136)/(AC136+AD136)</f>
        <v>0.52777777777777779</v>
      </c>
      <c r="AG136">
        <f>AH136-0</f>
        <v>2</v>
      </c>
      <c r="AH136">
        <v>2</v>
      </c>
      <c r="AI136" s="127">
        <f>AG136/$H$134</f>
        <v>9.0909090909090912E-2</v>
      </c>
      <c r="AJ136" s="127">
        <f>AG136/AH136</f>
        <v>1</v>
      </c>
      <c r="AM136" s="122">
        <v>10</v>
      </c>
      <c r="AN136" s="101">
        <v>5</v>
      </c>
      <c r="AO136">
        <v>298</v>
      </c>
      <c r="AP136" s="107">
        <v>15</v>
      </c>
      <c r="AQ136" s="101">
        <v>12</v>
      </c>
      <c r="AR136" s="101">
        <v>6</v>
      </c>
      <c r="AS136">
        <v>1</v>
      </c>
      <c r="AT136">
        <v>1</v>
      </c>
      <c r="AU136">
        <v>2</v>
      </c>
      <c r="AV136" s="119">
        <v>9</v>
      </c>
      <c r="AW136" s="101">
        <f>($F$134-N136)/$F$134</f>
        <v>1</v>
      </c>
      <c r="AY136" s="101">
        <f>($G$134-AN136)/$G$134</f>
        <v>0.58333333333333337</v>
      </c>
      <c r="AZ136" s="101">
        <f>AR136/AQ136</f>
        <v>0.5</v>
      </c>
      <c r="BA136" s="101">
        <f>AT136/AS136</f>
        <v>1</v>
      </c>
      <c r="BB136" s="85">
        <f>(AW136+AY136+AZ136+BA136)/4</f>
        <v>0.77083333333333337</v>
      </c>
      <c r="BC136" s="13">
        <f>AP136/$H$134</f>
        <v>0.68181818181818177</v>
      </c>
      <c r="BD136" s="118">
        <f>AV136/AP136</f>
        <v>0.6</v>
      </c>
      <c r="BE136" s="13">
        <f>AO136/AP136</f>
        <v>19.866666666666667</v>
      </c>
      <c r="BF136" s="13">
        <f>AT136/$H$134</f>
        <v>4.5454545454545456E-2</v>
      </c>
      <c r="BG136" s="13">
        <f>AR136/$H$134</f>
        <v>0.27272727272727271</v>
      </c>
      <c r="BQ136" t="str">
        <f t="shared" ref="BQ136:BQ138" si="22">_xlfn.CONCAT($C$134," &amp; ",C136," &amp; ",Q136," &amp; ",R136," &amp; ",S136," &amp; ",W136," &amp; ",X136," &amp; ",Y136," &amp; ",AC136," &amp; ",AD136," &amp; ",AE136," &amp; ",AG136," &amp; ",AH136," &amp; ",AI136," &amp; ",AJ136, " \\ \hline")</f>
        <v>1-2 &amp;  &amp; 0.520833333333333 &amp; 0.892857142857143 &amp; 0.657894736842105 &amp; 0.666666666666667 &amp; 0.8 &amp; 0.727272727272727 &amp; 0.41304347826087 &amp; 0.730769230769231 &amp; 0.527777777777778 &amp; 2 &amp; 2 &amp; 0.0909090909090909 &amp; 1 \\ \hline</v>
      </c>
    </row>
    <row r="137" spans="1:69" ht="16">
      <c r="A137" t="s">
        <v>307</v>
      </c>
      <c r="C137" s="310"/>
      <c r="L137" s="48" t="s">
        <v>612</v>
      </c>
      <c r="M137" s="77"/>
      <c r="O137" s="81">
        <f>P137-3</f>
        <v>25</v>
      </c>
      <c r="P137" s="81">
        <f>$F$134-20</f>
        <v>28</v>
      </c>
      <c r="Q137" s="129">
        <f>O137/$F$134</f>
        <v>0.52083333333333337</v>
      </c>
      <c r="R137" s="129">
        <f>O137/P137</f>
        <v>0.8928571428571429</v>
      </c>
      <c r="S137" s="127">
        <f>2*(Q137*R137)/(Q137+R137)</f>
        <v>0.65789473684210531</v>
      </c>
      <c r="U137" s="81">
        <f>V137-1</f>
        <v>9</v>
      </c>
      <c r="V137" s="81">
        <f>$G$134-2</f>
        <v>10</v>
      </c>
      <c r="W137" s="129">
        <f>U137/$G$134</f>
        <v>0.75</v>
      </c>
      <c r="X137" s="129">
        <f>U137/V137</f>
        <v>0.9</v>
      </c>
      <c r="Y137" s="127">
        <f>2*(W137*X137)/(W137+X137)</f>
        <v>0.81818181818181823</v>
      </c>
      <c r="AA137" s="81">
        <f>AB137-7</f>
        <v>19</v>
      </c>
      <c r="AB137" s="81">
        <f>$I$134-20</f>
        <v>26</v>
      </c>
      <c r="AC137" s="129">
        <f>AA137/$I$134</f>
        <v>0.41304347826086957</v>
      </c>
      <c r="AD137" s="129">
        <f>AA137/AB137</f>
        <v>0.73076923076923073</v>
      </c>
      <c r="AE137" s="127">
        <f>2*(AC137*AD137)/(AC137+AD137)</f>
        <v>0.52777777777777779</v>
      </c>
      <c r="AG137">
        <f>AH137-0</f>
        <v>14</v>
      </c>
      <c r="AH137">
        <v>14</v>
      </c>
      <c r="AI137" s="127">
        <f>AG137/$H$134</f>
        <v>0.63636363636363635</v>
      </c>
      <c r="AJ137" s="127">
        <f>AG137/AH137</f>
        <v>1</v>
      </c>
      <c r="AM137" s="122">
        <v>11</v>
      </c>
      <c r="AN137" s="101">
        <v>7</v>
      </c>
      <c r="AO137">
        <v>331</v>
      </c>
      <c r="AP137">
        <v>17</v>
      </c>
      <c r="AQ137" s="101">
        <v>14</v>
      </c>
      <c r="AR137" s="101">
        <v>9</v>
      </c>
      <c r="AS137">
        <v>3</v>
      </c>
      <c r="AT137">
        <v>2</v>
      </c>
      <c r="AU137">
        <v>0</v>
      </c>
      <c r="AV137" s="119">
        <v>9</v>
      </c>
      <c r="AW137" s="101">
        <f>($F$134-N137)/$F$134</f>
        <v>1</v>
      </c>
      <c r="AY137" s="101">
        <f>($G$134-AN137)/$G$134</f>
        <v>0.41666666666666669</v>
      </c>
      <c r="AZ137" s="101">
        <f>AR137/AQ137</f>
        <v>0.6428571428571429</v>
      </c>
      <c r="BA137" s="101">
        <f>AT137/AS137</f>
        <v>0.66666666666666663</v>
      </c>
      <c r="BB137" s="85">
        <f>(AW137+AY137+AZ137+BA137)/4</f>
        <v>0.68154761904761907</v>
      </c>
      <c r="BC137" s="13">
        <f>AP137/$H$134</f>
        <v>0.77272727272727271</v>
      </c>
      <c r="BD137" s="118">
        <f>AV137/AP137</f>
        <v>0.52941176470588236</v>
      </c>
      <c r="BE137" s="13">
        <f>AO137/AP137</f>
        <v>19.470588235294116</v>
      </c>
      <c r="BF137" s="13">
        <f>AT137/$H$134</f>
        <v>9.0909090909090912E-2</v>
      </c>
      <c r="BG137" s="13">
        <f>AR137/$H$134</f>
        <v>0.40909090909090912</v>
      </c>
      <c r="BQ137" t="str">
        <f t="shared" si="22"/>
        <v>1-2 &amp;  &amp; 0.520833333333333 &amp; 0.892857142857143 &amp; 0.657894736842105 &amp; 0.75 &amp; 0.9 &amp; 0.818181818181818 &amp; 0.41304347826087 &amp; 0.730769230769231 &amp; 0.527777777777778 &amp; 14 &amp; 14 &amp; 0.636363636363636 &amp; 1 \\ \hline</v>
      </c>
    </row>
    <row r="138" spans="1:69" ht="16">
      <c r="A138" t="s">
        <v>308</v>
      </c>
      <c r="C138" s="310"/>
      <c r="L138" s="48" t="s">
        <v>613</v>
      </c>
      <c r="M138" s="77"/>
      <c r="O138" s="81">
        <f>P138-3</f>
        <v>27</v>
      </c>
      <c r="P138" s="81">
        <f>$F$134-18</f>
        <v>30</v>
      </c>
      <c r="Q138" s="129">
        <f>O138/$F$134</f>
        <v>0.5625</v>
      </c>
      <c r="R138" s="129">
        <f>O138/P138</f>
        <v>0.9</v>
      </c>
      <c r="S138" s="127">
        <f>2*(Q138*R138)/(Q138+R138)</f>
        <v>0.69230769230769229</v>
      </c>
      <c r="U138" s="81">
        <f>V138-2</f>
        <v>8</v>
      </c>
      <c r="V138" s="81">
        <f>$G$134-2</f>
        <v>10</v>
      </c>
      <c r="W138" s="129">
        <f>U138/$G$134</f>
        <v>0.66666666666666663</v>
      </c>
      <c r="X138" s="129">
        <f>U138/V138</f>
        <v>0.8</v>
      </c>
      <c r="Y138" s="127">
        <f>2*(W138*X138)/(W138+X138)</f>
        <v>0.72727272727272718</v>
      </c>
      <c r="AA138" s="81">
        <f>AB138-7</f>
        <v>21</v>
      </c>
      <c r="AB138" s="81">
        <f>$I$134-18</f>
        <v>28</v>
      </c>
      <c r="AC138" s="129">
        <f>AA138/$I$134</f>
        <v>0.45652173913043476</v>
      </c>
      <c r="AD138" s="129">
        <f>AA138/AB138</f>
        <v>0.75</v>
      </c>
      <c r="AE138" s="127">
        <f>2*(AC138*AD138)/(AC138+AD138)</f>
        <v>0.56756756756756754</v>
      </c>
      <c r="AG138">
        <v>1</v>
      </c>
      <c r="AH138">
        <v>1</v>
      </c>
      <c r="AI138" s="127">
        <f>AG138/$H$134</f>
        <v>4.5454545454545456E-2</v>
      </c>
      <c r="AJ138" s="127">
        <f>AG138/AH138</f>
        <v>1</v>
      </c>
      <c r="AM138" s="122">
        <v>11</v>
      </c>
      <c r="AN138" s="101">
        <v>5</v>
      </c>
      <c r="AO138">
        <v>321</v>
      </c>
      <c r="AP138">
        <v>13</v>
      </c>
      <c r="AQ138" s="101">
        <v>13</v>
      </c>
      <c r="AR138" s="101">
        <v>10</v>
      </c>
      <c r="AS138">
        <v>0</v>
      </c>
      <c r="AT138">
        <v>0</v>
      </c>
      <c r="AU138">
        <v>0</v>
      </c>
      <c r="AV138" s="119">
        <v>10</v>
      </c>
      <c r="AW138" s="101">
        <f>($F$134-N138)/$F$134</f>
        <v>1</v>
      </c>
      <c r="AY138" s="101">
        <f>($G$134-AN138)/$G$134</f>
        <v>0.58333333333333337</v>
      </c>
      <c r="AZ138" s="101">
        <f>AR138/AQ138</f>
        <v>0.76923076923076927</v>
      </c>
      <c r="BA138" s="101">
        <v>0</v>
      </c>
      <c r="BB138" s="85">
        <f>(AW138+AY138+AZ138+BA138)/4</f>
        <v>0.58814102564102566</v>
      </c>
      <c r="BC138" s="13">
        <f>AP138/$H$134</f>
        <v>0.59090909090909094</v>
      </c>
      <c r="BD138" s="118">
        <f>AV138/AP138</f>
        <v>0.76923076923076927</v>
      </c>
      <c r="BE138" s="13">
        <f>AO138/AP138</f>
        <v>24.692307692307693</v>
      </c>
      <c r="BF138" s="13">
        <f>AT138/$H$134</f>
        <v>0</v>
      </c>
      <c r="BG138" s="13">
        <f>AR138/$H$134</f>
        <v>0.45454545454545453</v>
      </c>
      <c r="BQ138" t="str">
        <f t="shared" si="22"/>
        <v>1-2 &amp;  &amp; 0.5625 &amp; 0.9 &amp; 0.692307692307692 &amp; 0.666666666666667 &amp; 0.8 &amp; 0.727272727272727 &amp; 0.456521739130435 &amp; 0.75 &amp; 0.567567567567568 &amp; 1 &amp; 1 &amp; 0.0454545454545455 &amp; 1 \\ \hline</v>
      </c>
    </row>
    <row r="139" spans="1:69">
      <c r="A139" s="107" t="s">
        <v>309</v>
      </c>
      <c r="C139" s="98"/>
      <c r="L139" s="164" t="s">
        <v>642</v>
      </c>
      <c r="Q139" s="129"/>
      <c r="R139" s="129"/>
      <c r="S139" s="127"/>
      <c r="W139" s="129"/>
      <c r="X139" s="129"/>
      <c r="Y139" s="127"/>
      <c r="AC139" s="129"/>
      <c r="AD139" s="129"/>
      <c r="AE139" s="127"/>
      <c r="AG139"/>
      <c r="AH139"/>
      <c r="AI139" s="127"/>
      <c r="AJ139" s="131"/>
    </row>
    <row r="140" spans="1:69" s="75" customFormat="1">
      <c r="A140" s="75" t="s">
        <v>329</v>
      </c>
      <c r="B140" s="94">
        <v>45179</v>
      </c>
      <c r="C140" s="93" t="s">
        <v>139</v>
      </c>
      <c r="D140" s="78">
        <f>VLOOKUP($C$140,Overview!$Q$2:$AS$64,23,FALSE)</f>
        <v>1.1679763185797205</v>
      </c>
      <c r="E140" s="78" t="str">
        <f>VLOOKUP($C$140,Overview!$Q$2:$AS$64,24,FALSE)</f>
        <v>medium</v>
      </c>
      <c r="F140" s="75">
        <f>VLOOKUP(C140,Overview!$Q$2:$AS$64,13,FALSE)</f>
        <v>47</v>
      </c>
      <c r="G140" s="75">
        <f>VLOOKUP(C140,Overview!$Q$2:$AS$64,16,FALSE)</f>
        <v>13</v>
      </c>
      <c r="H140" s="75">
        <f>VLOOKUP(C140,Overview!$Q$2:$AS$64,18,FALSE)</f>
        <v>23</v>
      </c>
      <c r="I140" s="75">
        <f>VLOOKUP($C$140,Overview!$Q$2:$AS$64,19,FALSE)</f>
        <v>46</v>
      </c>
      <c r="K140" s="75" t="str">
        <f>VLOOKUP($C$140,Overview!$Q$2:$AS$64,5,FALSE)</f>
        <v>5-2, 3-8</v>
      </c>
      <c r="L140" s="96"/>
      <c r="N140" s="115"/>
      <c r="O140" s="97"/>
      <c r="P140" s="97"/>
      <c r="Q140" s="130"/>
      <c r="R140" s="130"/>
      <c r="S140" s="128"/>
      <c r="T140" s="115"/>
      <c r="U140" s="97"/>
      <c r="V140" s="97"/>
      <c r="W140" s="130"/>
      <c r="X140" s="130"/>
      <c r="Y140" s="128"/>
      <c r="Z140" s="115"/>
      <c r="AA140" s="97"/>
      <c r="AB140" s="97"/>
      <c r="AC140" s="130"/>
      <c r="AD140" s="130"/>
      <c r="AE140" s="128"/>
      <c r="AF140" s="115"/>
      <c r="AI140" s="128"/>
      <c r="AJ140" s="132"/>
      <c r="AK140" s="97"/>
      <c r="AL140" s="115"/>
      <c r="AM140" s="122"/>
      <c r="AN140" s="101"/>
      <c r="AQ140" s="101"/>
      <c r="AR140" s="101"/>
      <c r="AV140" s="119"/>
      <c r="AW140" s="101"/>
      <c r="AX140" s="101"/>
      <c r="AY140" s="101"/>
      <c r="AZ140" s="101"/>
      <c r="BA140" s="101"/>
      <c r="BB140" s="83"/>
      <c r="BD140" s="101"/>
      <c r="BQ140"/>
    </row>
    <row r="141" spans="1:69" ht="16">
      <c r="A141" t="s">
        <v>305</v>
      </c>
      <c r="C141" s="310"/>
      <c r="L141" s="48" t="s">
        <v>610</v>
      </c>
      <c r="M141" s="77"/>
      <c r="O141" s="81">
        <f>P141-5</f>
        <v>39</v>
      </c>
      <c r="P141" s="81">
        <f>$F$140-3</f>
        <v>44</v>
      </c>
      <c r="Q141" s="129">
        <f>O141/$F$140</f>
        <v>0.82978723404255317</v>
      </c>
      <c r="R141" s="129">
        <f>O141/P141</f>
        <v>0.88636363636363635</v>
      </c>
      <c r="S141" s="127">
        <f>2*(Q141*R141)/(Q141+R141)</f>
        <v>0.8571428571428571</v>
      </c>
      <c r="U141" s="81">
        <f>V141-3</f>
        <v>8</v>
      </c>
      <c r="V141" s="81">
        <f>$G$140-2</f>
        <v>11</v>
      </c>
      <c r="W141" s="129">
        <f>U141/$G$140</f>
        <v>0.61538461538461542</v>
      </c>
      <c r="X141" s="129">
        <f>U141/V141</f>
        <v>0.72727272727272729</v>
      </c>
      <c r="Y141" s="127">
        <f>2*(W141*X141)/(W141+X141)</f>
        <v>0.66666666666666674</v>
      </c>
      <c r="AA141" s="81">
        <f>AB141-2</f>
        <v>41</v>
      </c>
      <c r="AB141" s="81">
        <f>I140-3</f>
        <v>43</v>
      </c>
      <c r="AC141" s="129">
        <f>AA141/$I$140</f>
        <v>0.89130434782608692</v>
      </c>
      <c r="AD141" s="129">
        <f>AA141/AB141</f>
        <v>0.95348837209302328</v>
      </c>
      <c r="AE141" s="127">
        <f>2*(AC141*AD141)/(AC141+AD141)</f>
        <v>0.92134831460674171</v>
      </c>
      <c r="AG141">
        <f>AH141-0</f>
        <v>3</v>
      </c>
      <c r="AH141">
        <v>3</v>
      </c>
      <c r="AI141" s="127">
        <f>AG141/$H$140</f>
        <v>0.13043478260869565</v>
      </c>
      <c r="AJ141" s="127">
        <f>AG141/AH141</f>
        <v>1</v>
      </c>
      <c r="AM141" s="122">
        <v>2</v>
      </c>
      <c r="AN141" s="101">
        <v>2</v>
      </c>
      <c r="AO141">
        <v>393</v>
      </c>
      <c r="AP141">
        <v>22</v>
      </c>
      <c r="AQ141" s="101">
        <v>19</v>
      </c>
      <c r="AR141" s="101">
        <v>18</v>
      </c>
      <c r="AS141">
        <v>3</v>
      </c>
      <c r="AT141">
        <v>3</v>
      </c>
      <c r="AU141">
        <v>0</v>
      </c>
      <c r="AV141" s="119">
        <v>21</v>
      </c>
      <c r="AW141" s="101">
        <f>($F$140-N141)/$F$140</f>
        <v>1</v>
      </c>
      <c r="AY141" s="101">
        <f>($G$140-AN141)/$G$140</f>
        <v>0.84615384615384615</v>
      </c>
      <c r="AZ141" s="101">
        <f>AR141/AQ141</f>
        <v>0.94736842105263153</v>
      </c>
      <c r="BA141" s="101">
        <f>AT141/AS141</f>
        <v>1</v>
      </c>
      <c r="BB141" s="85">
        <f>(AW141+AY141+AZ141+BA141)/4</f>
        <v>0.94838056680161942</v>
      </c>
      <c r="BC141" s="13">
        <f>AP141/$H$140</f>
        <v>0.95652173913043481</v>
      </c>
      <c r="BD141" s="118">
        <f>AV141/AP141</f>
        <v>0.95454545454545459</v>
      </c>
      <c r="BE141" s="13">
        <f>AO141/AP141</f>
        <v>17.863636363636363</v>
      </c>
      <c r="BF141" s="13">
        <f>AT141/$H$140</f>
        <v>0.13043478260869565</v>
      </c>
      <c r="BG141" s="13">
        <f>AR141/$H$140</f>
        <v>0.78260869565217395</v>
      </c>
      <c r="BQ141" t="str">
        <f>_xlfn.CONCAT($C$140," &amp; ",C141," &amp; ",Q141," &amp; ",R141," &amp; ",S141," &amp; ",W141," &amp; ",X141," &amp; ",Y141," &amp; ",AC141," &amp; ",AD141," &amp; ",AE141," &amp; ",AG141," &amp; ",AH141," &amp; ",AI141," &amp; ",AJ141, " \\ \hline")</f>
        <v>1-4 &amp;  &amp; 0.829787234042553 &amp; 0.886363636363636 &amp; 0.857142857142857 &amp; 0.615384615384615 &amp; 0.727272727272727 &amp; 0.666666666666667 &amp; 0.891304347826087 &amp; 0.953488372093023 &amp; 0.921348314606742 &amp; 3 &amp; 3 &amp; 0.130434782608696 &amp; 1 \\ \hline</v>
      </c>
    </row>
    <row r="142" spans="1:69" ht="16">
      <c r="A142" t="s">
        <v>306</v>
      </c>
      <c r="C142" s="310"/>
      <c r="L142" s="48" t="s">
        <v>611</v>
      </c>
      <c r="M142" s="77"/>
      <c r="O142" s="81">
        <f>P142-0</f>
        <v>47</v>
      </c>
      <c r="P142" s="81">
        <f>$F$140-0</f>
        <v>47</v>
      </c>
      <c r="Q142" s="129">
        <f>O142/$F$140</f>
        <v>1</v>
      </c>
      <c r="R142" s="129">
        <f>O142/P142</f>
        <v>1</v>
      </c>
      <c r="S142" s="127">
        <f>2*(Q142*R142)/(Q142+R142)</f>
        <v>1</v>
      </c>
      <c r="U142" s="81">
        <f>V142-0</f>
        <v>13</v>
      </c>
      <c r="V142" s="81">
        <f>$G$140</f>
        <v>13</v>
      </c>
      <c r="W142" s="129">
        <f>U142/$G$140</f>
        <v>1</v>
      </c>
      <c r="X142" s="129">
        <f>U142/V142</f>
        <v>1</v>
      </c>
      <c r="Y142" s="127">
        <f>2*(W142*X142)/(W142+X142)</f>
        <v>1</v>
      </c>
      <c r="AA142" s="81">
        <f>AB142-0</f>
        <v>46</v>
      </c>
      <c r="AB142" s="81">
        <f>$I$140</f>
        <v>46</v>
      </c>
      <c r="AC142" s="129">
        <f>AA142/$I$140</f>
        <v>1</v>
      </c>
      <c r="AD142" s="129">
        <f>AA142/AB142</f>
        <v>1</v>
      </c>
      <c r="AE142" s="127">
        <f>2*(AC142*AD142)/(AC142+AD142)</f>
        <v>1</v>
      </c>
      <c r="AG142">
        <f>AH142-0</f>
        <v>14</v>
      </c>
      <c r="AH142" s="81">
        <v>14</v>
      </c>
      <c r="AI142" s="127">
        <f>AG142/$H$140</f>
        <v>0.60869565217391308</v>
      </c>
      <c r="AJ142" s="127">
        <f>AG142/AH142</f>
        <v>1</v>
      </c>
      <c r="AO142">
        <v>329</v>
      </c>
      <c r="AP142">
        <v>20</v>
      </c>
      <c r="AU142">
        <v>2</v>
      </c>
      <c r="AW142" s="101">
        <f>($F$140-N142)/$F$140</f>
        <v>1</v>
      </c>
      <c r="AY142" s="101">
        <f>($G$140-AN142)/$G$140</f>
        <v>1</v>
      </c>
      <c r="AZ142" s="101" t="e">
        <f>AR142/AQ142</f>
        <v>#DIV/0!</v>
      </c>
      <c r="BA142" s="101" t="e">
        <f>AT142/AS142</f>
        <v>#DIV/0!</v>
      </c>
      <c r="BB142" s="85" t="e">
        <f>(AW142+AY142+AZ142+BA142)/4</f>
        <v>#DIV/0!</v>
      </c>
      <c r="BC142" s="13">
        <f>AP142/$H$140</f>
        <v>0.86956521739130432</v>
      </c>
      <c r="BD142" s="118">
        <f>AV142/AP142</f>
        <v>0</v>
      </c>
      <c r="BE142" s="13">
        <f>AO142/AP142</f>
        <v>16.45</v>
      </c>
      <c r="BF142" s="13">
        <f>AT142/$H$140</f>
        <v>0</v>
      </c>
      <c r="BG142" s="13">
        <f>AR142/$H$140</f>
        <v>0</v>
      </c>
      <c r="BQ142" t="str">
        <f t="shared" ref="BQ142:BQ144" si="23">_xlfn.CONCAT($C$140," &amp; ",C142," &amp; ",Q142," &amp; ",R142," &amp; ",S142," &amp; ",W142," &amp; ",X142," &amp; ",Y142," &amp; ",AC142," &amp; ",AD142," &amp; ",AE142," &amp; ",AG142," &amp; ",AH142," &amp; ",AI142," &amp; ",AJ142, " \\ \hline")</f>
        <v>1-4 &amp;  &amp; 1 &amp; 1 &amp; 1 &amp; 1 &amp; 1 &amp; 1 &amp; 1 &amp; 1 &amp; 1 &amp; 14 &amp; 14 &amp; 0.608695652173913 &amp; 1 \\ \hline</v>
      </c>
    </row>
    <row r="143" spans="1:69" ht="16">
      <c r="A143" t="s">
        <v>307</v>
      </c>
      <c r="C143" s="310"/>
      <c r="L143" s="48" t="s">
        <v>612</v>
      </c>
      <c r="M143" s="77"/>
      <c r="O143" s="81">
        <f>P143-0</f>
        <v>25</v>
      </c>
      <c r="P143" s="81">
        <f>$F$140-22</f>
        <v>25</v>
      </c>
      <c r="Q143" s="129">
        <f>O143/$F$140</f>
        <v>0.53191489361702127</v>
      </c>
      <c r="R143" s="129">
        <f>O143/P143</f>
        <v>1</v>
      </c>
      <c r="S143" s="127">
        <f>2*(Q143*R143)/(Q143+R143)</f>
        <v>0.69444444444444442</v>
      </c>
      <c r="U143" s="81">
        <f>V143-0</f>
        <v>10</v>
      </c>
      <c r="V143" s="81">
        <f>$G$140-3</f>
        <v>10</v>
      </c>
      <c r="W143" s="129">
        <f>U143/$G$140</f>
        <v>0.76923076923076927</v>
      </c>
      <c r="X143" s="129">
        <f>U143/V143</f>
        <v>1</v>
      </c>
      <c r="Y143" s="127">
        <f>2*(W143*X143)/(W143+X143)</f>
        <v>0.86956521739130443</v>
      </c>
      <c r="AA143" s="81">
        <f>AB143-6</f>
        <v>18</v>
      </c>
      <c r="AB143" s="81">
        <f>$I$140-22</f>
        <v>24</v>
      </c>
      <c r="AC143" s="129">
        <f>AA143/$I$140</f>
        <v>0.39130434782608697</v>
      </c>
      <c r="AD143" s="129">
        <f>AA143/AB143</f>
        <v>0.75</v>
      </c>
      <c r="AE143" s="127">
        <f>2*(AC143*AD143)/(AC143+AD143)</f>
        <v>0.51428571428571435</v>
      </c>
      <c r="AG143">
        <f>AH143-0</f>
        <v>16</v>
      </c>
      <c r="AH143" s="81">
        <v>16</v>
      </c>
      <c r="AI143" s="127">
        <f>AG143/$H$140</f>
        <v>0.69565217391304346</v>
      </c>
      <c r="AJ143" s="127">
        <f>AG143/AH143</f>
        <v>1</v>
      </c>
      <c r="AW143" s="101">
        <f>($F$140-N143)/$F$140</f>
        <v>1</v>
      </c>
      <c r="AY143" s="101">
        <f>($G$140-AN143)/$G$140</f>
        <v>1</v>
      </c>
      <c r="AZ143" s="101" t="e">
        <f>AR143/AQ143</f>
        <v>#DIV/0!</v>
      </c>
      <c r="BA143" s="101" t="e">
        <f>AT143/AS143</f>
        <v>#DIV/0!</v>
      </c>
      <c r="BB143" s="85" t="e">
        <f>(AW143+AY143+AZ143+BA143)/4</f>
        <v>#DIV/0!</v>
      </c>
      <c r="BC143" s="13">
        <f>AP143/$H$140</f>
        <v>0</v>
      </c>
      <c r="BD143" s="118" t="e">
        <f>AV143/AP143</f>
        <v>#DIV/0!</v>
      </c>
      <c r="BE143" s="13" t="e">
        <f>AO143/AP143</f>
        <v>#DIV/0!</v>
      </c>
      <c r="BF143" s="13">
        <f>AT143/$H$140</f>
        <v>0</v>
      </c>
      <c r="BG143" s="13">
        <f>AR143/$H$140</f>
        <v>0</v>
      </c>
      <c r="BQ143" t="str">
        <f t="shared" si="23"/>
        <v>1-4 &amp;  &amp; 0.531914893617021 &amp; 1 &amp; 0.694444444444444 &amp; 0.769230769230769 &amp; 1 &amp; 0.869565217391304 &amp; 0.391304347826087 &amp; 0.75 &amp; 0.514285714285714 &amp; 16 &amp; 16 &amp; 0.695652173913043 &amp; 1 \\ \hline</v>
      </c>
    </row>
    <row r="144" spans="1:69" ht="16">
      <c r="A144" t="s">
        <v>308</v>
      </c>
      <c r="C144" s="310"/>
      <c r="L144" s="48" t="s">
        <v>613</v>
      </c>
      <c r="M144" s="77"/>
      <c r="O144" s="81">
        <f>P144-3</f>
        <v>43</v>
      </c>
      <c r="P144" s="81">
        <f>$F$140-1</f>
        <v>46</v>
      </c>
      <c r="Q144" s="129">
        <f>O144/$F$140</f>
        <v>0.91489361702127658</v>
      </c>
      <c r="R144" s="129">
        <f>O144/P144</f>
        <v>0.93478260869565222</v>
      </c>
      <c r="S144" s="127">
        <f>2*(Q144*R144)/(Q144+R144)</f>
        <v>0.92473118279569899</v>
      </c>
      <c r="U144" s="81">
        <f>V144-2</f>
        <v>10</v>
      </c>
      <c r="V144" s="81">
        <f>$G$140-1</f>
        <v>12</v>
      </c>
      <c r="W144" s="129">
        <f>U144/$G$140</f>
        <v>0.76923076923076927</v>
      </c>
      <c r="X144" s="129">
        <f>U144/V144</f>
        <v>0.83333333333333337</v>
      </c>
      <c r="Y144" s="127">
        <f>2*(W144*X144)/(W144+X144)</f>
        <v>0.8</v>
      </c>
      <c r="AA144" s="81">
        <f>AB144-1</f>
        <v>44</v>
      </c>
      <c r="AB144" s="81">
        <f>$I$140-1</f>
        <v>45</v>
      </c>
      <c r="AC144" s="129">
        <f>AA144/$I$140</f>
        <v>0.95652173913043481</v>
      </c>
      <c r="AD144" s="129">
        <f>AA144/AB144</f>
        <v>0.97777777777777775</v>
      </c>
      <c r="AE144" s="127">
        <f>2*(AC144*AD144)/(AC144+AD144)</f>
        <v>0.96703296703296704</v>
      </c>
      <c r="AG144">
        <f>AH144-0</f>
        <v>9</v>
      </c>
      <c r="AH144" s="81">
        <v>9</v>
      </c>
      <c r="AI144" s="127">
        <f>AG144/$H$140</f>
        <v>0.39130434782608697</v>
      </c>
      <c r="AJ144" s="127">
        <f>AG144/AH144</f>
        <v>1</v>
      </c>
      <c r="AW144" s="101">
        <f>($F$140-N144)/$F$140</f>
        <v>1</v>
      </c>
      <c r="AY144" s="101">
        <f>($G$140-AN144)/$G$140</f>
        <v>1</v>
      </c>
      <c r="AZ144" s="101" t="e">
        <f>AR144/AQ144</f>
        <v>#DIV/0!</v>
      </c>
      <c r="BA144" s="101" t="e">
        <f>AT144/AS144</f>
        <v>#DIV/0!</v>
      </c>
      <c r="BB144" s="85" t="e">
        <f>(AW144+AY144+AZ144+BA144)/4</f>
        <v>#DIV/0!</v>
      </c>
      <c r="BC144" s="13">
        <f>AP144/$H$140</f>
        <v>0</v>
      </c>
      <c r="BD144" s="118" t="e">
        <f>AV144/AP144</f>
        <v>#DIV/0!</v>
      </c>
      <c r="BE144" s="13" t="e">
        <f>AO144/AP144</f>
        <v>#DIV/0!</v>
      </c>
      <c r="BF144" s="13">
        <f>AT144/$H$140</f>
        <v>0</v>
      </c>
      <c r="BG144" s="13">
        <f>AR144/$H$140</f>
        <v>0</v>
      </c>
      <c r="BQ144" t="str">
        <f t="shared" si="23"/>
        <v>1-4 &amp;  &amp; 0.914893617021277 &amp; 0.934782608695652 &amp; 0.924731182795699 &amp; 0.769230769230769 &amp; 0.833333333333333 &amp; 0.8 &amp; 0.956521739130435 &amp; 0.977777777777778 &amp; 0.967032967032967 &amp; 9 &amp; 9 &amp; 0.391304347826087 &amp; 1 \\ \hline</v>
      </c>
    </row>
    <row r="145" spans="1:69">
      <c r="C145" s="98"/>
      <c r="Q145" s="129"/>
      <c r="R145" s="129"/>
      <c r="S145" s="127"/>
      <c r="W145" s="129"/>
      <c r="X145" s="129"/>
      <c r="Y145" s="127"/>
      <c r="AC145" s="129"/>
      <c r="AD145" s="129"/>
      <c r="AE145" s="127"/>
      <c r="AI145" s="127"/>
      <c r="AJ145" s="131"/>
    </row>
    <row r="146" spans="1:69" s="75" customFormat="1">
      <c r="A146" s="75" t="s">
        <v>330</v>
      </c>
      <c r="B146" s="94">
        <v>45179</v>
      </c>
      <c r="C146" s="93" t="s">
        <v>163</v>
      </c>
      <c r="D146" s="78">
        <f>VLOOKUP($C$146,Overview!$Q$2:$AS$64,23,FALSE)</f>
        <v>1.3319028194330147</v>
      </c>
      <c r="E146" s="78" t="str">
        <f>VLOOKUP($C$146,Overview!$Q$2:$AS$64,24,FALSE)</f>
        <v>medium</v>
      </c>
      <c r="F146" s="75">
        <f>VLOOKUP(C146,Overview!$Q$2:$AS$64,13,FALSE)</f>
        <v>55</v>
      </c>
      <c r="G146" s="75">
        <f>VLOOKUP(C146,Overview!$Q$2:$AS$64,16,FALSE)</f>
        <v>10</v>
      </c>
      <c r="H146" s="75">
        <f>VLOOKUP(C146,Overview!$Q$2:$AS$64,18,FALSE)</f>
        <v>30</v>
      </c>
      <c r="I146" s="75">
        <f>VLOOKUP($C$146,Overview!$Q$2:$AS$64,19,FALSE)</f>
        <v>55</v>
      </c>
      <c r="K146" s="75" t="str">
        <f>VLOOKUP($C$146,Overview!$Q$2:$AS$64,5,FALSE)</f>
        <v>5-1, 3-8</v>
      </c>
      <c r="L146" s="96"/>
      <c r="N146" s="115"/>
      <c r="O146" s="97"/>
      <c r="P146" s="97"/>
      <c r="Q146" s="130"/>
      <c r="R146" s="130"/>
      <c r="S146" s="128"/>
      <c r="T146" s="115"/>
      <c r="U146" s="97"/>
      <c r="V146" s="97"/>
      <c r="W146" s="130"/>
      <c r="X146" s="130"/>
      <c r="Y146" s="128"/>
      <c r="Z146" s="115"/>
      <c r="AA146" s="97"/>
      <c r="AB146" s="97"/>
      <c r="AC146" s="130"/>
      <c r="AD146" s="130"/>
      <c r="AE146" s="128"/>
      <c r="AF146" s="115"/>
      <c r="AG146" s="97"/>
      <c r="AH146" s="97"/>
      <c r="AI146" s="128"/>
      <c r="AJ146" s="132"/>
      <c r="AK146" s="97"/>
      <c r="AL146" s="115"/>
      <c r="AM146" s="122"/>
      <c r="AN146" s="101"/>
      <c r="AQ146" s="101"/>
      <c r="AR146" s="101"/>
      <c r="AV146" s="119"/>
      <c r="AW146" s="101"/>
      <c r="AX146" s="101"/>
      <c r="AY146" s="101"/>
      <c r="AZ146" s="101"/>
      <c r="BA146" s="101"/>
      <c r="BB146" s="83"/>
      <c r="BD146" s="101"/>
      <c r="BQ146"/>
    </row>
    <row r="147" spans="1:69" ht="16">
      <c r="A147" t="s">
        <v>305</v>
      </c>
      <c r="C147" s="310"/>
      <c r="L147" s="48" t="s">
        <v>610</v>
      </c>
      <c r="M147" s="77"/>
      <c r="O147" s="81">
        <f>P147-0</f>
        <v>18</v>
      </c>
      <c r="P147" s="81">
        <f>$F$146-16-21</f>
        <v>18</v>
      </c>
      <c r="Q147" s="129">
        <f>O147/$F$146</f>
        <v>0.32727272727272727</v>
      </c>
      <c r="R147" s="129">
        <f>O147/P147</f>
        <v>1</v>
      </c>
      <c r="S147" s="127">
        <f>2*(Q147*R147)/(Q147+R147)</f>
        <v>0.49315068493150688</v>
      </c>
      <c r="U147" s="81">
        <f>V147-0</f>
        <v>9</v>
      </c>
      <c r="V147" s="81">
        <f>$G$146-1</f>
        <v>9</v>
      </c>
      <c r="W147" s="129">
        <f>U147/$G$146</f>
        <v>0.9</v>
      </c>
      <c r="X147" s="129">
        <f>U147/V147</f>
        <v>1</v>
      </c>
      <c r="Y147" s="127">
        <f>2*(W147*X147)/(W147+X147)</f>
        <v>0.94736842105263164</v>
      </c>
      <c r="AA147" s="81">
        <f>AB147-0</f>
        <v>18</v>
      </c>
      <c r="AB147" s="81">
        <f>$I$146-37</f>
        <v>18</v>
      </c>
      <c r="AC147" s="129">
        <f>AA147/$I$146</f>
        <v>0.32727272727272727</v>
      </c>
      <c r="AD147" s="129">
        <f>AA147/AB147</f>
        <v>1</v>
      </c>
      <c r="AE147" s="127">
        <f>2*(AC147*AD147)/(AC147+AD147)</f>
        <v>0.49315068493150688</v>
      </c>
      <c r="AG147" s="81">
        <f>AH147-0</f>
        <v>12</v>
      </c>
      <c r="AH147" s="81">
        <v>12</v>
      </c>
      <c r="AI147" s="127">
        <f>AG147/$H$146</f>
        <v>0.4</v>
      </c>
      <c r="AJ147" s="127">
        <f>AG147/AH147</f>
        <v>1</v>
      </c>
      <c r="AW147" s="101">
        <f>($F$146-N147)/$F$146</f>
        <v>1</v>
      </c>
      <c r="AY147" s="101">
        <f>($G$146-AN147)/$G$146</f>
        <v>1</v>
      </c>
      <c r="AZ147" s="101" t="e">
        <f>AR147/AQ147</f>
        <v>#DIV/0!</v>
      </c>
      <c r="BA147" s="101" t="e">
        <f>AT147/AS147</f>
        <v>#DIV/0!</v>
      </c>
      <c r="BB147" s="85" t="e">
        <f>(AW147+AY147+AZ147+BA147)/4</f>
        <v>#DIV/0!</v>
      </c>
      <c r="BC147" s="13">
        <f>AP147/$H$146</f>
        <v>0</v>
      </c>
      <c r="BD147" s="118" t="e">
        <f>AV147/AP147</f>
        <v>#DIV/0!</v>
      </c>
      <c r="BE147" s="13" t="e">
        <f>AO147/AP147</f>
        <v>#DIV/0!</v>
      </c>
      <c r="BF147" s="13">
        <f>AT147/$H$146</f>
        <v>0</v>
      </c>
      <c r="BG147" s="13">
        <f>AR147/$H$146</f>
        <v>0</v>
      </c>
      <c r="BQ147" t="str">
        <f>_xlfn.CONCAT($C$146," &amp; ",C147," &amp; ",Q147," &amp; ",R147," &amp; ",S147," &amp; ",W147," &amp; ",X147," &amp; ",Y147," &amp; ",AC147," &amp; ",AD147," &amp; ",AE147," &amp; ",AG147," &amp; ",AH147," &amp; ",AI147," &amp; ",AJ147, " \\ \hline")</f>
        <v>9-1 &amp;  &amp; 0.327272727272727 &amp; 1 &amp; 0.493150684931507 &amp; 0.9 &amp; 1 &amp; 0.947368421052632 &amp; 0.327272727272727 &amp; 1 &amp; 0.493150684931507 &amp; 12 &amp; 12 &amp; 0.4 &amp; 1 \\ \hline</v>
      </c>
    </row>
    <row r="148" spans="1:69" ht="16">
      <c r="A148" t="s">
        <v>306</v>
      </c>
      <c r="C148" s="310"/>
      <c r="L148" s="48" t="s">
        <v>611</v>
      </c>
      <c r="M148" s="77"/>
      <c r="O148" s="81">
        <f>P148-1</f>
        <v>33</v>
      </c>
      <c r="P148" s="81">
        <f>$F$146-21</f>
        <v>34</v>
      </c>
      <c r="Q148" s="129">
        <f>O148/$F$146</f>
        <v>0.6</v>
      </c>
      <c r="R148" s="129">
        <f>O148/P148</f>
        <v>0.97058823529411764</v>
      </c>
      <c r="S148" s="127">
        <f>2*(Q148*R148)/(Q148+R148)</f>
        <v>0.74157303370786509</v>
      </c>
      <c r="U148" s="81">
        <f>V148</f>
        <v>8</v>
      </c>
      <c r="V148" s="81">
        <f>$G$146-2</f>
        <v>8</v>
      </c>
      <c r="W148" s="129">
        <f>U148/$G$146</f>
        <v>0.8</v>
      </c>
      <c r="X148" s="129">
        <f>U148/V148</f>
        <v>1</v>
      </c>
      <c r="Y148" s="127">
        <f>2*(W148*X148)/(W148+X148)</f>
        <v>0.88888888888888895</v>
      </c>
      <c r="AA148" s="81">
        <f>AB148-1</f>
        <v>33</v>
      </c>
      <c r="AB148" s="81">
        <f>$I$146-21</f>
        <v>34</v>
      </c>
      <c r="AC148" s="129">
        <f>AA148/$I$146</f>
        <v>0.6</v>
      </c>
      <c r="AD148" s="129">
        <f>AA148/AB148</f>
        <v>0.97058823529411764</v>
      </c>
      <c r="AE148" s="127">
        <f>2*(AC148*AD148)/(AC148+AD148)</f>
        <v>0.74157303370786509</v>
      </c>
      <c r="AG148" s="81">
        <f>AH148-0</f>
        <v>9</v>
      </c>
      <c r="AH148" s="81">
        <v>9</v>
      </c>
      <c r="AI148" s="127">
        <f>AG148/$H$146</f>
        <v>0.3</v>
      </c>
      <c r="AJ148" s="127">
        <f>AG148/AH148</f>
        <v>1</v>
      </c>
      <c r="AW148" s="101">
        <f>($F$146-N148)/$F$146</f>
        <v>1</v>
      </c>
      <c r="AY148" s="101">
        <f>($G$146-AN148)/$G$146</f>
        <v>1</v>
      </c>
      <c r="AZ148" s="101" t="e">
        <f>AR148/AQ148</f>
        <v>#DIV/0!</v>
      </c>
      <c r="BA148" s="101" t="e">
        <f>AT148/AS148</f>
        <v>#DIV/0!</v>
      </c>
      <c r="BB148" s="85" t="e">
        <f>(AW148+AY148+AZ148+BA148)/4</f>
        <v>#DIV/0!</v>
      </c>
      <c r="BC148" s="13">
        <f>AP148/$H$146</f>
        <v>0</v>
      </c>
      <c r="BD148" s="118" t="e">
        <f>AV148/AP148</f>
        <v>#DIV/0!</v>
      </c>
      <c r="BE148" s="13" t="e">
        <f>AO148/AP148</f>
        <v>#DIV/0!</v>
      </c>
      <c r="BF148" s="13">
        <f>AT148/$H$146</f>
        <v>0</v>
      </c>
      <c r="BG148" s="13">
        <f>AR148/$H$146</f>
        <v>0</v>
      </c>
      <c r="BQ148" t="str">
        <f t="shared" ref="BQ148:BQ150" si="24">_xlfn.CONCAT($C$146," &amp; ",C148," &amp; ",Q148," &amp; ",R148," &amp; ",S148," &amp; ",W148," &amp; ",X148," &amp; ",Y148," &amp; ",AC148," &amp; ",AD148," &amp; ",AE148," &amp; ",AG148," &amp; ",AH148," &amp; ",AI148," &amp; ",AJ148, " \\ \hline")</f>
        <v>9-1 &amp;  &amp; 0.6 &amp; 0.970588235294118 &amp; 0.741573033707865 &amp; 0.8 &amp; 1 &amp; 0.888888888888889 &amp; 0.6 &amp; 0.970588235294118 &amp; 0.741573033707865 &amp; 9 &amp; 9 &amp; 0.3 &amp; 1 \\ \hline</v>
      </c>
    </row>
    <row r="149" spans="1:69" ht="16">
      <c r="A149" t="s">
        <v>307</v>
      </c>
      <c r="C149" s="310"/>
      <c r="L149" s="48" t="s">
        <v>612</v>
      </c>
      <c r="M149" s="77"/>
      <c r="O149" s="81">
        <f>P149</f>
        <v>19</v>
      </c>
      <c r="P149" s="81">
        <f>$F$146-15-21</f>
        <v>19</v>
      </c>
      <c r="Q149" s="129">
        <f>O149/$F$146</f>
        <v>0.34545454545454546</v>
      </c>
      <c r="R149" s="129">
        <f>O149/P149</f>
        <v>1</v>
      </c>
      <c r="S149" s="127">
        <f>2*(Q149*R149)/(Q149+R149)</f>
        <v>0.51351351351351349</v>
      </c>
      <c r="U149" s="81">
        <f>V149</f>
        <v>9</v>
      </c>
      <c r="V149" s="81">
        <f>$G$146-1</f>
        <v>9</v>
      </c>
      <c r="W149" s="129">
        <f>U149/$G$146</f>
        <v>0.9</v>
      </c>
      <c r="X149" s="129">
        <f>U149/V149</f>
        <v>1</v>
      </c>
      <c r="Y149" s="127">
        <f>2*(W149*X149)/(W149+X149)</f>
        <v>0.94736842105263164</v>
      </c>
      <c r="AA149" s="81">
        <f>AB149</f>
        <v>19</v>
      </c>
      <c r="AB149" s="81">
        <f>$F$146-15-21</f>
        <v>19</v>
      </c>
      <c r="AC149" s="129">
        <f>AA149/$I$146</f>
        <v>0.34545454545454546</v>
      </c>
      <c r="AD149" s="129">
        <f>AA149/AB149</f>
        <v>1</v>
      </c>
      <c r="AE149" s="127">
        <f>2*(AC149*AD149)/(AC149+AD149)</f>
        <v>0.51351351351351349</v>
      </c>
      <c r="AG149" s="81">
        <f>AH149-0</f>
        <v>12</v>
      </c>
      <c r="AH149" s="81">
        <v>12</v>
      </c>
      <c r="AI149" s="127">
        <f>AG149/$H$146</f>
        <v>0.4</v>
      </c>
      <c r="AJ149" s="127">
        <f>AG149/AH149</f>
        <v>1</v>
      </c>
      <c r="AW149" s="101">
        <f>($F$146-N149)/$F$146</f>
        <v>1</v>
      </c>
      <c r="AY149" s="101">
        <f>($G$146-AN149)/$G$146</f>
        <v>1</v>
      </c>
      <c r="AZ149" s="101" t="e">
        <f>AR149/AQ149</f>
        <v>#DIV/0!</v>
      </c>
      <c r="BA149" s="101" t="e">
        <f>AT149/AS149</f>
        <v>#DIV/0!</v>
      </c>
      <c r="BB149" s="85" t="e">
        <f>(AW149+AY149+AZ149+BA149)/4</f>
        <v>#DIV/0!</v>
      </c>
      <c r="BC149" s="13">
        <f>AP149/$H$146</f>
        <v>0</v>
      </c>
      <c r="BD149" s="118" t="e">
        <f>AV149/AP149</f>
        <v>#DIV/0!</v>
      </c>
      <c r="BE149" s="13" t="e">
        <f>AO149/AP149</f>
        <v>#DIV/0!</v>
      </c>
      <c r="BF149" s="13">
        <f>AT149/$H$146</f>
        <v>0</v>
      </c>
      <c r="BG149" s="13">
        <f>AR149/$H$146</f>
        <v>0</v>
      </c>
      <c r="BQ149" t="str">
        <f t="shared" si="24"/>
        <v>9-1 &amp;  &amp; 0.345454545454545 &amp; 1 &amp; 0.513513513513513 &amp; 0.9 &amp; 1 &amp; 0.947368421052632 &amp; 0.345454545454545 &amp; 1 &amp; 0.513513513513513 &amp; 12 &amp; 12 &amp; 0.4 &amp; 1 \\ \hline</v>
      </c>
    </row>
    <row r="150" spans="1:69" ht="16">
      <c r="A150" t="s">
        <v>308</v>
      </c>
      <c r="C150" s="310"/>
      <c r="J150" t="s">
        <v>617</v>
      </c>
      <c r="L150" s="48" t="s">
        <v>613</v>
      </c>
      <c r="M150" s="77"/>
      <c r="O150" s="81">
        <f>P150-0</f>
        <v>34</v>
      </c>
      <c r="P150" s="81">
        <f>$F$146-21</f>
        <v>34</v>
      </c>
      <c r="Q150" s="129">
        <f>O150/$F$146</f>
        <v>0.61818181818181817</v>
      </c>
      <c r="R150" s="129">
        <f>O150/P150</f>
        <v>1</v>
      </c>
      <c r="S150" s="127">
        <f>2*(Q150*R150)/(Q150+R150)</f>
        <v>0.7640449438202247</v>
      </c>
      <c r="U150" s="81">
        <f>V150-1</f>
        <v>8</v>
      </c>
      <c r="V150" s="81">
        <f>$G$146-1</f>
        <v>9</v>
      </c>
      <c r="W150" s="129">
        <f>U150/$G$146</f>
        <v>0.8</v>
      </c>
      <c r="X150" s="129">
        <f>U150/V150</f>
        <v>0.88888888888888884</v>
      </c>
      <c r="Y150" s="127">
        <f>2*(W150*X150)/(W150+X150)</f>
        <v>0.8421052631578948</v>
      </c>
      <c r="AA150" s="81">
        <f>AB150-1</f>
        <v>33</v>
      </c>
      <c r="AB150" s="81">
        <f>$I$146-21</f>
        <v>34</v>
      </c>
      <c r="AC150" s="129">
        <f>AA150/$I$146</f>
        <v>0.6</v>
      </c>
      <c r="AD150" s="129">
        <f>AA150/AB150</f>
        <v>0.97058823529411764</v>
      </c>
      <c r="AE150" s="127">
        <f>2*(AC150*AD150)/(AC150+AD150)</f>
        <v>0.74157303370786509</v>
      </c>
      <c r="AG150" s="81">
        <f>AH150-0</f>
        <v>7</v>
      </c>
      <c r="AH150" s="81">
        <v>7</v>
      </c>
      <c r="AI150" s="127">
        <f>AG150/$H$146</f>
        <v>0.23333333333333334</v>
      </c>
      <c r="AJ150" s="127">
        <f>AG150/AH150</f>
        <v>1</v>
      </c>
      <c r="AW150" s="101">
        <f>($F$146-N150)/$F$146</f>
        <v>1</v>
      </c>
      <c r="AY150" s="101">
        <f>($G$146-AN150)/$G$146</f>
        <v>1</v>
      </c>
      <c r="AZ150" s="101" t="e">
        <f>AR150/AQ150</f>
        <v>#DIV/0!</v>
      </c>
      <c r="BA150" s="101" t="e">
        <f>AT150/AS150</f>
        <v>#DIV/0!</v>
      </c>
      <c r="BB150" s="85" t="e">
        <f>(AW150+AY150+AZ150+BA150)/4</f>
        <v>#DIV/0!</v>
      </c>
      <c r="BC150" s="13">
        <f>AP150/$H$146</f>
        <v>0</v>
      </c>
      <c r="BD150" s="118" t="e">
        <f>AV150/AP150</f>
        <v>#DIV/0!</v>
      </c>
      <c r="BE150" s="13" t="e">
        <f>AO150/AP150</f>
        <v>#DIV/0!</v>
      </c>
      <c r="BF150" s="13">
        <f>AT150/$H$146</f>
        <v>0</v>
      </c>
      <c r="BG150" s="13">
        <f>AR150/$H$146</f>
        <v>0</v>
      </c>
      <c r="BQ150" t="str">
        <f t="shared" si="24"/>
        <v>9-1 &amp;  &amp; 0.618181818181818 &amp; 1 &amp; 0.764044943820225 &amp; 0.8 &amp; 0.888888888888889 &amp; 0.842105263157895 &amp; 0.6 &amp; 0.970588235294118 &amp; 0.741573033707865 &amp; 7 &amp; 7 &amp; 0.233333333333333 &amp; 1 \\ \hline</v>
      </c>
    </row>
    <row r="151" spans="1:69">
      <c r="C151" s="98"/>
      <c r="Q151" s="129"/>
      <c r="R151" s="129"/>
      <c r="S151" s="127"/>
      <c r="W151" s="129"/>
      <c r="X151" s="129"/>
      <c r="Y151" s="127"/>
      <c r="AC151" s="129"/>
      <c r="AD151" s="129"/>
      <c r="AE151" s="127"/>
      <c r="AI151" s="127"/>
      <c r="AJ151" s="131"/>
    </row>
    <row r="152" spans="1:69" s="75" customFormat="1">
      <c r="A152" s="75" t="s">
        <v>331</v>
      </c>
      <c r="B152" s="94">
        <v>45179</v>
      </c>
      <c r="C152" s="93" t="s">
        <v>138</v>
      </c>
      <c r="D152" s="78">
        <f>VLOOKUP($C$152,Overview!$Q$2:$AS$64,23,FALSE)</f>
        <v>1.762299953678875</v>
      </c>
      <c r="E152" s="78" t="str">
        <f>VLOOKUP($C$152,Overview!$Q$2:$AS$64,24,FALSE)</f>
        <v>medium</v>
      </c>
      <c r="F152" s="75">
        <f>VLOOKUP(C152,Overview!$Q$2:$AS$64,13,FALSE)</f>
        <v>57</v>
      </c>
      <c r="G152" s="75">
        <f>VLOOKUP(C152,Overview!$Q$2:$AS$64,16,FALSE)</f>
        <v>10</v>
      </c>
      <c r="H152" s="75">
        <f>VLOOKUP(C152,Overview!$Q$2:$AS$64,18,FALSE)</f>
        <v>23</v>
      </c>
      <c r="I152" s="75">
        <f>VLOOKUP($C$152,Overview!$Q$2:$AS$64,19,FALSE)</f>
        <v>52</v>
      </c>
      <c r="K152" s="75" t="str">
        <f>VLOOKUP($C$152,Overview!$Q$2:$AS$64,5,FALSE)</f>
        <v>5-2, 3-8</v>
      </c>
      <c r="L152" s="96"/>
      <c r="N152" s="115"/>
      <c r="O152" s="97"/>
      <c r="P152" s="97"/>
      <c r="Q152" s="130"/>
      <c r="R152" s="130"/>
      <c r="S152" s="128"/>
      <c r="T152" s="115"/>
      <c r="U152" s="97"/>
      <c r="V152" s="97"/>
      <c r="W152" s="130"/>
      <c r="X152" s="130"/>
      <c r="Y152" s="128"/>
      <c r="Z152" s="115"/>
      <c r="AA152" s="97"/>
      <c r="AB152" s="97"/>
      <c r="AC152" s="130"/>
      <c r="AD152" s="130"/>
      <c r="AE152" s="128"/>
      <c r="AF152" s="115"/>
      <c r="AG152" s="97"/>
      <c r="AH152" s="97"/>
      <c r="AI152" s="128"/>
      <c r="AJ152" s="132"/>
      <c r="AK152" s="97"/>
      <c r="AL152" s="115"/>
      <c r="AM152" s="122"/>
      <c r="AN152" s="101"/>
      <c r="AQ152" s="101"/>
      <c r="AR152" s="101"/>
      <c r="AV152" s="119"/>
      <c r="AW152" s="101"/>
      <c r="AX152" s="101"/>
      <c r="AY152" s="101"/>
      <c r="AZ152" s="101"/>
      <c r="BA152" s="101"/>
      <c r="BB152" s="83"/>
      <c r="BD152" s="101"/>
      <c r="BQ152"/>
    </row>
    <row r="153" spans="1:69" ht="16">
      <c r="A153" t="s">
        <v>305</v>
      </c>
      <c r="C153" s="310"/>
      <c r="J153" t="s">
        <v>619</v>
      </c>
      <c r="L153" s="48" t="s">
        <v>610</v>
      </c>
      <c r="M153" s="77"/>
      <c r="O153" s="81">
        <f>P153-3</f>
        <v>39</v>
      </c>
      <c r="P153" s="81">
        <f>$F$152-15</f>
        <v>42</v>
      </c>
      <c r="Q153" s="129">
        <f>O153/$F$152</f>
        <v>0.68421052631578949</v>
      </c>
      <c r="R153" s="129">
        <f>O153/P153</f>
        <v>0.9285714285714286</v>
      </c>
      <c r="S153" s="127">
        <f>2*(Q153*R153)/(Q153+R153)</f>
        <v>0.78787878787878785</v>
      </c>
      <c r="U153" s="81">
        <f>V153-2</f>
        <v>7</v>
      </c>
      <c r="V153" s="81">
        <f>$G$152-1</f>
        <v>9</v>
      </c>
      <c r="W153" s="129">
        <f>U153/$G$152</f>
        <v>0.7</v>
      </c>
      <c r="X153" s="129">
        <f>U153/V153</f>
        <v>0.77777777777777779</v>
      </c>
      <c r="Y153" s="127">
        <f>2*(W153*X153)/(W153+X153)</f>
        <v>0.73684210526315774</v>
      </c>
      <c r="AA153" s="81">
        <f>AB153-12</f>
        <v>25</v>
      </c>
      <c r="AB153" s="81">
        <f>$I$152-15</f>
        <v>37</v>
      </c>
      <c r="AC153" s="129">
        <f>AA153/$I$152</f>
        <v>0.48076923076923078</v>
      </c>
      <c r="AD153" s="129">
        <f>AA153/AB153</f>
        <v>0.67567567567567566</v>
      </c>
      <c r="AE153" s="127">
        <f>2*(AC153*AD153)/(AC153+AD153)</f>
        <v>0.56179775280898869</v>
      </c>
      <c r="AG153" s="81">
        <f>AH153-0</f>
        <v>3</v>
      </c>
      <c r="AH153" s="81">
        <v>3</v>
      </c>
      <c r="AI153" s="127">
        <f>AG153/$H$152</f>
        <v>0.13043478260869565</v>
      </c>
      <c r="AJ153" s="127">
        <f>AG153/AH153</f>
        <v>1</v>
      </c>
      <c r="AW153" s="101">
        <f>($F$152-N153)/$F$152</f>
        <v>1</v>
      </c>
      <c r="AY153" s="101">
        <f>($G$152-AN153)/$G$152</f>
        <v>1</v>
      </c>
      <c r="AZ153" s="101" t="e">
        <f>AR153/AQ153</f>
        <v>#DIV/0!</v>
      </c>
      <c r="BA153" s="101" t="e">
        <f>AT153/AS153</f>
        <v>#DIV/0!</v>
      </c>
      <c r="BB153" s="85" t="e">
        <f>(AW153+AY153+AZ153+BA153)/4</f>
        <v>#DIV/0!</v>
      </c>
      <c r="BC153" s="13">
        <f>AP153/$H$152</f>
        <v>0</v>
      </c>
      <c r="BD153" s="118" t="e">
        <f>AV153/AP153</f>
        <v>#DIV/0!</v>
      </c>
      <c r="BE153" s="13" t="e">
        <f>AO153/AP153</f>
        <v>#DIV/0!</v>
      </c>
      <c r="BF153" s="13">
        <f>AT153/$H$152</f>
        <v>0</v>
      </c>
      <c r="BG153" s="13">
        <f>AR153/$H$152</f>
        <v>0</v>
      </c>
      <c r="BQ153" t="str">
        <f>_xlfn.CONCAT($C$152," &amp; ",C153," &amp; ",Q153," &amp; ",R153," &amp; ",S153," &amp; ",W153," &amp; ",X153," &amp; ",Y153," &amp; ",AC153," &amp; ",AD153," &amp; ",AE153," &amp; ",AG153," &amp; ",AH153," &amp; ",AI153," &amp; ",AJ153, " \\ \hline")</f>
        <v>1-3 &amp;  &amp; 0.684210526315789 &amp; 0.928571428571429 &amp; 0.787878787878788 &amp; 0.7 &amp; 0.777777777777778 &amp; 0.736842105263158 &amp; 0.480769230769231 &amp; 0.675675675675676 &amp; 0.561797752808989 &amp; 3 &amp; 3 &amp; 0.130434782608696 &amp; 1 \\ \hline</v>
      </c>
    </row>
    <row r="154" spans="1:69" ht="16">
      <c r="A154" t="s">
        <v>306</v>
      </c>
      <c r="C154" s="310"/>
      <c r="J154" t="s">
        <v>620</v>
      </c>
      <c r="L154" s="48" t="s">
        <v>611</v>
      </c>
      <c r="M154" s="77"/>
      <c r="O154" s="81">
        <f>P154-5</f>
        <v>37</v>
      </c>
      <c r="P154" s="81">
        <f>$F$152-15</f>
        <v>42</v>
      </c>
      <c r="Q154" s="129">
        <f>O154/$F$152</f>
        <v>0.64912280701754388</v>
      </c>
      <c r="R154" s="129">
        <f>O154/P154</f>
        <v>0.88095238095238093</v>
      </c>
      <c r="S154" s="127">
        <f>2*(Q154*R154)/(Q154+R154)</f>
        <v>0.74747474747474751</v>
      </c>
      <c r="U154" s="81">
        <f>V154-3</f>
        <v>6</v>
      </c>
      <c r="V154" s="81">
        <f>$G$152-1</f>
        <v>9</v>
      </c>
      <c r="W154" s="129">
        <f>U154/$G$152</f>
        <v>0.6</v>
      </c>
      <c r="X154" s="129">
        <f>U154/V154</f>
        <v>0.66666666666666663</v>
      </c>
      <c r="Y154" s="127">
        <f>2*(W154*X154)/(W154+X154)</f>
        <v>0.63157894736842102</v>
      </c>
      <c r="AA154" s="81">
        <f>AB154-12</f>
        <v>25</v>
      </c>
      <c r="AB154" s="81">
        <f>$I$152-15</f>
        <v>37</v>
      </c>
      <c r="AC154" s="129">
        <f>AA154/$I$152</f>
        <v>0.48076923076923078</v>
      </c>
      <c r="AD154" s="129">
        <f>AA154/AB154</f>
        <v>0.67567567567567566</v>
      </c>
      <c r="AE154" s="127">
        <f>2*(AC154*AD154)/(AC154+AD154)</f>
        <v>0.56179775280898869</v>
      </c>
      <c r="AG154" s="81">
        <f>AH154-0</f>
        <v>4</v>
      </c>
      <c r="AH154" s="81">
        <v>4</v>
      </c>
      <c r="AI154" s="127">
        <f>AG154/$H$152</f>
        <v>0.17391304347826086</v>
      </c>
      <c r="AJ154" s="127">
        <f>AG154/AH154</f>
        <v>1</v>
      </c>
      <c r="AW154" s="101">
        <f>($F$152-N154)/$F$152</f>
        <v>1</v>
      </c>
      <c r="AY154" s="101">
        <f>($G$152-AN154)/$G$152</f>
        <v>1</v>
      </c>
      <c r="AZ154" s="101" t="e">
        <f>AR154/AQ154</f>
        <v>#DIV/0!</v>
      </c>
      <c r="BA154" s="101" t="e">
        <f>AT154/AS154</f>
        <v>#DIV/0!</v>
      </c>
      <c r="BB154" s="85" t="e">
        <f>(AW154+AY154+AZ154+BA154)/4</f>
        <v>#DIV/0!</v>
      </c>
      <c r="BC154" s="13">
        <f>AP154/$H$152</f>
        <v>0</v>
      </c>
      <c r="BD154" s="118" t="e">
        <f>AV154/AP154</f>
        <v>#DIV/0!</v>
      </c>
      <c r="BE154" s="13" t="e">
        <f>AO154/AP154</f>
        <v>#DIV/0!</v>
      </c>
      <c r="BF154" s="13">
        <f>AT154/$H$152</f>
        <v>0</v>
      </c>
      <c r="BG154" s="13">
        <f>AR154/$H$152</f>
        <v>0</v>
      </c>
      <c r="BQ154" t="str">
        <f t="shared" ref="BQ154:BQ156" si="25">_xlfn.CONCAT($C$152," &amp; ",C154," &amp; ",Q154," &amp; ",R154," &amp; ",S154," &amp; ",W154," &amp; ",X154," &amp; ",Y154," &amp; ",AC154," &amp; ",AD154," &amp; ",AE154," &amp; ",AG154," &amp; ",AH154," &amp; ",AI154," &amp; ",AJ154, " \\ \hline")</f>
        <v>1-3 &amp;  &amp; 0.649122807017544 &amp; 0.880952380952381 &amp; 0.747474747474748 &amp; 0.6 &amp; 0.666666666666667 &amp; 0.631578947368421 &amp; 0.480769230769231 &amp; 0.675675675675676 &amp; 0.561797752808989 &amp; 4 &amp; 4 &amp; 0.173913043478261 &amp; 1 \\ \hline</v>
      </c>
    </row>
    <row r="155" spans="1:69" ht="16">
      <c r="A155" t="s">
        <v>307</v>
      </c>
      <c r="C155" s="310"/>
      <c r="J155" t="s">
        <v>621</v>
      </c>
      <c r="L155" s="48" t="s">
        <v>612</v>
      </c>
      <c r="M155" s="77"/>
      <c r="O155" s="81">
        <f>P155-2</f>
        <v>41</v>
      </c>
      <c r="P155" s="81">
        <f>$F$152-14</f>
        <v>43</v>
      </c>
      <c r="Q155" s="129">
        <f>O155/$F$152</f>
        <v>0.7192982456140351</v>
      </c>
      <c r="R155" s="129">
        <f>O155/P155</f>
        <v>0.95348837209302328</v>
      </c>
      <c r="S155" s="127">
        <f>2*(Q155*R155)/(Q155+R155)</f>
        <v>0.82000000000000006</v>
      </c>
      <c r="U155" s="81">
        <f>V155-2</f>
        <v>7</v>
      </c>
      <c r="V155" s="81">
        <f>$G$152-1</f>
        <v>9</v>
      </c>
      <c r="W155" s="129">
        <f>U155/$G$152</f>
        <v>0.7</v>
      </c>
      <c r="X155" s="129">
        <f>U155/V155</f>
        <v>0.77777777777777779</v>
      </c>
      <c r="Y155" s="127">
        <f>2*(W155*X155)/(W155+X155)</f>
        <v>0.73684210526315774</v>
      </c>
      <c r="AA155" s="81">
        <f>AB155-13</f>
        <v>25</v>
      </c>
      <c r="AB155" s="81">
        <f>$I$152-14</f>
        <v>38</v>
      </c>
      <c r="AC155" s="129">
        <f>AA155/$I$152</f>
        <v>0.48076923076923078</v>
      </c>
      <c r="AD155" s="129">
        <f>AA155/AB155</f>
        <v>0.65789473684210531</v>
      </c>
      <c r="AE155" s="127">
        <f>2*(AC155*AD155)/(AC155+AD155)</f>
        <v>0.55555555555555558</v>
      </c>
      <c r="AG155" s="81">
        <f>AH155-0</f>
        <v>8</v>
      </c>
      <c r="AH155" s="81">
        <v>8</v>
      </c>
      <c r="AI155" s="127">
        <f>AG155/$H$152</f>
        <v>0.34782608695652173</v>
      </c>
      <c r="AJ155" s="127">
        <f>AG155/AH155</f>
        <v>1</v>
      </c>
      <c r="AW155" s="101">
        <f>($F$152-N155)/$F$152</f>
        <v>1</v>
      </c>
      <c r="AY155" s="101">
        <f>($G$152-AN155)/$G$152</f>
        <v>1</v>
      </c>
      <c r="AZ155" s="101" t="e">
        <f>AR155/AQ155</f>
        <v>#DIV/0!</v>
      </c>
      <c r="BA155" s="101" t="e">
        <f>AT155/AS155</f>
        <v>#DIV/0!</v>
      </c>
      <c r="BB155" s="85" t="e">
        <f>(AW155+AY155+AZ155+BA155)/4</f>
        <v>#DIV/0!</v>
      </c>
      <c r="BC155" s="13">
        <f>AP155/$H$152</f>
        <v>0</v>
      </c>
      <c r="BD155" s="118" t="e">
        <f>AV155/AP155</f>
        <v>#DIV/0!</v>
      </c>
      <c r="BE155" s="13" t="e">
        <f>AO155/AP155</f>
        <v>#DIV/0!</v>
      </c>
      <c r="BF155" s="13">
        <f>AT155/$H$152</f>
        <v>0</v>
      </c>
      <c r="BG155" s="13">
        <f>AR155/$H$152</f>
        <v>0</v>
      </c>
      <c r="BQ155" t="str">
        <f t="shared" si="25"/>
        <v>1-3 &amp;  &amp; 0.719298245614035 &amp; 0.953488372093023 &amp; 0.82 &amp; 0.7 &amp; 0.777777777777778 &amp; 0.736842105263158 &amp; 0.480769230769231 &amp; 0.657894736842105 &amp; 0.555555555555556 &amp; 8 &amp; 8 &amp; 0.347826086956522 &amp; 1 \\ \hline</v>
      </c>
    </row>
    <row r="156" spans="1:69" ht="16">
      <c r="A156" t="s">
        <v>308</v>
      </c>
      <c r="C156" s="310"/>
      <c r="J156" t="s">
        <v>622</v>
      </c>
      <c r="L156" s="48" t="s">
        <v>613</v>
      </c>
      <c r="M156" s="77"/>
      <c r="O156" s="81">
        <f>P156-2</f>
        <v>40</v>
      </c>
      <c r="P156" s="81">
        <f>$F$152-15</f>
        <v>42</v>
      </c>
      <c r="Q156" s="129">
        <f>O156/$F$152</f>
        <v>0.70175438596491224</v>
      </c>
      <c r="R156" s="129">
        <f>O156/P156</f>
        <v>0.95238095238095233</v>
      </c>
      <c r="S156" s="127">
        <f>2*(Q156*R156)/(Q156+R156)</f>
        <v>0.80808080808080807</v>
      </c>
      <c r="U156" s="81">
        <f>V156-2</f>
        <v>7</v>
      </c>
      <c r="V156" s="81">
        <f>$G$152-1</f>
        <v>9</v>
      </c>
      <c r="W156" s="129">
        <f>U156/$G$152</f>
        <v>0.7</v>
      </c>
      <c r="X156" s="129">
        <f>U156/V156</f>
        <v>0.77777777777777779</v>
      </c>
      <c r="Y156" s="127">
        <f>2*(W156*X156)/(W156+X156)</f>
        <v>0.73684210526315774</v>
      </c>
      <c r="AA156" s="81">
        <f>AB156-12</f>
        <v>25</v>
      </c>
      <c r="AB156" s="81">
        <f>$I$152-15</f>
        <v>37</v>
      </c>
      <c r="AC156" s="129">
        <f>AA156/$I$152</f>
        <v>0.48076923076923078</v>
      </c>
      <c r="AD156" s="129">
        <f>AA156/AB156</f>
        <v>0.67567567567567566</v>
      </c>
      <c r="AE156" s="127">
        <f>2*(AC156*AD156)/(AC156+AD156)</f>
        <v>0.56179775280898869</v>
      </c>
      <c r="AG156" s="81">
        <f>AH156-0</f>
        <v>11</v>
      </c>
      <c r="AH156" s="81">
        <v>11</v>
      </c>
      <c r="AI156" s="127">
        <f>AG156/$H$152</f>
        <v>0.47826086956521741</v>
      </c>
      <c r="AJ156" s="127">
        <f>AG156/AH156</f>
        <v>1</v>
      </c>
      <c r="AW156" s="101">
        <f>($F$152-N156)/$F$152</f>
        <v>1</v>
      </c>
      <c r="AY156" s="101">
        <f>($G$152-AN156)/$G$152</f>
        <v>1</v>
      </c>
      <c r="AZ156" s="101" t="e">
        <f>AR156/AQ156</f>
        <v>#DIV/0!</v>
      </c>
      <c r="BA156" s="101" t="e">
        <f>AT156/AS156</f>
        <v>#DIV/0!</v>
      </c>
      <c r="BB156" s="85" t="e">
        <f>(AW156+AY156+AZ156+BA156)/4</f>
        <v>#DIV/0!</v>
      </c>
      <c r="BC156" s="13">
        <f>AP156/$H$152</f>
        <v>0</v>
      </c>
      <c r="BD156" s="118" t="e">
        <f>AV156/AP156</f>
        <v>#DIV/0!</v>
      </c>
      <c r="BE156" s="13" t="e">
        <f>AO156/AP156</f>
        <v>#DIV/0!</v>
      </c>
      <c r="BF156" s="13">
        <f>AT156/$H$152</f>
        <v>0</v>
      </c>
      <c r="BG156" s="13">
        <f>AR156/$H$152</f>
        <v>0</v>
      </c>
      <c r="BQ156" t="str">
        <f t="shared" si="25"/>
        <v>1-3 &amp;  &amp; 0.701754385964912 &amp; 0.952380952380952 &amp; 0.808080808080808 &amp; 0.7 &amp; 0.777777777777778 &amp; 0.736842105263158 &amp; 0.480769230769231 &amp; 0.675675675675676 &amp; 0.561797752808989 &amp; 11 &amp; 11 &amp; 0.478260869565217 &amp; 1 \\ \hline</v>
      </c>
    </row>
    <row r="157" spans="1:69">
      <c r="C157" s="98"/>
      <c r="L157" s="164" t="s">
        <v>642</v>
      </c>
      <c r="Q157" s="129"/>
      <c r="R157" s="129"/>
      <c r="S157" s="127"/>
      <c r="W157" s="129"/>
      <c r="X157" s="129"/>
      <c r="Y157" s="127"/>
      <c r="AC157" s="129"/>
      <c r="AD157" s="129"/>
      <c r="AE157" s="127"/>
      <c r="AI157" s="127"/>
      <c r="AJ157" s="131"/>
    </row>
    <row r="158" spans="1:69" s="75" customFormat="1">
      <c r="A158" s="75" t="s">
        <v>332</v>
      </c>
      <c r="B158" s="94">
        <v>45179</v>
      </c>
      <c r="C158" s="93" t="s">
        <v>171</v>
      </c>
      <c r="D158" s="78">
        <f>VLOOKUP($C$158,Overview!$Q$2:$AS$64,23,FALSE)</f>
        <v>1.790108913645059</v>
      </c>
      <c r="E158" s="78" t="str">
        <f>VLOOKUP($C$158,Overview!$Q$2:$AS$64,24,FALSE)</f>
        <v>medium</v>
      </c>
      <c r="F158" s="75">
        <f>VLOOKUP(C158,Overview!$Q$2:$AS$64,13,FALSE)</f>
        <v>64</v>
      </c>
      <c r="G158" s="75">
        <f>VLOOKUP(C158,Overview!$Q$2:$AS$64,16,FALSE)</f>
        <v>12</v>
      </c>
      <c r="H158" s="75">
        <f>VLOOKUP(C158,Overview!$Q$2:$AS$64,18,FALSE)</f>
        <v>27</v>
      </c>
      <c r="I158" s="75">
        <f>VLOOKUP($C$158,Overview!$Q$2:$AS$64,19,FALSE)</f>
        <v>60</v>
      </c>
      <c r="K158" s="75" t="str">
        <f>VLOOKUP($C$158,Overview!$Q$2:$AS$64,5,FALSE)</f>
        <v>6-2, 3-8</v>
      </c>
      <c r="L158" s="96"/>
      <c r="N158" s="115"/>
      <c r="O158" s="97"/>
      <c r="P158" s="97"/>
      <c r="Q158" s="130"/>
      <c r="R158" s="130"/>
      <c r="S158" s="128"/>
      <c r="T158" s="115"/>
      <c r="U158" s="97"/>
      <c r="V158" s="97"/>
      <c r="W158" s="130"/>
      <c r="X158" s="130"/>
      <c r="Y158" s="128"/>
      <c r="Z158" s="115"/>
      <c r="AA158" s="97"/>
      <c r="AB158" s="97"/>
      <c r="AC158" s="130"/>
      <c r="AD158" s="130"/>
      <c r="AE158" s="128"/>
      <c r="AF158" s="115"/>
      <c r="AG158" s="97"/>
      <c r="AH158" s="97"/>
      <c r="AI158" s="128"/>
      <c r="AJ158" s="132"/>
      <c r="AK158" s="97"/>
      <c r="AL158" s="115"/>
      <c r="AM158" s="122"/>
      <c r="AN158" s="101"/>
      <c r="AQ158" s="101"/>
      <c r="AR158" s="101"/>
      <c r="AV158" s="119"/>
      <c r="AW158" s="101"/>
      <c r="AX158" s="101"/>
      <c r="AY158" s="101"/>
      <c r="AZ158" s="101"/>
      <c r="BA158" s="101"/>
      <c r="BB158" s="83"/>
      <c r="BD158" s="101"/>
      <c r="BQ158"/>
    </row>
    <row r="159" spans="1:69" ht="16">
      <c r="A159" t="s">
        <v>305</v>
      </c>
      <c r="C159" s="310"/>
      <c r="J159" t="s">
        <v>618</v>
      </c>
      <c r="L159" s="48" t="s">
        <v>610</v>
      </c>
      <c r="M159" s="77"/>
      <c r="O159" s="81">
        <f>P159-5</f>
        <v>41</v>
      </c>
      <c r="P159" s="81">
        <f>$F$158-18</f>
        <v>46</v>
      </c>
      <c r="Q159" s="129">
        <f>O159/$F$158</f>
        <v>0.640625</v>
      </c>
      <c r="R159" s="129">
        <f>O159/P159</f>
        <v>0.89130434782608692</v>
      </c>
      <c r="S159" s="127">
        <f>2*(Q159*R159)/(Q159+R159)</f>
        <v>0.74545454545454537</v>
      </c>
      <c r="U159" s="81">
        <f>V159-1</f>
        <v>8</v>
      </c>
      <c r="V159" s="81">
        <f>$G$158-3</f>
        <v>9</v>
      </c>
      <c r="W159" s="129">
        <f>U159/$G$158</f>
        <v>0.66666666666666663</v>
      </c>
      <c r="X159" s="129">
        <f>U159/V159</f>
        <v>0.88888888888888884</v>
      </c>
      <c r="Y159" s="127">
        <f>2*(W159*X159)/(W159+X159)</f>
        <v>0.76190476190476197</v>
      </c>
      <c r="AA159" s="81">
        <f>AB159-11</f>
        <v>31</v>
      </c>
      <c r="AB159" s="81">
        <f>$I$158-18</f>
        <v>42</v>
      </c>
      <c r="AC159" s="129">
        <f>AA159/$I$158</f>
        <v>0.51666666666666672</v>
      </c>
      <c r="AD159" s="129">
        <f>AA159/AB159</f>
        <v>0.73809523809523814</v>
      </c>
      <c r="AE159" s="127">
        <f>2*(AC159*AD159)/(AC159+AD159)</f>
        <v>0.60784313725490202</v>
      </c>
      <c r="AG159" s="81">
        <f>AH159-0</f>
        <v>3</v>
      </c>
      <c r="AH159" s="81">
        <v>3</v>
      </c>
      <c r="AI159" s="127">
        <f>AG159/$H$158</f>
        <v>0.1111111111111111</v>
      </c>
      <c r="AJ159" s="127">
        <f>AG159/AH159</f>
        <v>1</v>
      </c>
      <c r="AW159" s="101">
        <f>($F$158-N159)/$F$158</f>
        <v>1</v>
      </c>
      <c r="AY159" s="101">
        <f>($G$158-AN159)/$G$158</f>
        <v>1</v>
      </c>
      <c r="AZ159" s="101" t="e">
        <f>AR159/AQ159</f>
        <v>#DIV/0!</v>
      </c>
      <c r="BA159" s="101" t="e">
        <f>AT159/AS159</f>
        <v>#DIV/0!</v>
      </c>
      <c r="BB159" s="85" t="e">
        <f>(AW159+AY159+AZ159+BA159)/4</f>
        <v>#DIV/0!</v>
      </c>
      <c r="BC159" s="13">
        <f>AP159/$H$158</f>
        <v>0</v>
      </c>
      <c r="BD159" s="118" t="e">
        <f>AV159/AP159</f>
        <v>#DIV/0!</v>
      </c>
      <c r="BE159" s="13" t="e">
        <f>AO159/AP159</f>
        <v>#DIV/0!</v>
      </c>
      <c r="BF159" s="13">
        <f>AT159/$H$158</f>
        <v>0</v>
      </c>
      <c r="BG159" s="13">
        <f>AR159/$H$158</f>
        <v>0</v>
      </c>
      <c r="BQ159" t="str">
        <f>_xlfn.CONCAT($C$158," &amp; ",C159," &amp; ",Q159," &amp; ",R159," &amp; ",S159," &amp; ",W159," &amp; ",X159," &amp; ",Y159," &amp; ",AC159," &amp; ",AD159," &amp; ",AE159," &amp; ",AG159," &amp; ",AH159," &amp; ",AI159," &amp; ",AJ159, " \\ \hline")</f>
        <v>10-3 &amp;  &amp; 0.640625 &amp; 0.891304347826087 &amp; 0.745454545454545 &amp; 0.666666666666667 &amp; 0.888888888888889 &amp; 0.761904761904762 &amp; 0.516666666666667 &amp; 0.738095238095238 &amp; 0.607843137254902 &amp; 3 &amp; 3 &amp; 0.111111111111111 &amp; 1 \\ \hline</v>
      </c>
    </row>
    <row r="160" spans="1:69" ht="16">
      <c r="A160" t="s">
        <v>306</v>
      </c>
      <c r="C160" s="310"/>
      <c r="L160" s="48" t="s">
        <v>611</v>
      </c>
      <c r="M160" s="77"/>
      <c r="O160" s="81">
        <f>P160-6</f>
        <v>40</v>
      </c>
      <c r="P160" s="81">
        <f>$F$158-18</f>
        <v>46</v>
      </c>
      <c r="Q160" s="129">
        <f>O160/$F$158</f>
        <v>0.625</v>
      </c>
      <c r="R160" s="129">
        <f>O160/P160</f>
        <v>0.86956521739130432</v>
      </c>
      <c r="S160" s="127">
        <f>2*(Q160*R160)/(Q160+R160)</f>
        <v>0.72727272727272729</v>
      </c>
      <c r="U160" s="81">
        <f>V160-2</f>
        <v>7</v>
      </c>
      <c r="V160" s="81">
        <f>$G$158-3</f>
        <v>9</v>
      </c>
      <c r="W160" s="129">
        <f>U160/$G$158</f>
        <v>0.58333333333333337</v>
      </c>
      <c r="X160" s="129">
        <f>U160/V160</f>
        <v>0.77777777777777779</v>
      </c>
      <c r="Y160" s="127">
        <f>2*(W160*X160)/(W160+X160)</f>
        <v>0.66666666666666663</v>
      </c>
      <c r="AA160" s="81">
        <f>AB160-9</f>
        <v>33</v>
      </c>
      <c r="AB160" s="81">
        <f>$I$158-18</f>
        <v>42</v>
      </c>
      <c r="AC160" s="129">
        <f>AA160/$I$158</f>
        <v>0.55000000000000004</v>
      </c>
      <c r="AD160" s="129">
        <f>AA160/AB160</f>
        <v>0.7857142857142857</v>
      </c>
      <c r="AE160" s="127">
        <f>2*(AC160*AD160)/(AC160+AD160)</f>
        <v>0.64705882352941169</v>
      </c>
      <c r="AG160" s="81">
        <f>AH160-0</f>
        <v>5</v>
      </c>
      <c r="AH160" s="81">
        <v>5</v>
      </c>
      <c r="AI160" s="127">
        <f>AG160/$H$158</f>
        <v>0.18518518518518517</v>
      </c>
      <c r="AJ160" s="127">
        <f>AG160/AH160</f>
        <v>1</v>
      </c>
      <c r="AW160" s="101">
        <f>($F$158-N160)/$F$158</f>
        <v>1</v>
      </c>
      <c r="AY160" s="101">
        <f>($G$158-AN160)/$G$158</f>
        <v>1</v>
      </c>
      <c r="AZ160" s="101" t="e">
        <f>AR160/AQ160</f>
        <v>#DIV/0!</v>
      </c>
      <c r="BA160" s="101" t="e">
        <f>AT160/AS160</f>
        <v>#DIV/0!</v>
      </c>
      <c r="BB160" s="85" t="e">
        <f>(AW160+AY160+AZ160+BA160)/4</f>
        <v>#DIV/0!</v>
      </c>
      <c r="BC160" s="13">
        <f>AP160/$H$158</f>
        <v>0</v>
      </c>
      <c r="BD160" s="118" t="e">
        <f>AV160/AP160</f>
        <v>#DIV/0!</v>
      </c>
      <c r="BE160" s="13" t="e">
        <f>AO160/AP160</f>
        <v>#DIV/0!</v>
      </c>
      <c r="BF160" s="13">
        <f>AT160/$H$158</f>
        <v>0</v>
      </c>
      <c r="BG160" s="13">
        <f>AR160/$H$158</f>
        <v>0</v>
      </c>
      <c r="BQ160" t="str">
        <f t="shared" ref="BQ160:BQ162" si="26">_xlfn.CONCAT($C$158," &amp; ",C160," &amp; ",Q160," &amp; ",R160," &amp; ",S160," &amp; ",W160," &amp; ",X160," &amp; ",Y160," &amp; ",AC160," &amp; ",AD160," &amp; ",AE160," &amp; ",AG160," &amp; ",AH160," &amp; ",AI160," &amp; ",AJ160, " \\ \hline")</f>
        <v>10-3 &amp;  &amp; 0.625 &amp; 0.869565217391304 &amp; 0.727272727272727 &amp; 0.583333333333333 &amp; 0.777777777777778 &amp; 0.666666666666667 &amp; 0.55 &amp; 0.785714285714286 &amp; 0.647058823529412 &amp; 5 &amp; 5 &amp; 0.185185185185185 &amp; 1 \\ \hline</v>
      </c>
    </row>
    <row r="161" spans="1:69" ht="16">
      <c r="A161" t="s">
        <v>307</v>
      </c>
      <c r="C161" s="310"/>
      <c r="L161" s="48" t="s">
        <v>612</v>
      </c>
      <c r="M161" s="77"/>
      <c r="O161" s="81">
        <f>P161-4</f>
        <v>37</v>
      </c>
      <c r="P161" s="81">
        <f>$F$158-23</f>
        <v>41</v>
      </c>
      <c r="Q161" s="129">
        <f>O161/$F$158</f>
        <v>0.578125</v>
      </c>
      <c r="R161" s="129">
        <f>O161/P161</f>
        <v>0.90243902439024393</v>
      </c>
      <c r="S161" s="127">
        <f>2*(Q161*R161)/(Q161+R161)</f>
        <v>0.70476190476190481</v>
      </c>
      <c r="U161" s="81">
        <f>V161-2</f>
        <v>8</v>
      </c>
      <c r="V161" s="81">
        <f>$G$158-2</f>
        <v>10</v>
      </c>
      <c r="W161" s="129">
        <f>U161/$G$158</f>
        <v>0.66666666666666663</v>
      </c>
      <c r="X161" s="129">
        <f>U161/V161</f>
        <v>0.8</v>
      </c>
      <c r="Y161" s="127">
        <f>2*(W161*X161)/(W161+X161)</f>
        <v>0.72727272727272718</v>
      </c>
      <c r="AA161" s="81">
        <f>AB161-9</f>
        <v>28</v>
      </c>
      <c r="AB161" s="81">
        <f>$I$158-23</f>
        <v>37</v>
      </c>
      <c r="AC161" s="129">
        <f>AA161/$I$158</f>
        <v>0.46666666666666667</v>
      </c>
      <c r="AD161" s="129">
        <f>AA161/AB161</f>
        <v>0.7567567567567568</v>
      </c>
      <c r="AE161" s="127">
        <f>2*(AC161*AD161)/(AC161+AD161)</f>
        <v>0.57731958762886604</v>
      </c>
      <c r="AG161" s="81">
        <f>AH161-0</f>
        <v>6</v>
      </c>
      <c r="AH161" s="81">
        <v>6</v>
      </c>
      <c r="AI161" s="127">
        <f>AG161/$H$158</f>
        <v>0.22222222222222221</v>
      </c>
      <c r="AJ161" s="127">
        <f>AG161/AH161</f>
        <v>1</v>
      </c>
      <c r="AW161" s="101">
        <f>($F$158-N161)/$F$158</f>
        <v>1</v>
      </c>
      <c r="AY161" s="101">
        <f>($G$158-AN161)/$G$158</f>
        <v>1</v>
      </c>
      <c r="AZ161" s="101" t="e">
        <f>AR161/AQ161</f>
        <v>#DIV/0!</v>
      </c>
      <c r="BA161" s="101" t="e">
        <f>AT161/AS161</f>
        <v>#DIV/0!</v>
      </c>
      <c r="BB161" s="85" t="e">
        <f>(AW161+AY161+AZ161+BA161)/4</f>
        <v>#DIV/0!</v>
      </c>
      <c r="BC161" s="13">
        <f>AP161/$H$158</f>
        <v>0</v>
      </c>
      <c r="BD161" s="118" t="e">
        <f>AV161/AP161</f>
        <v>#DIV/0!</v>
      </c>
      <c r="BE161" s="13" t="e">
        <f>AO161/AP161</f>
        <v>#DIV/0!</v>
      </c>
      <c r="BF161" s="13">
        <f>AT161/$H$158</f>
        <v>0</v>
      </c>
      <c r="BG161" s="13">
        <f>AR161/$H$158</f>
        <v>0</v>
      </c>
      <c r="BQ161" t="str">
        <f t="shared" si="26"/>
        <v>10-3 &amp;  &amp; 0.578125 &amp; 0.902439024390244 &amp; 0.704761904761905 &amp; 0.666666666666667 &amp; 0.8 &amp; 0.727272727272727 &amp; 0.466666666666667 &amp; 0.756756756756757 &amp; 0.577319587628866 &amp; 6 &amp; 6 &amp; 0.222222222222222 &amp; 1 \\ \hline</v>
      </c>
    </row>
    <row r="162" spans="1:69" ht="16">
      <c r="A162" t="s">
        <v>308</v>
      </c>
      <c r="C162" s="310"/>
      <c r="J162" t="s">
        <v>623</v>
      </c>
      <c r="L162" s="48" t="s">
        <v>613</v>
      </c>
      <c r="M162" s="77"/>
      <c r="O162" s="81">
        <f>P162-2</f>
        <v>33</v>
      </c>
      <c r="P162" s="81">
        <f>$F$158-29</f>
        <v>35</v>
      </c>
      <c r="Q162" s="129">
        <f>O162/$F$158</f>
        <v>0.515625</v>
      </c>
      <c r="R162" s="129">
        <f>O162/P162</f>
        <v>0.94285714285714284</v>
      </c>
      <c r="S162" s="127">
        <f>2*(Q162*R162)/(Q162+R162)</f>
        <v>0.66666666666666663</v>
      </c>
      <c r="U162" s="81">
        <f>V162-0</f>
        <v>6</v>
      </c>
      <c r="V162" s="81">
        <f>$G$158-6</f>
        <v>6</v>
      </c>
      <c r="W162" s="129">
        <f>U162/$G$158</f>
        <v>0.5</v>
      </c>
      <c r="X162" s="129">
        <f>U162/V162</f>
        <v>1</v>
      </c>
      <c r="Y162" s="127">
        <f>2*(W162*X162)/(W162+X162)</f>
        <v>0.66666666666666663</v>
      </c>
      <c r="AA162" s="81">
        <f>AB162-11</f>
        <v>20</v>
      </c>
      <c r="AB162" s="81">
        <f>$I$158-29</f>
        <v>31</v>
      </c>
      <c r="AC162" s="129">
        <f>AA162/$I$158</f>
        <v>0.33333333333333331</v>
      </c>
      <c r="AD162" s="129">
        <f>AA162/AB162</f>
        <v>0.64516129032258063</v>
      </c>
      <c r="AE162" s="127">
        <f>2*(AC162*AD162)/(AC162+AD162)</f>
        <v>0.4395604395604395</v>
      </c>
      <c r="AG162" s="81">
        <f>AH162-0</f>
        <v>5</v>
      </c>
      <c r="AH162" s="81">
        <v>5</v>
      </c>
      <c r="AI162" s="127">
        <f>AG162/$H$158</f>
        <v>0.18518518518518517</v>
      </c>
      <c r="AJ162" s="127">
        <f>AG162/AH162</f>
        <v>1</v>
      </c>
      <c r="AW162" s="101">
        <f>($F$158-N162)/$F$158</f>
        <v>1</v>
      </c>
      <c r="AY162" s="101">
        <f>($G$158-AN162)/$G$158</f>
        <v>1</v>
      </c>
      <c r="AZ162" s="101" t="e">
        <f>AR162/AQ162</f>
        <v>#DIV/0!</v>
      </c>
      <c r="BA162" s="101" t="e">
        <f>AT162/AS162</f>
        <v>#DIV/0!</v>
      </c>
      <c r="BB162" s="85" t="e">
        <f>(AW162+AY162+AZ162+BA162)/4</f>
        <v>#DIV/0!</v>
      </c>
      <c r="BC162" s="13">
        <f>AP162/$H$158</f>
        <v>0</v>
      </c>
      <c r="BD162" s="118" t="e">
        <f>AV162/AP162</f>
        <v>#DIV/0!</v>
      </c>
      <c r="BE162" s="13" t="e">
        <f>AO162/AP162</f>
        <v>#DIV/0!</v>
      </c>
      <c r="BF162" s="13">
        <f>AT162/$H$158</f>
        <v>0</v>
      </c>
      <c r="BG162" s="13">
        <f>AR162/$H$158</f>
        <v>0</v>
      </c>
      <c r="BQ162" t="str">
        <f t="shared" si="26"/>
        <v>10-3 &amp;  &amp; 0.515625 &amp; 0.942857142857143 &amp; 0.666666666666667 &amp; 0.5 &amp; 1 &amp; 0.666666666666667 &amp; 0.333333333333333 &amp; 0.645161290322581 &amp; 0.439560439560439 &amp; 5 &amp; 5 &amp; 0.185185185185185 &amp; 1 \\ \hline</v>
      </c>
    </row>
    <row r="164" spans="1:69" s="75" customFormat="1">
      <c r="A164" s="75" t="s">
        <v>334</v>
      </c>
      <c r="B164" s="94">
        <v>45179</v>
      </c>
      <c r="C164" s="93" t="s">
        <v>158</v>
      </c>
      <c r="D164" s="78">
        <f>VLOOKUP($C$164,Overview!$Q$2:$AS$64,23,FALSE)</f>
        <v>2.4606876442304331</v>
      </c>
      <c r="E164" s="78" t="str">
        <f>VLOOKUP($C$164,Overview!$Q$2:$AS$64,24,FALSE)</f>
        <v>high</v>
      </c>
      <c r="F164" s="75">
        <f>VLOOKUP(C164,Overview!$Q$2:$AS$64,13,FALSE)</f>
        <v>67</v>
      </c>
      <c r="G164" s="75">
        <f>VLOOKUP(C164,Overview!$Q$2:$AS$64,16,FALSE)</f>
        <v>15</v>
      </c>
      <c r="H164" s="75">
        <f>VLOOKUP(C164,Overview!$Q$2:$AS$64,18,FALSE)</f>
        <v>30</v>
      </c>
      <c r="I164" s="75">
        <f>VLOOKUP($C$164,Overview!$Q$2:$AS$64,19,FALSE)</f>
        <v>61</v>
      </c>
      <c r="K164" s="75" t="str">
        <f>VLOOKUP($C$164,Overview!$Q$2:$AS$64,5,FALSE)</f>
        <v>5-2, 5-1</v>
      </c>
      <c r="L164" s="96"/>
      <c r="N164" s="115"/>
      <c r="O164" s="97"/>
      <c r="P164" s="97"/>
      <c r="Q164" s="130"/>
      <c r="R164" s="130"/>
      <c r="S164" s="128"/>
      <c r="T164" s="115"/>
      <c r="U164" s="97"/>
      <c r="V164" s="97"/>
      <c r="W164" s="130"/>
      <c r="X164" s="130"/>
      <c r="Y164" s="128"/>
      <c r="Z164" s="115"/>
      <c r="AA164" s="97"/>
      <c r="AB164" s="97"/>
      <c r="AC164" s="130"/>
      <c r="AD164" s="130"/>
      <c r="AE164" s="128"/>
      <c r="AF164" s="115"/>
      <c r="AG164" s="97"/>
      <c r="AH164" s="97"/>
      <c r="AI164" s="128"/>
      <c r="AJ164" s="132"/>
      <c r="AK164" s="97"/>
      <c r="AL164" s="115"/>
      <c r="AM164" s="122"/>
      <c r="AN164" s="101"/>
      <c r="AQ164" s="101"/>
      <c r="AR164" s="101"/>
      <c r="AV164" s="119"/>
      <c r="AW164" s="101"/>
      <c r="AX164" s="101"/>
      <c r="AY164" s="101"/>
      <c r="AZ164" s="101"/>
      <c r="BA164" s="101"/>
      <c r="BB164" s="83"/>
      <c r="BD164" s="101"/>
      <c r="BQ164"/>
    </row>
    <row r="165" spans="1:69" ht="16">
      <c r="A165" t="s">
        <v>305</v>
      </c>
      <c r="C165" s="310"/>
      <c r="J165" t="s">
        <v>630</v>
      </c>
      <c r="L165" s="48" t="s">
        <v>610</v>
      </c>
      <c r="M165" s="77"/>
      <c r="O165" s="81">
        <f>P165-6</f>
        <v>42</v>
      </c>
      <c r="P165" s="81">
        <f>F164-19</f>
        <v>48</v>
      </c>
      <c r="Q165" s="129">
        <f>O165/$F$164</f>
        <v>0.62686567164179108</v>
      </c>
      <c r="R165" s="129">
        <f>O165/P165</f>
        <v>0.875</v>
      </c>
      <c r="S165" s="127">
        <f>2*(Q165*R165)/(Q165+R165)</f>
        <v>0.73043478260869565</v>
      </c>
      <c r="U165" s="81">
        <f>V165-1</f>
        <v>10</v>
      </c>
      <c r="V165" s="81">
        <f>G164-4</f>
        <v>11</v>
      </c>
      <c r="W165" s="129">
        <f>U165/$G$164</f>
        <v>0.66666666666666663</v>
      </c>
      <c r="X165" s="129">
        <f>U165/V165</f>
        <v>0.90909090909090906</v>
      </c>
      <c r="Y165" s="127">
        <f>2*(W165*X165)/(W165+X165)</f>
        <v>0.76923076923076916</v>
      </c>
      <c r="AA165" s="81">
        <f>AB165-15</f>
        <v>27</v>
      </c>
      <c r="AB165" s="81">
        <f>I164-19</f>
        <v>42</v>
      </c>
      <c r="AC165" s="129">
        <f>AA165/$I$164</f>
        <v>0.44262295081967212</v>
      </c>
      <c r="AD165" s="129">
        <f>AA165/AB165</f>
        <v>0.6428571428571429</v>
      </c>
      <c r="AE165" s="127">
        <f>2*(AC165*AD165)/(AC165+AD165)</f>
        <v>0.52427184466019428</v>
      </c>
      <c r="AG165" s="81">
        <v>2</v>
      </c>
      <c r="AH165" s="81">
        <v>2</v>
      </c>
      <c r="AI165" s="127">
        <f>AG165/$H$164</f>
        <v>6.6666666666666666E-2</v>
      </c>
      <c r="AJ165" s="127">
        <f>AG165/AH165</f>
        <v>1</v>
      </c>
      <c r="AW165" s="101">
        <f>($F$164-N165)/$F$164</f>
        <v>1</v>
      </c>
      <c r="AY165" s="101">
        <f>($G$164-AN165)/$G$164</f>
        <v>1</v>
      </c>
      <c r="AZ165" s="101" t="e">
        <f>AR165/AQ165</f>
        <v>#DIV/0!</v>
      </c>
      <c r="BA165" s="101" t="e">
        <f>AT165/AS165</f>
        <v>#DIV/0!</v>
      </c>
      <c r="BB165" s="85" t="e">
        <f>(AW165+AY165+AZ165+BA165)/4</f>
        <v>#DIV/0!</v>
      </c>
      <c r="BC165" s="13">
        <f>AP165/$H$164</f>
        <v>0</v>
      </c>
      <c r="BD165" s="118" t="e">
        <f>AV165/AP165</f>
        <v>#DIV/0!</v>
      </c>
      <c r="BE165" s="13" t="e">
        <f>AO165/AP165</f>
        <v>#DIV/0!</v>
      </c>
      <c r="BF165" s="13">
        <f>AT165/$H$164</f>
        <v>0</v>
      </c>
      <c r="BG165" s="13">
        <f>AR165/$H$164</f>
        <v>0</v>
      </c>
      <c r="BQ165" t="str">
        <f>_xlfn.CONCAT($C$164," &amp; ",C165," &amp; ",Q165," &amp; ",R165," &amp; ",S165," &amp; ",W165," &amp; ",X165," &amp; ",Y165," &amp; ",AC165," &amp; ",AD165," &amp; ",AE165," &amp; ",AG165," &amp; ",AH165," &amp; ",AI165," &amp; ",AJ165, " \\ \hline")</f>
        <v>6-4 &amp;  &amp; 0.626865671641791 &amp; 0.875 &amp; 0.730434782608696 &amp; 0.666666666666667 &amp; 0.909090909090909 &amp; 0.769230769230769 &amp; 0.442622950819672 &amp; 0.642857142857143 &amp; 0.524271844660194 &amp; 2 &amp; 2 &amp; 0.0666666666666667 &amp; 1 \\ \hline</v>
      </c>
    </row>
    <row r="166" spans="1:69" ht="16">
      <c r="A166" t="s">
        <v>306</v>
      </c>
      <c r="C166" s="310"/>
      <c r="J166" t="s">
        <v>631</v>
      </c>
      <c r="L166" s="48" t="s">
        <v>611</v>
      </c>
      <c r="M166" s="77"/>
      <c r="O166" s="81">
        <f>P166-5</f>
        <v>42</v>
      </c>
      <c r="P166" s="81">
        <f>F164-20</f>
        <v>47</v>
      </c>
      <c r="Q166" s="129">
        <f>O166/$F$164</f>
        <v>0.62686567164179108</v>
      </c>
      <c r="R166" s="129">
        <f>O166/P166</f>
        <v>0.8936170212765957</v>
      </c>
      <c r="S166" s="127">
        <f>2*(Q166*R166)/(Q166+R166)</f>
        <v>0.73684210526315785</v>
      </c>
      <c r="U166" s="81">
        <v>10</v>
      </c>
      <c r="V166" s="81">
        <f>G164-5</f>
        <v>10</v>
      </c>
      <c r="W166" s="129">
        <f>U166/$G$164</f>
        <v>0.66666666666666663</v>
      </c>
      <c r="X166" s="129">
        <f>U166/V166</f>
        <v>1</v>
      </c>
      <c r="Y166" s="127">
        <f>2*(W166*X166)/(W166+X166)</f>
        <v>0.8</v>
      </c>
      <c r="AA166" s="81">
        <f>AB166-17</f>
        <v>24</v>
      </c>
      <c r="AB166" s="81">
        <f>I164-20</f>
        <v>41</v>
      </c>
      <c r="AC166" s="129">
        <f>AA166/$I$164</f>
        <v>0.39344262295081966</v>
      </c>
      <c r="AD166" s="129">
        <f>AA166/AB166</f>
        <v>0.58536585365853655</v>
      </c>
      <c r="AE166" s="127">
        <f>2*(AC166*AD166)/(AC166+AD166)</f>
        <v>0.47058823529411759</v>
      </c>
      <c r="AG166" s="81">
        <v>2</v>
      </c>
      <c r="AH166" s="81">
        <v>2</v>
      </c>
      <c r="AI166" s="127">
        <f>AG166/$H$164</f>
        <v>6.6666666666666666E-2</v>
      </c>
      <c r="AJ166" s="127">
        <f>AG166/AH166</f>
        <v>1</v>
      </c>
      <c r="AW166" s="101">
        <f>($F$164-N166)/$F$164</f>
        <v>1</v>
      </c>
      <c r="AY166" s="101">
        <f>($G$164-AN166)/$G$164</f>
        <v>1</v>
      </c>
      <c r="AZ166" s="101" t="e">
        <f>AR166/AQ166</f>
        <v>#DIV/0!</v>
      </c>
      <c r="BA166" s="101" t="e">
        <f>AT166/AS166</f>
        <v>#DIV/0!</v>
      </c>
      <c r="BB166" s="85" t="e">
        <f>(AW166+AY166+AZ166+BA166)/4</f>
        <v>#DIV/0!</v>
      </c>
      <c r="BC166" s="13">
        <f>AP166/$H$164</f>
        <v>0</v>
      </c>
      <c r="BD166" s="118" t="e">
        <f>AV166/AP166</f>
        <v>#DIV/0!</v>
      </c>
      <c r="BE166" s="13" t="e">
        <f>AO166/AP166</f>
        <v>#DIV/0!</v>
      </c>
      <c r="BF166" s="13">
        <f>AT166/$H$164</f>
        <v>0</v>
      </c>
      <c r="BG166" s="13">
        <f>AR166/$H$164</f>
        <v>0</v>
      </c>
      <c r="BQ166" t="str">
        <f t="shared" ref="BQ166:BQ168" si="27">_xlfn.CONCAT($C$164," &amp; ",C166," &amp; ",Q166," &amp; ",R166," &amp; ",S166," &amp; ",W166," &amp; ",X166," &amp; ",Y166," &amp; ",AC166," &amp; ",AD166," &amp; ",AE166," &amp; ",AG166," &amp; ",AH166," &amp; ",AI166," &amp; ",AJ166, " \\ \hline")</f>
        <v>6-4 &amp;  &amp; 0.626865671641791 &amp; 0.893617021276596 &amp; 0.736842105263158 &amp; 0.666666666666667 &amp; 1 &amp; 0.8 &amp; 0.39344262295082 &amp; 0.585365853658537 &amp; 0.470588235294118 &amp; 2 &amp; 2 &amp; 0.0666666666666667 &amp; 1 \\ \hline</v>
      </c>
    </row>
    <row r="167" spans="1:69" ht="16">
      <c r="A167" t="s">
        <v>307</v>
      </c>
      <c r="C167" s="310"/>
      <c r="J167" t="s">
        <v>632</v>
      </c>
      <c r="L167" s="48" t="s">
        <v>612</v>
      </c>
      <c r="M167" s="77"/>
      <c r="O167" s="81">
        <f>P167-6</f>
        <v>40</v>
      </c>
      <c r="P167" s="81">
        <f>F164-21</f>
        <v>46</v>
      </c>
      <c r="Q167" s="129">
        <f>O167/$F$164</f>
        <v>0.59701492537313428</v>
      </c>
      <c r="R167" s="129">
        <f>O167/P167</f>
        <v>0.86956521739130432</v>
      </c>
      <c r="S167" s="127">
        <f>2*(Q167*R167)/(Q167+R167)</f>
        <v>0.70796460176991149</v>
      </c>
      <c r="U167" s="81">
        <v>10</v>
      </c>
      <c r="V167" s="81">
        <f>G164-4</f>
        <v>11</v>
      </c>
      <c r="W167" s="129">
        <f>U167/$G$164</f>
        <v>0.66666666666666663</v>
      </c>
      <c r="X167" s="129">
        <f>U167/V167</f>
        <v>0.90909090909090906</v>
      </c>
      <c r="Y167" s="127">
        <f>2*(W167*X167)/(W167+X167)</f>
        <v>0.76923076923076916</v>
      </c>
      <c r="AA167" s="81">
        <f>AB167-13</f>
        <v>27</v>
      </c>
      <c r="AB167" s="81">
        <f>I164-21</f>
        <v>40</v>
      </c>
      <c r="AC167" s="129">
        <f>AA167/$I$164</f>
        <v>0.44262295081967212</v>
      </c>
      <c r="AD167" s="129">
        <f>AA167/AB167</f>
        <v>0.67500000000000004</v>
      </c>
      <c r="AE167" s="127">
        <f>2*(AC167*AD167)/(AC167+AD167)</f>
        <v>0.53465346534653457</v>
      </c>
      <c r="AG167" s="81">
        <v>12</v>
      </c>
      <c r="AH167" s="81">
        <v>12</v>
      </c>
      <c r="AI167" s="127">
        <f>AG167/$H$164</f>
        <v>0.4</v>
      </c>
      <c r="AJ167" s="127">
        <f>AG167/AH167</f>
        <v>1</v>
      </c>
      <c r="AW167" s="101">
        <f>($F$164-N167)/$F$164</f>
        <v>1</v>
      </c>
      <c r="AY167" s="101">
        <f>($G$164-AN167)/$G$164</f>
        <v>1</v>
      </c>
      <c r="AZ167" s="101" t="e">
        <f>AR167/AQ167</f>
        <v>#DIV/0!</v>
      </c>
      <c r="BA167" s="101" t="e">
        <f>AT167/AS167</f>
        <v>#DIV/0!</v>
      </c>
      <c r="BB167" s="85" t="e">
        <f>(AW167+AY167+AZ167+BA167)/4</f>
        <v>#DIV/0!</v>
      </c>
      <c r="BC167" s="13">
        <f>AP167/$H$164</f>
        <v>0</v>
      </c>
      <c r="BD167" s="118" t="e">
        <f>AV167/AP167</f>
        <v>#DIV/0!</v>
      </c>
      <c r="BE167" s="13" t="e">
        <f>AO167/AP167</f>
        <v>#DIV/0!</v>
      </c>
      <c r="BF167" s="13">
        <f>AT167/$H$164</f>
        <v>0</v>
      </c>
      <c r="BG167" s="13">
        <f>AR167/$H$164</f>
        <v>0</v>
      </c>
      <c r="BQ167" t="str">
        <f t="shared" si="27"/>
        <v>6-4 &amp;  &amp; 0.597014925373134 &amp; 0.869565217391304 &amp; 0.707964601769911 &amp; 0.666666666666667 &amp; 0.909090909090909 &amp; 0.769230769230769 &amp; 0.442622950819672 &amp; 0.675 &amp; 0.534653465346535 &amp; 12 &amp; 12 &amp; 0.4 &amp; 1 \\ \hline</v>
      </c>
    </row>
    <row r="168" spans="1:69" ht="16">
      <c r="A168" t="s">
        <v>308</v>
      </c>
      <c r="C168" s="310"/>
      <c r="J168" t="s">
        <v>633</v>
      </c>
      <c r="L168" s="48" t="s">
        <v>613</v>
      </c>
      <c r="M168" s="77"/>
      <c r="O168" s="81">
        <f>P168-4</f>
        <v>61</v>
      </c>
      <c r="P168" s="81">
        <f>F164-2</f>
        <v>65</v>
      </c>
      <c r="Q168" s="129">
        <f>O168/$F$164</f>
        <v>0.91044776119402981</v>
      </c>
      <c r="R168" s="129">
        <f>O168/P168</f>
        <v>0.93846153846153846</v>
      </c>
      <c r="S168" s="127">
        <f>2*(Q168*R168)/(Q168+R168)</f>
        <v>0.92424242424242431</v>
      </c>
      <c r="U168" s="81">
        <f>V168-2</f>
        <v>12</v>
      </c>
      <c r="V168" s="81">
        <f>G164-1</f>
        <v>14</v>
      </c>
      <c r="W168" s="129">
        <f>U168/$G$164</f>
        <v>0.8</v>
      </c>
      <c r="X168" s="129">
        <f>U168/V168</f>
        <v>0.8571428571428571</v>
      </c>
      <c r="Y168" s="127">
        <f>2*(W168*X168)/(W168+X168)</f>
        <v>0.82758620689655182</v>
      </c>
      <c r="AA168" s="81">
        <f>AB168-7</f>
        <v>52</v>
      </c>
      <c r="AB168" s="81">
        <f>I164-2</f>
        <v>59</v>
      </c>
      <c r="AC168" s="129">
        <f>AA168/$I$164</f>
        <v>0.85245901639344257</v>
      </c>
      <c r="AD168" s="129">
        <f>AA168/AB168</f>
        <v>0.88135593220338981</v>
      </c>
      <c r="AE168" s="127">
        <f>2*(AC168*AD168)/(AC168+AD168)</f>
        <v>0.86666666666666659</v>
      </c>
      <c r="AG168" s="81">
        <f>AH168-0</f>
        <v>10</v>
      </c>
      <c r="AH168" s="81">
        <v>10</v>
      </c>
      <c r="AI168" s="127">
        <f>AG168/$H$164</f>
        <v>0.33333333333333331</v>
      </c>
      <c r="AJ168" s="127">
        <f>AG168/AH168</f>
        <v>1</v>
      </c>
      <c r="AW168" s="101">
        <f>($F$164-N168)/$F$164</f>
        <v>1</v>
      </c>
      <c r="AY168" s="101">
        <f>($G$164-AN168)/$G$164</f>
        <v>1</v>
      </c>
      <c r="AZ168" s="101" t="e">
        <f>AR168/AQ168</f>
        <v>#DIV/0!</v>
      </c>
      <c r="BA168" s="101" t="e">
        <f>AT168/AS168</f>
        <v>#DIV/0!</v>
      </c>
      <c r="BB168" s="85" t="e">
        <f>(AW168+AY168+AZ168+BA168)/4</f>
        <v>#DIV/0!</v>
      </c>
      <c r="BC168" s="13">
        <f>AP168/$H$164</f>
        <v>0</v>
      </c>
      <c r="BD168" s="118" t="e">
        <f>AV168/AP168</f>
        <v>#DIV/0!</v>
      </c>
      <c r="BE168" s="13" t="e">
        <f>AO168/AP168</f>
        <v>#DIV/0!</v>
      </c>
      <c r="BF168" s="13">
        <f>AT168/$H$164</f>
        <v>0</v>
      </c>
      <c r="BG168" s="13">
        <f>AR168/$H$164</f>
        <v>0</v>
      </c>
      <c r="BQ168" t="str">
        <f t="shared" si="27"/>
        <v>6-4 &amp;  &amp; 0.91044776119403 &amp; 0.938461538461538 &amp; 0.924242424242424 &amp; 0.8 &amp; 0.857142857142857 &amp; 0.827586206896552 &amp; 0.852459016393443 &amp; 0.88135593220339 &amp; 0.866666666666667 &amp; 10 &amp; 10 &amp; 0.333333333333333 &amp; 1 \\ \hline</v>
      </c>
    </row>
    <row r="169" spans="1:69">
      <c r="C169" s="98"/>
      <c r="L169" s="48"/>
      <c r="M169" s="77"/>
      <c r="Q169" s="129"/>
      <c r="R169" s="129"/>
      <c r="S169" s="127"/>
      <c r="W169" s="129"/>
      <c r="X169" s="129"/>
      <c r="Y169" s="127"/>
      <c r="AC169" s="129"/>
      <c r="AD169" s="129"/>
      <c r="AE169" s="127"/>
      <c r="AI169" s="127"/>
      <c r="AJ169" s="127"/>
      <c r="BC169" s="13"/>
      <c r="BD169" s="118"/>
      <c r="BE169" s="13"/>
      <c r="BF169" s="13"/>
      <c r="BG169" s="13"/>
    </row>
    <row r="170" spans="1:69" s="75" customFormat="1">
      <c r="A170" s="73" t="s">
        <v>333</v>
      </c>
      <c r="B170" s="94">
        <v>45178</v>
      </c>
      <c r="C170" s="93" t="s">
        <v>155</v>
      </c>
      <c r="D170" s="78">
        <f>VLOOKUP($C$170,Overview!$Q$2:$AS$64,23,FALSE)</f>
        <v>2.4974613347120318</v>
      </c>
      <c r="E170" s="78" t="str">
        <f>VLOOKUP($C$170,Overview!$Q$2:$AS$64,24,FALSE)</f>
        <v>high</v>
      </c>
      <c r="F170" s="75">
        <f>VLOOKUP(C170,Overview!$Q$2:$AS$64,13,FALSE)</f>
        <v>72</v>
      </c>
      <c r="G170" s="75">
        <f>VLOOKUP(C170,Overview!$Q$2:$AS$64,16,FALSE)</f>
        <v>11</v>
      </c>
      <c r="H170" s="75">
        <f>VLOOKUP(C170,Overview!$Q$2:$AS$64,18,FALSE)</f>
        <v>25</v>
      </c>
      <c r="I170" s="75">
        <f>VLOOKUP($C$170,Overview!$Q$2:$AS$64,19,FALSE)</f>
        <v>63</v>
      </c>
      <c r="K170" s="75" t="str">
        <f>VLOOKUP($C$170,Overview!$Q$2:$AS$64,5,FALSE)</f>
        <v>6-2, 5-2</v>
      </c>
      <c r="L170" s="96"/>
      <c r="N170" s="115"/>
      <c r="O170" s="97"/>
      <c r="P170" s="97"/>
      <c r="Q170" s="130"/>
      <c r="R170" s="130"/>
      <c r="S170" s="128"/>
      <c r="T170" s="115"/>
      <c r="U170" s="97"/>
      <c r="V170" s="97"/>
      <c r="W170" s="130"/>
      <c r="X170" s="130"/>
      <c r="Y170" s="128"/>
      <c r="Z170" s="115"/>
      <c r="AA170" s="97"/>
      <c r="AB170" s="97"/>
      <c r="AC170" s="130"/>
      <c r="AD170" s="130"/>
      <c r="AE170" s="128"/>
      <c r="AF170" s="115"/>
      <c r="AG170" s="97"/>
      <c r="AH170" s="97"/>
      <c r="AI170" s="128"/>
      <c r="AJ170" s="132"/>
      <c r="AK170" s="97"/>
      <c r="AL170" s="115"/>
      <c r="AM170" s="122"/>
      <c r="AN170" s="101"/>
      <c r="AQ170" s="101"/>
      <c r="AR170" s="101"/>
      <c r="AV170" s="119"/>
      <c r="AW170" s="101"/>
      <c r="AX170" s="101"/>
      <c r="AY170" s="101"/>
      <c r="AZ170" s="101"/>
      <c r="BA170" s="101"/>
      <c r="BB170" s="83"/>
      <c r="BD170" s="101"/>
      <c r="BQ170"/>
    </row>
    <row r="171" spans="1:69" ht="16">
      <c r="A171" t="s">
        <v>305</v>
      </c>
      <c r="C171" s="310"/>
      <c r="J171" t="s">
        <v>624</v>
      </c>
      <c r="L171" s="48" t="s">
        <v>610</v>
      </c>
      <c r="M171" s="77"/>
      <c r="O171" s="81">
        <f>P171-3</f>
        <v>33</v>
      </c>
      <c r="P171" s="81">
        <v>36</v>
      </c>
      <c r="Q171" s="129">
        <f>O171/$F$170</f>
        <v>0.45833333333333331</v>
      </c>
      <c r="R171" s="129">
        <f>O171/P171</f>
        <v>0.91666666666666663</v>
      </c>
      <c r="S171" s="127">
        <f>2*(Q171*R171)/(Q171+R171)</f>
        <v>0.61111111111111105</v>
      </c>
      <c r="U171" s="81">
        <f>V171-1</f>
        <v>5</v>
      </c>
      <c r="V171" s="81">
        <v>6</v>
      </c>
      <c r="W171" s="129">
        <f>U171/$G$170</f>
        <v>0.45454545454545453</v>
      </c>
      <c r="X171" s="129">
        <f>U171/V171</f>
        <v>0.83333333333333337</v>
      </c>
      <c r="Y171" s="127">
        <f>2*(W171*X171)/(W171+X171)</f>
        <v>0.58823529411764708</v>
      </c>
      <c r="AA171" s="81">
        <f>AB171-15</f>
        <v>18</v>
      </c>
      <c r="AB171" s="81">
        <f>P171-3</f>
        <v>33</v>
      </c>
      <c r="AC171" s="129">
        <f>AA171/$I$170</f>
        <v>0.2857142857142857</v>
      </c>
      <c r="AD171" s="129">
        <f>AA171/AB171</f>
        <v>0.54545454545454541</v>
      </c>
      <c r="AE171" s="127">
        <f>2*(AC171*AD171)/(AC171+AD171)</f>
        <v>0.37499999999999994</v>
      </c>
      <c r="AG171" s="81">
        <f>AH171-0</f>
        <v>4</v>
      </c>
      <c r="AH171" s="81">
        <v>4</v>
      </c>
      <c r="AI171" s="127">
        <f>AG171/$H$170</f>
        <v>0.16</v>
      </c>
      <c r="AJ171" s="127">
        <f>AG171/AH171</f>
        <v>1</v>
      </c>
      <c r="AW171" s="101">
        <f>($F$170-N171)/$F$170</f>
        <v>1</v>
      </c>
      <c r="AY171" s="101">
        <f>($G$170-AN171)/$G$170</f>
        <v>1</v>
      </c>
      <c r="AZ171" s="101" t="e">
        <f>AR171/AQ171</f>
        <v>#DIV/0!</v>
      </c>
      <c r="BA171" s="101" t="e">
        <f>AT171/AS171</f>
        <v>#DIV/0!</v>
      </c>
      <c r="BB171" s="85" t="e">
        <f>(AW171+AY171+AZ171+BA171)/4</f>
        <v>#DIV/0!</v>
      </c>
      <c r="BC171" s="13">
        <f>AP171/$H$170</f>
        <v>0</v>
      </c>
      <c r="BD171" s="118" t="e">
        <f>AV171/AP171</f>
        <v>#DIV/0!</v>
      </c>
      <c r="BE171" s="13" t="e">
        <f>AO171/AP171</f>
        <v>#DIV/0!</v>
      </c>
      <c r="BF171" s="13">
        <f>AT171/$H$170</f>
        <v>0</v>
      </c>
      <c r="BG171" s="13">
        <f>AR171/$H$170</f>
        <v>0</v>
      </c>
      <c r="BQ171" t="str">
        <f>_xlfn.CONCAT($C$170," &amp; ",C171," &amp; ",Q171," &amp; ",R171," &amp; ",S171," &amp; ",W171," &amp; ",X171," &amp; ",Y171," &amp; ",AC171," &amp; ",AD171," &amp; ",AE171," &amp; ",AG171," &amp; ",AH171," &amp; ",AI171," &amp; ",AJ171, " \\ \hline")</f>
        <v>6-1 &amp;  &amp; 0.458333333333333 &amp; 0.916666666666667 &amp; 0.611111111111111 &amp; 0.454545454545455 &amp; 0.833333333333333 &amp; 0.588235294117647 &amp; 0.285714285714286 &amp; 0.545454545454545 &amp; 0.375 &amp; 4 &amp; 4 &amp; 0.16 &amp; 1 \\ \hline</v>
      </c>
    </row>
    <row r="172" spans="1:69" ht="16">
      <c r="A172" t="s">
        <v>306</v>
      </c>
      <c r="C172" s="310"/>
      <c r="J172" t="s">
        <v>626</v>
      </c>
      <c r="L172" s="48" t="s">
        <v>611</v>
      </c>
      <c r="M172" s="77"/>
      <c r="O172" s="81">
        <f>P172-2</f>
        <v>36</v>
      </c>
      <c r="P172" s="81">
        <v>38</v>
      </c>
      <c r="Q172" s="129">
        <f>O172/$F$170</f>
        <v>0.5</v>
      </c>
      <c r="R172" s="129">
        <f>O172/P172</f>
        <v>0.94736842105263153</v>
      </c>
      <c r="S172" s="127">
        <f>2*(Q172*R172)/(Q172+R172)</f>
        <v>0.65454545454545454</v>
      </c>
      <c r="U172" s="81">
        <f>V172-1</f>
        <v>7</v>
      </c>
      <c r="V172" s="81">
        <f>$G$170-3</f>
        <v>8</v>
      </c>
      <c r="W172" s="129">
        <f>U172/$G$170</f>
        <v>0.63636363636363635</v>
      </c>
      <c r="X172" s="129">
        <f>U172/V172</f>
        <v>0.875</v>
      </c>
      <c r="Y172" s="127">
        <f>2*(W172*X172)/(W172+X172)</f>
        <v>0.73684210526315785</v>
      </c>
      <c r="AA172" s="81">
        <f>AB172-9</f>
        <v>21</v>
      </c>
      <c r="AB172" s="81">
        <f>P172-8</f>
        <v>30</v>
      </c>
      <c r="AC172" s="129">
        <f>AA172/$I$170</f>
        <v>0.33333333333333331</v>
      </c>
      <c r="AD172" s="129">
        <f>AA172/AB172</f>
        <v>0.7</v>
      </c>
      <c r="AE172" s="127">
        <f>2*(AC172*AD172)/(AC172+AD172)</f>
        <v>0.45161290322580644</v>
      </c>
      <c r="AG172" s="81">
        <v>5</v>
      </c>
      <c r="AH172" s="81">
        <v>5</v>
      </c>
      <c r="AI172" s="127">
        <f>AG172/$H$170</f>
        <v>0.2</v>
      </c>
      <c r="AJ172" s="127">
        <f>AG172/AH172</f>
        <v>1</v>
      </c>
      <c r="AW172" s="101">
        <f>($F$170-N172)/$F$170</f>
        <v>1</v>
      </c>
      <c r="AY172" s="101">
        <f>($G$170-AN172)/$G$170</f>
        <v>1</v>
      </c>
      <c r="AZ172" s="101" t="e">
        <f>AR172/AQ172</f>
        <v>#DIV/0!</v>
      </c>
      <c r="BA172" s="101" t="e">
        <f>AT172/AS172</f>
        <v>#DIV/0!</v>
      </c>
      <c r="BB172" s="85" t="e">
        <f>(AW172+AY172+AZ172+BA172)/4</f>
        <v>#DIV/0!</v>
      </c>
      <c r="BC172" s="13">
        <f>AP172/$H$170</f>
        <v>0</v>
      </c>
      <c r="BD172" s="118" t="e">
        <f>AV172/AP172</f>
        <v>#DIV/0!</v>
      </c>
      <c r="BE172" s="13" t="e">
        <f>AO172/AP172</f>
        <v>#DIV/0!</v>
      </c>
      <c r="BF172" s="13">
        <f>AT172/$H$170</f>
        <v>0</v>
      </c>
      <c r="BG172" s="13">
        <f>AR172/$H$170</f>
        <v>0</v>
      </c>
      <c r="BQ172" t="str">
        <f t="shared" ref="BQ172:BQ174" si="28">_xlfn.CONCAT($C$170," &amp; ",C172," &amp; ",Q172," &amp; ",R172," &amp; ",S172," &amp; ",W172," &amp; ",X172," &amp; ",Y172," &amp; ",AC172," &amp; ",AD172," &amp; ",AE172," &amp; ",AG172," &amp; ",AH172," &amp; ",AI172," &amp; ",AJ172, " \\ \hline")</f>
        <v>6-1 &amp;  &amp; 0.5 &amp; 0.947368421052632 &amp; 0.654545454545455 &amp; 0.636363636363636 &amp; 0.875 &amp; 0.736842105263158 &amp; 0.333333333333333 &amp; 0.7 &amp; 0.451612903225806 &amp; 5 &amp; 5 &amp; 0.2 &amp; 1 \\ \hline</v>
      </c>
    </row>
    <row r="173" spans="1:69" ht="16">
      <c r="A173" t="s">
        <v>307</v>
      </c>
      <c r="C173" s="310"/>
      <c r="J173" t="s">
        <v>627</v>
      </c>
      <c r="L173" s="48" t="s">
        <v>612</v>
      </c>
      <c r="M173" s="77"/>
      <c r="O173" s="81">
        <f>P173-3</f>
        <v>35</v>
      </c>
      <c r="P173" s="81">
        <v>38</v>
      </c>
      <c r="Q173" s="129">
        <f>O173/$F$170</f>
        <v>0.4861111111111111</v>
      </c>
      <c r="R173" s="129">
        <f>O173/P173</f>
        <v>0.92105263157894735</v>
      </c>
      <c r="S173" s="127">
        <f>2*(Q173*R173)/(Q173+R173)</f>
        <v>0.63636363636363624</v>
      </c>
      <c r="U173" s="81">
        <f>V173-1</f>
        <v>6</v>
      </c>
      <c r="V173" s="81">
        <f>$G$170-4</f>
        <v>7</v>
      </c>
      <c r="W173" s="129">
        <f>U173/$G$170</f>
        <v>0.54545454545454541</v>
      </c>
      <c r="X173" s="129">
        <f>U173/V173</f>
        <v>0.8571428571428571</v>
      </c>
      <c r="Y173" s="127">
        <f>2*(W173*X173)/(W173+X173)</f>
        <v>0.66666666666666652</v>
      </c>
      <c r="AA173" s="81">
        <f>AB173-18</f>
        <v>17</v>
      </c>
      <c r="AB173" s="81">
        <f>P173-3</f>
        <v>35</v>
      </c>
      <c r="AC173" s="129">
        <f>AA173/$I$170</f>
        <v>0.26984126984126983</v>
      </c>
      <c r="AD173" s="129">
        <f>AA173/AB173</f>
        <v>0.48571428571428571</v>
      </c>
      <c r="AE173" s="127">
        <f>2*(AC173*AD173)/(AC173+AD173)</f>
        <v>0.34693877551020408</v>
      </c>
      <c r="AG173" s="81">
        <f>AH173-0</f>
        <v>23</v>
      </c>
      <c r="AH173" s="81">
        <v>23</v>
      </c>
      <c r="AI173" s="127">
        <f>AG173/$H$170</f>
        <v>0.92</v>
      </c>
      <c r="AJ173" s="127">
        <f>AG173/AH173</f>
        <v>1</v>
      </c>
      <c r="AW173" s="101">
        <f>($F$170-N173)/$F$170</f>
        <v>1</v>
      </c>
      <c r="AY173" s="101">
        <f>($G$170-AN173)/$G$170</f>
        <v>1</v>
      </c>
      <c r="AZ173" s="101" t="e">
        <f>AR173/AQ173</f>
        <v>#DIV/0!</v>
      </c>
      <c r="BA173" s="101" t="e">
        <f>AT173/AS173</f>
        <v>#DIV/0!</v>
      </c>
      <c r="BB173" s="85" t="e">
        <f>(AW173+AY173+AZ173+BA173)/4</f>
        <v>#DIV/0!</v>
      </c>
      <c r="BC173" s="13">
        <f>AP173/$H$170</f>
        <v>0</v>
      </c>
      <c r="BD173" s="118" t="e">
        <f>AV173/AP173</f>
        <v>#DIV/0!</v>
      </c>
      <c r="BE173" s="13" t="e">
        <f>AO173/AP173</f>
        <v>#DIV/0!</v>
      </c>
      <c r="BF173" s="13">
        <f>AT173/$H$170</f>
        <v>0</v>
      </c>
      <c r="BG173" s="13">
        <f>AR173/$H$170</f>
        <v>0</v>
      </c>
      <c r="BQ173" t="str">
        <f t="shared" si="28"/>
        <v>6-1 &amp;  &amp; 0.486111111111111 &amp; 0.921052631578947 &amp; 0.636363636363636 &amp; 0.545454545454545 &amp; 0.857142857142857 &amp; 0.666666666666667 &amp; 0.26984126984127 &amp; 0.485714285714286 &amp; 0.346938775510204 &amp; 23 &amp; 23 &amp; 0.92 &amp; 1 \\ \hline</v>
      </c>
    </row>
    <row r="174" spans="1:69" ht="16">
      <c r="A174" t="s">
        <v>308</v>
      </c>
      <c r="C174" s="310"/>
      <c r="J174" t="s">
        <v>629</v>
      </c>
      <c r="L174" s="48" t="s">
        <v>613</v>
      </c>
      <c r="M174" s="77"/>
      <c r="O174" s="81">
        <f>P174-4</f>
        <v>44</v>
      </c>
      <c r="P174" s="81">
        <f>$F$170-24</f>
        <v>48</v>
      </c>
      <c r="Q174" s="129">
        <f>O174/$F$170</f>
        <v>0.61111111111111116</v>
      </c>
      <c r="R174" s="129">
        <f>O174/P174</f>
        <v>0.91666666666666663</v>
      </c>
      <c r="S174" s="127">
        <f>2*(Q174*R174)/(Q174+R174)</f>
        <v>0.73333333333333339</v>
      </c>
      <c r="U174" s="81">
        <f>V174-2</f>
        <v>8</v>
      </c>
      <c r="V174" s="81">
        <f>$G$170-1</f>
        <v>10</v>
      </c>
      <c r="W174" s="129">
        <f>U174/$G$170</f>
        <v>0.72727272727272729</v>
      </c>
      <c r="X174" s="129">
        <f>U174/V174</f>
        <v>0.8</v>
      </c>
      <c r="Y174" s="127">
        <f>2*(W174*X174)/(W174+X174)</f>
        <v>0.76190476190476197</v>
      </c>
      <c r="AA174" s="81">
        <f>AB174-14</f>
        <v>25</v>
      </c>
      <c r="AB174" s="81">
        <f>$P$174-9</f>
        <v>39</v>
      </c>
      <c r="AC174" s="129">
        <f>AA174/$I$170</f>
        <v>0.3968253968253968</v>
      </c>
      <c r="AD174" s="129">
        <f>AA174/AB174</f>
        <v>0.64102564102564108</v>
      </c>
      <c r="AE174" s="127">
        <f>2*(AC174*AD174)/(AC174+AD174)</f>
        <v>0.49019607843137253</v>
      </c>
      <c r="AG174" s="81">
        <f>AH174-0</f>
        <v>11</v>
      </c>
      <c r="AH174" s="81">
        <v>11</v>
      </c>
      <c r="AI174" s="127">
        <f>AG174/$H$170</f>
        <v>0.44</v>
      </c>
      <c r="AJ174" s="127">
        <f>AG174/AH174</f>
        <v>1</v>
      </c>
      <c r="AW174" s="101">
        <f>($F$170-N174)/$F$170</f>
        <v>1</v>
      </c>
      <c r="AY174" s="101">
        <f>($G$170-AN174)/$G$170</f>
        <v>1</v>
      </c>
      <c r="AZ174" s="101" t="e">
        <f>AR174/AQ174</f>
        <v>#DIV/0!</v>
      </c>
      <c r="BA174" s="101" t="e">
        <f>AT174/AS174</f>
        <v>#DIV/0!</v>
      </c>
      <c r="BB174" s="85" t="e">
        <f>(AW174+AY174+AZ174+BA174)/4</f>
        <v>#DIV/0!</v>
      </c>
      <c r="BC174" s="13">
        <f>AP174/$H$170</f>
        <v>0</v>
      </c>
      <c r="BD174" s="118" t="e">
        <f>AV174/AP174</f>
        <v>#DIV/0!</v>
      </c>
      <c r="BE174" s="13" t="e">
        <f>AO174/AP174</f>
        <v>#DIV/0!</v>
      </c>
      <c r="BF174" s="13">
        <f>AT174/$H$170</f>
        <v>0</v>
      </c>
      <c r="BG174" s="13">
        <f>AR174/$H$170</f>
        <v>0</v>
      </c>
      <c r="BQ174" t="str">
        <f t="shared" si="28"/>
        <v>6-1 &amp;  &amp; 0.611111111111111 &amp; 0.916666666666667 &amp; 0.733333333333333 &amp; 0.727272727272727 &amp; 0.8 &amp; 0.761904761904762 &amp; 0.396825396825397 &amp; 0.641025641025641 &amp; 0.490196078431373 &amp; 11 &amp; 11 &amp; 0.44 &amp; 1 \\ \hline</v>
      </c>
    </row>
    <row r="175" spans="1:69">
      <c r="A175" s="107" t="s">
        <v>309</v>
      </c>
      <c r="C175" s="98"/>
      <c r="L175" s="164" t="s">
        <v>642</v>
      </c>
      <c r="O175" s="81">
        <f>P175-3</f>
        <v>52</v>
      </c>
      <c r="P175" s="81">
        <f>$F$170-17</f>
        <v>55</v>
      </c>
      <c r="Q175" s="129">
        <f>O175/$F$170</f>
        <v>0.72222222222222221</v>
      </c>
      <c r="R175" s="129">
        <f>O175/P175</f>
        <v>0.94545454545454544</v>
      </c>
      <c r="S175" s="127">
        <f>2*(Q175*R175)/(Q175+R175)</f>
        <v>0.81889763779527558</v>
      </c>
      <c r="U175" s="81">
        <f>V175-2</f>
        <v>8</v>
      </c>
      <c r="V175" s="81">
        <f>$G$170-1</f>
        <v>10</v>
      </c>
      <c r="W175" s="129">
        <f>U175/$G$170</f>
        <v>0.72727272727272729</v>
      </c>
      <c r="X175" s="129">
        <f>U175/V175</f>
        <v>0.8</v>
      </c>
      <c r="Y175" s="127">
        <f>2*(W175*X175)/(W175+X175)</f>
        <v>0.76190476190476197</v>
      </c>
      <c r="AA175" s="81">
        <f>AB175-14</f>
        <v>32</v>
      </c>
      <c r="AB175" s="81">
        <f>$P$175-9</f>
        <v>46</v>
      </c>
      <c r="AC175" s="129">
        <f>AA175/$I$170</f>
        <v>0.50793650793650791</v>
      </c>
      <c r="AD175" s="129">
        <f>AA175/AB175</f>
        <v>0.69565217391304346</v>
      </c>
      <c r="AE175" s="127">
        <f>2*(AC175*AD175)/(AC175+AD175)</f>
        <v>0.58715596330275222</v>
      </c>
      <c r="AG175" s="81">
        <f>AH175-0</f>
        <v>5</v>
      </c>
      <c r="AH175" s="81">
        <v>5</v>
      </c>
      <c r="AI175" s="127">
        <f>AG175/$H$170</f>
        <v>0.2</v>
      </c>
      <c r="AJ175" s="127">
        <f>AG175/AH175</f>
        <v>1</v>
      </c>
    </row>
    <row r="176" spans="1:69" s="75" customFormat="1">
      <c r="A176" s="75" t="s">
        <v>335</v>
      </c>
      <c r="B176" s="94">
        <v>45178</v>
      </c>
      <c r="C176" s="93" t="s">
        <v>150</v>
      </c>
      <c r="D176" s="78">
        <f>VLOOKUP($C$176,Overview!$Q$2:$AS$64,23,FALSE)</f>
        <v>2.794074291209645</v>
      </c>
      <c r="E176" s="78" t="str">
        <f>VLOOKUP($C$176,Overview!$Q$2:$AS$64,24,FALSE)</f>
        <v>high</v>
      </c>
      <c r="F176" s="75">
        <f>VLOOKUP(C176,Overview!$Q$2:$AS$64,13,FALSE)</f>
        <v>75</v>
      </c>
      <c r="G176" s="75">
        <f>VLOOKUP(C176,Overview!$Q$2:$AS$64,16,FALSE)</f>
        <v>12</v>
      </c>
      <c r="H176" s="75">
        <f>VLOOKUP(C176,Overview!$Q$2:$AS$64,18,FALSE)</f>
        <v>31</v>
      </c>
      <c r="I176" s="75">
        <f>VLOOKUP($C$176,Overview!$Q$2:$AS$64,19,FALSE)</f>
        <v>68</v>
      </c>
      <c r="K176" s="75" t="str">
        <f>VLOOKUP($C$176,Overview!$Q$2:$AS$64,5,FALSE)</f>
        <v>6-2, 5-2</v>
      </c>
      <c r="L176" s="96"/>
      <c r="N176" s="115"/>
      <c r="O176" s="97"/>
      <c r="P176" s="97"/>
      <c r="Q176" s="130"/>
      <c r="R176" s="130"/>
      <c r="S176" s="128"/>
      <c r="T176" s="115"/>
      <c r="U176" s="97"/>
      <c r="V176" s="97"/>
      <c r="W176" s="130"/>
      <c r="X176" s="130"/>
      <c r="Y176" s="128"/>
      <c r="Z176" s="115"/>
      <c r="AA176" s="97"/>
      <c r="AB176" s="97"/>
      <c r="AC176" s="130"/>
      <c r="AD176" s="130"/>
      <c r="AE176" s="128"/>
      <c r="AF176" s="115"/>
      <c r="AG176" s="97"/>
      <c r="AH176" s="97"/>
      <c r="AI176" s="128"/>
      <c r="AJ176" s="132"/>
      <c r="AK176" s="97"/>
      <c r="AL176" s="115"/>
      <c r="AM176" s="122"/>
      <c r="AN176" s="101"/>
      <c r="AQ176" s="101"/>
      <c r="AR176" s="101"/>
      <c r="AV176" s="119"/>
      <c r="AW176" s="101"/>
      <c r="AX176" s="101"/>
      <c r="AY176" s="101"/>
      <c r="AZ176" s="101"/>
      <c r="BA176" s="101"/>
      <c r="BB176" s="83"/>
      <c r="BD176" s="101"/>
      <c r="BQ176"/>
    </row>
    <row r="177" spans="1:69" ht="16">
      <c r="A177" t="s">
        <v>305</v>
      </c>
      <c r="C177" s="310"/>
      <c r="J177" t="s">
        <v>634</v>
      </c>
      <c r="L177" s="48" t="s">
        <v>610</v>
      </c>
      <c r="M177" s="77"/>
      <c r="O177" s="81">
        <f>P177-3</f>
        <v>50</v>
      </c>
      <c r="P177" s="81">
        <f>F176-22</f>
        <v>53</v>
      </c>
      <c r="Q177" s="129">
        <f>O177/$F$176</f>
        <v>0.66666666666666663</v>
      </c>
      <c r="R177" s="129">
        <f>O177/P177</f>
        <v>0.94339622641509435</v>
      </c>
      <c r="S177" s="127">
        <f>2*(Q177*R177)/(Q177+R177)</f>
        <v>0.78124999999999989</v>
      </c>
      <c r="U177" s="81">
        <f>V177-3</f>
        <v>8</v>
      </c>
      <c r="V177" s="81">
        <f>G176-1</f>
        <v>11</v>
      </c>
      <c r="W177" s="129">
        <f>U177/$G$176</f>
        <v>0.66666666666666663</v>
      </c>
      <c r="X177" s="129">
        <f>U177/V177</f>
        <v>0.72727272727272729</v>
      </c>
      <c r="Y177" s="127">
        <f>2*(W177*X177)/(W177+X177)</f>
        <v>0.69565217391304346</v>
      </c>
      <c r="AA177" s="81">
        <f>AB177-25</f>
        <v>23</v>
      </c>
      <c r="AB177" s="81">
        <f>P177-5</f>
        <v>48</v>
      </c>
      <c r="AC177" s="129">
        <f>AA177/$I$176</f>
        <v>0.33823529411764708</v>
      </c>
      <c r="AD177" s="129">
        <f>AA177/AB177</f>
        <v>0.47916666666666669</v>
      </c>
      <c r="AE177" s="127">
        <f>2*(AC177*AD177)/(AC177+AD177)</f>
        <v>0.39655172413793105</v>
      </c>
      <c r="AG177" s="81">
        <f>AH177-0</f>
        <v>2</v>
      </c>
      <c r="AH177" s="81">
        <v>2</v>
      </c>
      <c r="AI177" s="127">
        <f>AG177/$H$176</f>
        <v>6.4516129032258063E-2</v>
      </c>
      <c r="AJ177" s="127">
        <f>AG177/AH177</f>
        <v>1</v>
      </c>
      <c r="AW177" s="101">
        <f>($F$176-N177)/$F$176</f>
        <v>1</v>
      </c>
      <c r="AY177" s="101">
        <f>($G$176-AN177)/$G$176</f>
        <v>1</v>
      </c>
      <c r="AZ177" s="101" t="e">
        <f>AR177/AQ177</f>
        <v>#DIV/0!</v>
      </c>
      <c r="BA177" s="101" t="e">
        <f>AT177/AS177</f>
        <v>#DIV/0!</v>
      </c>
      <c r="BB177" s="85" t="e">
        <f>(AW177+AY177+AZ177+BA177)/4</f>
        <v>#DIV/0!</v>
      </c>
      <c r="BC177" s="13">
        <f>AP177/$H$176</f>
        <v>0</v>
      </c>
      <c r="BD177" s="118" t="e">
        <f>AV177/AP177</f>
        <v>#DIV/0!</v>
      </c>
      <c r="BE177" s="13" t="e">
        <f>AO177/AP177</f>
        <v>#DIV/0!</v>
      </c>
      <c r="BF177" s="13">
        <f>AT177/$H$176</f>
        <v>0</v>
      </c>
      <c r="BG177" s="13">
        <f>AR177/$H$176</f>
        <v>0</v>
      </c>
      <c r="BQ177" t="str">
        <f>_xlfn.CONCAT($C$176," &amp; ",C177," &amp; ",Q177," &amp; ",R177," &amp; ",S177," &amp; ",W177," &amp; ",X177," &amp; ",Y177," &amp; ",AC177," &amp; ",AD177," &amp; ",AE177," &amp; ",AG177," &amp; ",AH177," &amp; ",AI177," &amp; ",AJ177, " \\ \hline")</f>
        <v>4-1 &amp;  &amp; 0.666666666666667 &amp; 0.943396226415094 &amp; 0.78125 &amp; 0.666666666666667 &amp; 0.727272727272727 &amp; 0.695652173913043 &amp; 0.338235294117647 &amp; 0.479166666666667 &amp; 0.396551724137931 &amp; 2 &amp; 2 &amp; 0.0645161290322581 &amp; 1 \\ \hline</v>
      </c>
    </row>
    <row r="178" spans="1:69" ht="16">
      <c r="A178" t="s">
        <v>306</v>
      </c>
      <c r="C178" s="310"/>
      <c r="J178" t="s">
        <v>635</v>
      </c>
      <c r="L178" s="48" t="s">
        <v>611</v>
      </c>
      <c r="M178" s="77"/>
      <c r="O178" s="81">
        <f>P178-3</f>
        <v>48</v>
      </c>
      <c r="P178" s="81">
        <f>F176-24</f>
        <v>51</v>
      </c>
      <c r="Q178" s="129">
        <f>O178/$F$176</f>
        <v>0.64</v>
      </c>
      <c r="R178" s="129">
        <f>O178/P178</f>
        <v>0.94117647058823528</v>
      </c>
      <c r="S178" s="127">
        <f>2*(Q178*R178)/(Q178+R178)</f>
        <v>0.76190476190476208</v>
      </c>
      <c r="U178" s="81">
        <f>V178-1</f>
        <v>9</v>
      </c>
      <c r="V178" s="81">
        <f>G176-2</f>
        <v>10</v>
      </c>
      <c r="W178" s="129">
        <f>U178/$G$176</f>
        <v>0.75</v>
      </c>
      <c r="X178" s="129">
        <f>U178/V178</f>
        <v>0.9</v>
      </c>
      <c r="Y178" s="127">
        <f>2*(W178*X178)/(W178+X178)</f>
        <v>0.81818181818181823</v>
      </c>
      <c r="AA178" s="81">
        <f>AB178-23</f>
        <v>24</v>
      </c>
      <c r="AB178" s="81">
        <f>P178-4</f>
        <v>47</v>
      </c>
      <c r="AC178" s="129">
        <f>AA178/$I$176</f>
        <v>0.35294117647058826</v>
      </c>
      <c r="AD178" s="129">
        <f>AA178/AB178</f>
        <v>0.51063829787234039</v>
      </c>
      <c r="AE178" s="127">
        <f>2*(AC178*AD178)/(AC178+AD178)</f>
        <v>0.41739130434782612</v>
      </c>
      <c r="AG178" s="81">
        <f>AH178-0</f>
        <v>7</v>
      </c>
      <c r="AH178" s="81">
        <v>7</v>
      </c>
      <c r="AI178" s="127">
        <f>AG178/$H$176</f>
        <v>0.22580645161290322</v>
      </c>
      <c r="AJ178" s="127">
        <f>AG178/AH178</f>
        <v>1</v>
      </c>
      <c r="AW178" s="101">
        <f>($F$176-N178)/$F$176</f>
        <v>1</v>
      </c>
      <c r="AY178" s="101">
        <f>($G$176-AN178)/$G$176</f>
        <v>1</v>
      </c>
      <c r="AZ178" s="101" t="e">
        <f>AR178/AQ178</f>
        <v>#DIV/0!</v>
      </c>
      <c r="BA178" s="101" t="e">
        <f>AT178/AS178</f>
        <v>#DIV/0!</v>
      </c>
      <c r="BB178" s="85" t="e">
        <f>(AW178+AY178+AZ178+BA178)/4</f>
        <v>#DIV/0!</v>
      </c>
      <c r="BC178" s="13">
        <f>AP178/$H$176</f>
        <v>0</v>
      </c>
      <c r="BD178" s="118" t="e">
        <f>AV178/AP178</f>
        <v>#DIV/0!</v>
      </c>
      <c r="BE178" s="13" t="e">
        <f>AO178/AP178</f>
        <v>#DIV/0!</v>
      </c>
      <c r="BF178" s="13">
        <f>AT178/$H$176</f>
        <v>0</v>
      </c>
      <c r="BG178" s="13">
        <f>AR178/$H$176</f>
        <v>0</v>
      </c>
      <c r="BQ178" t="str">
        <f t="shared" ref="BQ178:BQ180" si="29">_xlfn.CONCAT($C$176," &amp; ",C178," &amp; ",Q178," &amp; ",R178," &amp; ",S178," &amp; ",W178," &amp; ",X178," &amp; ",Y178," &amp; ",AC178," &amp; ",AD178," &amp; ",AE178," &amp; ",AG178," &amp; ",AH178," &amp; ",AI178," &amp; ",AJ178, " \\ \hline")</f>
        <v>4-1 &amp;  &amp; 0.64 &amp; 0.941176470588235 &amp; 0.761904761904762 &amp; 0.75 &amp; 0.9 &amp; 0.818181818181818 &amp; 0.352941176470588 &amp; 0.51063829787234 &amp; 0.417391304347826 &amp; 7 &amp; 7 &amp; 0.225806451612903 &amp; 1 \\ \hline</v>
      </c>
    </row>
    <row r="179" spans="1:69" ht="16">
      <c r="A179" t="s">
        <v>307</v>
      </c>
      <c r="C179" s="310"/>
      <c r="J179" t="s">
        <v>636</v>
      </c>
      <c r="L179" s="48" t="s">
        <v>612</v>
      </c>
      <c r="M179" s="77"/>
      <c r="O179" s="81">
        <f>P179-3</f>
        <v>53</v>
      </c>
      <c r="P179" s="81">
        <f>$F$176-19</f>
        <v>56</v>
      </c>
      <c r="Q179" s="129">
        <f>O179/$F$176</f>
        <v>0.70666666666666667</v>
      </c>
      <c r="R179" s="129">
        <f>O179/P179</f>
        <v>0.9464285714285714</v>
      </c>
      <c r="S179" s="127">
        <f>2*(Q179*R179)/(Q179+R179)</f>
        <v>0.80916030534351135</v>
      </c>
      <c r="U179" s="81">
        <f>V179-1</f>
        <v>11</v>
      </c>
      <c r="V179" s="81">
        <f>$G$176-0</f>
        <v>12</v>
      </c>
      <c r="W179" s="129">
        <f>U179/$G$176</f>
        <v>0.91666666666666663</v>
      </c>
      <c r="X179" s="129">
        <f>U179/V179</f>
        <v>0.91666666666666663</v>
      </c>
      <c r="Y179" s="127">
        <f>2*(W179*X179)/(W179+X179)</f>
        <v>0.91666666666666663</v>
      </c>
      <c r="AA179" s="81">
        <f>AB179-21</f>
        <v>31</v>
      </c>
      <c r="AB179" s="81">
        <f>P179-4</f>
        <v>52</v>
      </c>
      <c r="AC179" s="129">
        <f>AA179/$I$176</f>
        <v>0.45588235294117646</v>
      </c>
      <c r="AD179" s="129">
        <f>AA179/AB179</f>
        <v>0.59615384615384615</v>
      </c>
      <c r="AE179" s="127">
        <f>2*(AC179*AD179)/(AC179+AD179)</f>
        <v>0.51666666666666661</v>
      </c>
      <c r="AG179" s="81">
        <f>AH179-0</f>
        <v>9</v>
      </c>
      <c r="AH179" s="81">
        <v>9</v>
      </c>
      <c r="AI179" s="127">
        <f>AG179/$H$176</f>
        <v>0.29032258064516131</v>
      </c>
      <c r="AJ179" s="127">
        <f>AG179/AH179</f>
        <v>1</v>
      </c>
      <c r="AW179" s="101">
        <f>($F$176-N179)/$F$176</f>
        <v>1</v>
      </c>
      <c r="AY179" s="101">
        <f>($G$176-AN179)/$G$176</f>
        <v>1</v>
      </c>
      <c r="AZ179" s="101" t="e">
        <f>AR179/AQ179</f>
        <v>#DIV/0!</v>
      </c>
      <c r="BA179" s="101" t="e">
        <f>AT179/AS179</f>
        <v>#DIV/0!</v>
      </c>
      <c r="BB179" s="85" t="e">
        <f>(AW179+AY179+AZ179+BA179)/4</f>
        <v>#DIV/0!</v>
      </c>
      <c r="BC179" s="13">
        <f>AP179/$H$176</f>
        <v>0</v>
      </c>
      <c r="BD179" s="118" t="e">
        <f>AV179/AP179</f>
        <v>#DIV/0!</v>
      </c>
      <c r="BE179" s="13" t="e">
        <f>AO179/AP179</f>
        <v>#DIV/0!</v>
      </c>
      <c r="BF179" s="13">
        <f>AT179/$H$176</f>
        <v>0</v>
      </c>
      <c r="BG179" s="13">
        <f>AR179/$H$176</f>
        <v>0</v>
      </c>
      <c r="BQ179" t="str">
        <f t="shared" si="29"/>
        <v>4-1 &amp;  &amp; 0.706666666666667 &amp; 0.946428571428571 &amp; 0.809160305343511 &amp; 0.916666666666667 &amp; 0.916666666666667 &amp; 0.916666666666667 &amp; 0.455882352941176 &amp; 0.596153846153846 &amp; 0.516666666666667 &amp; 9 &amp; 9 &amp; 0.290322580645161 &amp; 1 \\ \hline</v>
      </c>
    </row>
    <row r="180" spans="1:69" ht="16">
      <c r="A180" t="s">
        <v>308</v>
      </c>
      <c r="C180" s="310"/>
      <c r="J180" t="s">
        <v>637</v>
      </c>
      <c r="L180" s="48" t="s">
        <v>613</v>
      </c>
      <c r="M180" s="77"/>
      <c r="O180" s="81">
        <f>P180-1</f>
        <v>48</v>
      </c>
      <c r="P180" s="81">
        <f>$F$176-26</f>
        <v>49</v>
      </c>
      <c r="Q180" s="129">
        <f>O180/$F$176</f>
        <v>0.64</v>
      </c>
      <c r="R180" s="129">
        <f>O180/P180</f>
        <v>0.97959183673469385</v>
      </c>
      <c r="S180" s="127">
        <f>2*(Q180*R180)/(Q180+R180)</f>
        <v>0.77419354838709675</v>
      </c>
      <c r="U180" s="81">
        <f>V180-0</f>
        <v>8</v>
      </c>
      <c r="V180" s="81">
        <f>$G$176-4</f>
        <v>8</v>
      </c>
      <c r="W180" s="129">
        <f>U180/$G$176</f>
        <v>0.66666666666666663</v>
      </c>
      <c r="X180" s="129">
        <f>U180/V180</f>
        <v>1</v>
      </c>
      <c r="Y180" s="127">
        <f>2*(W180*X180)/(W180+X180)</f>
        <v>0.8</v>
      </c>
      <c r="AA180" s="81">
        <f>AB180-21</f>
        <v>21</v>
      </c>
      <c r="AB180" s="81">
        <f>$I$176-26</f>
        <v>42</v>
      </c>
      <c r="AC180" s="129">
        <f>AA180/$I$176</f>
        <v>0.30882352941176472</v>
      </c>
      <c r="AD180" s="129">
        <f>AA180/AB180</f>
        <v>0.5</v>
      </c>
      <c r="AE180" s="127">
        <f>2*(AC180*AD180)/(AC180+AD180)</f>
        <v>0.38181818181818183</v>
      </c>
      <c r="AG180" s="81">
        <f>AH180-0</f>
        <v>9</v>
      </c>
      <c r="AH180" s="81">
        <v>9</v>
      </c>
      <c r="AI180" s="127">
        <f>AG180/$H$176</f>
        <v>0.29032258064516131</v>
      </c>
      <c r="AJ180" s="127">
        <f>AG180/AH180</f>
        <v>1</v>
      </c>
      <c r="AW180" s="101">
        <f>($F$176-N180)/$F$176</f>
        <v>1</v>
      </c>
      <c r="AY180" s="101">
        <f>($G$176-AN180)/$G$176</f>
        <v>1</v>
      </c>
      <c r="AZ180" s="101" t="e">
        <f>AR180/AQ180</f>
        <v>#DIV/0!</v>
      </c>
      <c r="BA180" s="101" t="e">
        <f>AT180/AS180</f>
        <v>#DIV/0!</v>
      </c>
      <c r="BB180" s="85" t="e">
        <f>(AW180+AY180+AZ180+BA180)/4</f>
        <v>#DIV/0!</v>
      </c>
      <c r="BC180" s="13">
        <f>AP180/$H$176</f>
        <v>0</v>
      </c>
      <c r="BD180" s="118" t="e">
        <f>AV180/AP180</f>
        <v>#DIV/0!</v>
      </c>
      <c r="BE180" s="13" t="e">
        <f>AO180/AP180</f>
        <v>#DIV/0!</v>
      </c>
      <c r="BF180" s="13">
        <f>AT180/$H$176</f>
        <v>0</v>
      </c>
      <c r="BG180" s="13">
        <f>AR180/$H$176</f>
        <v>0</v>
      </c>
      <c r="BQ180" t="str">
        <f t="shared" si="29"/>
        <v>4-1 &amp;  &amp; 0.64 &amp; 0.979591836734694 &amp; 0.774193548387097 &amp; 0.666666666666667 &amp; 1 &amp; 0.8 &amp; 0.308823529411765 &amp; 0.5 &amp; 0.381818181818182 &amp; 9 &amp; 9 &amp; 0.290322580645161 &amp; 1 \\ \hline</v>
      </c>
    </row>
    <row r="181" spans="1:69">
      <c r="C181" s="98"/>
      <c r="Q181" s="129"/>
      <c r="R181" s="129"/>
      <c r="S181" s="127"/>
      <c r="W181" s="129"/>
      <c r="X181" s="129"/>
      <c r="Y181" s="127"/>
      <c r="AC181" s="129"/>
      <c r="AD181" s="129"/>
      <c r="AE181" s="127"/>
      <c r="AI181" s="127"/>
      <c r="AJ181" s="131"/>
    </row>
    <row r="182" spans="1:69" s="75" customFormat="1">
      <c r="A182" s="73" t="s">
        <v>336</v>
      </c>
      <c r="B182" s="75" t="s">
        <v>387</v>
      </c>
      <c r="C182" s="93" t="s">
        <v>398</v>
      </c>
      <c r="D182" s="78">
        <f>VLOOKUP($C$182,Overview!$Q$2:$AS$64,23,FALSE)</f>
        <v>3.2133281387646022</v>
      </c>
      <c r="E182" s="78" t="str">
        <f>VLOOKUP($C$182,Overview!$Q$2:$AS$64,24,FALSE)</f>
        <v>high</v>
      </c>
      <c r="F182" s="75">
        <f>VLOOKUP(C182,Overview!$Q$2:$AS$64,13,FALSE)</f>
        <v>77</v>
      </c>
      <c r="G182" s="75">
        <f>VLOOKUP(C182,Overview!$Q$2:$AS$64,16,FALSE)</f>
        <v>11</v>
      </c>
      <c r="H182" s="75">
        <f>VLOOKUP(C182,Overview!$Q$2:$AS$64,18,FALSE)</f>
        <v>33</v>
      </c>
      <c r="I182" s="75">
        <f>VLOOKUP($C$182,Overview!$Q$2:$AS$64,19,FALSE)</f>
        <v>72</v>
      </c>
      <c r="K182" s="75" t="str">
        <f>VLOOKUP($C$182,Overview!$Q$2:$AS$64,5,FALSE)</f>
        <v>6-2, 5-1</v>
      </c>
      <c r="L182" s="96"/>
      <c r="N182" s="115"/>
      <c r="O182" s="97"/>
      <c r="P182" s="97"/>
      <c r="Q182" s="130"/>
      <c r="R182" s="130"/>
      <c r="S182" s="128"/>
      <c r="T182" s="115"/>
      <c r="U182" s="97"/>
      <c r="V182" s="97"/>
      <c r="W182" s="130"/>
      <c r="X182" s="130"/>
      <c r="Y182" s="128"/>
      <c r="Z182" s="115"/>
      <c r="AA182" s="97"/>
      <c r="AB182" s="97"/>
      <c r="AC182" s="130"/>
      <c r="AD182" s="130"/>
      <c r="AE182" s="128"/>
      <c r="AF182" s="115"/>
      <c r="AG182" s="97"/>
      <c r="AH182" s="97"/>
      <c r="AI182" s="128"/>
      <c r="AJ182" s="132"/>
      <c r="AK182" s="97"/>
      <c r="AL182" s="115"/>
      <c r="AM182" s="122"/>
      <c r="AN182" s="101"/>
      <c r="AQ182" s="101"/>
      <c r="AR182" s="101"/>
      <c r="AV182" s="119"/>
      <c r="AW182" s="101"/>
      <c r="AX182" s="101"/>
      <c r="AY182" s="101"/>
      <c r="AZ182" s="101"/>
      <c r="BA182" s="101"/>
      <c r="BB182" s="83"/>
      <c r="BD182" s="101"/>
      <c r="BQ182"/>
    </row>
    <row r="183" spans="1:69" ht="16">
      <c r="A183" t="s">
        <v>305</v>
      </c>
      <c r="C183" s="310"/>
      <c r="J183" t="s">
        <v>638</v>
      </c>
      <c r="L183" s="48" t="s">
        <v>610</v>
      </c>
      <c r="M183" s="77"/>
      <c r="O183" s="81">
        <f>P183-13</f>
        <v>34</v>
      </c>
      <c r="P183" s="81">
        <f>$F$182-30</f>
        <v>47</v>
      </c>
      <c r="Q183" s="129">
        <f>O183/$F$182</f>
        <v>0.44155844155844154</v>
      </c>
      <c r="R183" s="129">
        <f>O183/P183</f>
        <v>0.72340425531914898</v>
      </c>
      <c r="S183" s="127">
        <f>2*(Q183*R183)/(Q183+R183)</f>
        <v>0.54838709677419351</v>
      </c>
      <c r="U183" s="81">
        <f>V183-1</f>
        <v>6</v>
      </c>
      <c r="V183" s="81">
        <f>$G$182-4</f>
        <v>7</v>
      </c>
      <c r="W183" s="129">
        <f>U183/$G$182</f>
        <v>0.54545454545454541</v>
      </c>
      <c r="X183" s="129">
        <f>U183/V183</f>
        <v>0.8571428571428571</v>
      </c>
      <c r="Y183" s="127">
        <f>2*(W183*X183)/(W183+X183)</f>
        <v>0.66666666666666652</v>
      </c>
      <c r="AA183" s="81">
        <f>AB183-12</f>
        <v>31</v>
      </c>
      <c r="AB183" s="81">
        <f>$I$182-29</f>
        <v>43</v>
      </c>
      <c r="AC183" s="129">
        <f>AA183/$I$182</f>
        <v>0.43055555555555558</v>
      </c>
      <c r="AD183" s="129">
        <f>AA183/AB183</f>
        <v>0.72093023255813948</v>
      </c>
      <c r="AE183" s="127">
        <f>2*(AC183*AD183)/(AC183+AD183)</f>
        <v>0.53913043478260869</v>
      </c>
      <c r="AG183" s="81">
        <f>AH183-0</f>
        <v>4</v>
      </c>
      <c r="AH183" s="81">
        <v>4</v>
      </c>
      <c r="AI183" s="127">
        <f>AG183/$H$182</f>
        <v>0.12121212121212122</v>
      </c>
      <c r="AJ183" s="127">
        <f>AG183/AH183</f>
        <v>1</v>
      </c>
      <c r="AW183" s="101">
        <f>($F$182-N183)/$F$182</f>
        <v>1</v>
      </c>
      <c r="AY183" s="101">
        <f>($G$182-AN183)/$G$182</f>
        <v>1</v>
      </c>
      <c r="AZ183" s="101" t="e">
        <f>AR183/AQ183</f>
        <v>#DIV/0!</v>
      </c>
      <c r="BA183" s="101" t="e">
        <f>AT183/AS183</f>
        <v>#DIV/0!</v>
      </c>
      <c r="BB183" s="85" t="e">
        <f>(AW183+AY183+AZ183+BA183)/4</f>
        <v>#DIV/0!</v>
      </c>
      <c r="BC183" s="13">
        <f>AP183/$H$182</f>
        <v>0</v>
      </c>
      <c r="BD183" s="118" t="e">
        <f>AV183/AP183</f>
        <v>#DIV/0!</v>
      </c>
      <c r="BE183" s="13" t="e">
        <f>AO183/AP183</f>
        <v>#DIV/0!</v>
      </c>
      <c r="BF183" s="13">
        <f>AT183/$H$182</f>
        <v>0</v>
      </c>
      <c r="BG183" s="13">
        <f>AR183/$H$182</f>
        <v>0</v>
      </c>
      <c r="BQ183" t="str">
        <f>_xlfn.CONCAT($C$182," &amp; ",C183," &amp; ",Q183," &amp; ",R183," &amp; ",S183," &amp; ",W183," &amp; ",X183," &amp; ",Y183," &amp; ",AC183," &amp; ",AD183," &amp; ",AE183," &amp; ",AG183," &amp; ",AH183," &amp; ",AI183," &amp; ",AJ183, " \\ \hline")</f>
        <v>8-7 &amp;  &amp; 0.441558441558442 &amp; 0.723404255319149 &amp; 0.548387096774194 &amp; 0.545454545454545 &amp; 0.857142857142857 &amp; 0.666666666666667 &amp; 0.430555555555556 &amp; 0.720930232558139 &amp; 0.539130434782609 &amp; 4 &amp; 4 &amp; 0.121212121212121 &amp; 1 \\ \hline</v>
      </c>
    </row>
    <row r="184" spans="1:69" ht="16">
      <c r="A184" t="s">
        <v>306</v>
      </c>
      <c r="C184" s="310"/>
      <c r="J184" t="s">
        <v>639</v>
      </c>
      <c r="L184" s="48" t="s">
        <v>611</v>
      </c>
      <c r="M184" s="77"/>
      <c r="O184" s="81">
        <f>P184-12</f>
        <v>40</v>
      </c>
      <c r="P184" s="81">
        <f>$F$182-25</f>
        <v>52</v>
      </c>
      <c r="Q184" s="129">
        <f>O184/$F$182</f>
        <v>0.51948051948051943</v>
      </c>
      <c r="R184" s="129">
        <f>O184/P184</f>
        <v>0.76923076923076927</v>
      </c>
      <c r="S184" s="127">
        <f>2*(Q184*R184)/(Q184+R184)</f>
        <v>0.6201550387596898</v>
      </c>
      <c r="U184" s="81">
        <f>V184-1</f>
        <v>6</v>
      </c>
      <c r="V184" s="81">
        <f>$G$182-4</f>
        <v>7</v>
      </c>
      <c r="W184" s="129">
        <f>U184/$G$182</f>
        <v>0.54545454545454541</v>
      </c>
      <c r="X184" s="129">
        <f>U184/V184</f>
        <v>0.8571428571428571</v>
      </c>
      <c r="Y184" s="127">
        <f>2*(W184*X184)/(W184+X184)</f>
        <v>0.66666666666666652</v>
      </c>
      <c r="AA184" s="81">
        <f>AB184-12</f>
        <v>36</v>
      </c>
      <c r="AB184" s="81">
        <f>$I$182-24</f>
        <v>48</v>
      </c>
      <c r="AC184" s="129">
        <f>AA184/$I$182</f>
        <v>0.5</v>
      </c>
      <c r="AD184" s="129">
        <f>AA184/AB184</f>
        <v>0.75</v>
      </c>
      <c r="AE184" s="127">
        <f>2*(AC184*AD184)/(AC184+AD184)</f>
        <v>0.6</v>
      </c>
      <c r="AG184" s="81">
        <f>AH184-0</f>
        <v>5</v>
      </c>
      <c r="AH184" s="81">
        <v>5</v>
      </c>
      <c r="AI184" s="127">
        <f>AG184/$H$182</f>
        <v>0.15151515151515152</v>
      </c>
      <c r="AJ184" s="127">
        <f>AG184/AH184</f>
        <v>1</v>
      </c>
      <c r="AW184" s="101">
        <f>($F$182-N184)/$F$182</f>
        <v>1</v>
      </c>
      <c r="AY184" s="101">
        <f>($G$182-AN184)/$G$182</f>
        <v>1</v>
      </c>
      <c r="AZ184" s="101" t="e">
        <f>AR184/AQ184</f>
        <v>#DIV/0!</v>
      </c>
      <c r="BA184" s="101" t="e">
        <f>AT184/AS184</f>
        <v>#DIV/0!</v>
      </c>
      <c r="BB184" s="85" t="e">
        <f>(AW184+AY184+AZ184+BA184)/4</f>
        <v>#DIV/0!</v>
      </c>
      <c r="BC184" s="13">
        <f>AP184/$H$182</f>
        <v>0</v>
      </c>
      <c r="BD184" s="118" t="e">
        <f>AV184/AP184</f>
        <v>#DIV/0!</v>
      </c>
      <c r="BE184" s="13" t="e">
        <f>AO184/AP184</f>
        <v>#DIV/0!</v>
      </c>
      <c r="BF184" s="13">
        <f>AT184/$H$182</f>
        <v>0</v>
      </c>
      <c r="BG184" s="13">
        <f>AR184/$H$182</f>
        <v>0</v>
      </c>
      <c r="BQ184" t="str">
        <f t="shared" ref="BQ184:BQ186" si="30">_xlfn.CONCAT($C$182," &amp; ",C184," &amp; ",Q184," &amp; ",R184," &amp; ",S184," &amp; ",W184," &amp; ",X184," &amp; ",Y184," &amp; ",AC184," &amp; ",AD184," &amp; ",AE184," &amp; ",AG184," &amp; ",AH184," &amp; ",AI184," &amp; ",AJ184, " \\ \hline")</f>
        <v>8-7 &amp;  &amp; 0.519480519480519 &amp; 0.769230769230769 &amp; 0.62015503875969 &amp; 0.545454545454545 &amp; 0.857142857142857 &amp; 0.666666666666667 &amp; 0.5 &amp; 0.75 &amp; 0.6 &amp; 5 &amp; 5 &amp; 0.151515151515152 &amp; 1 \\ \hline</v>
      </c>
    </row>
    <row r="185" spans="1:69" ht="16">
      <c r="A185" t="s">
        <v>307</v>
      </c>
      <c r="C185" s="310"/>
      <c r="J185" t="s">
        <v>640</v>
      </c>
      <c r="L185" s="48" t="s">
        <v>612</v>
      </c>
      <c r="M185" s="77"/>
      <c r="O185" s="81">
        <v>8</v>
      </c>
      <c r="P185" s="81">
        <v>19</v>
      </c>
      <c r="Q185" s="129">
        <f>O185/$F$182</f>
        <v>0.1038961038961039</v>
      </c>
      <c r="R185" s="129">
        <f>O185/P185</f>
        <v>0.42105263157894735</v>
      </c>
      <c r="S185" s="127">
        <f>2*(Q185*R185)/(Q185+R185)</f>
        <v>0.16666666666666669</v>
      </c>
      <c r="U185" s="81">
        <f>V185-1</f>
        <v>7</v>
      </c>
      <c r="V185" s="81">
        <v>8</v>
      </c>
      <c r="W185" s="129">
        <f>U185/$G$182</f>
        <v>0.63636363636363635</v>
      </c>
      <c r="X185" s="129">
        <f>U185/V185</f>
        <v>0.875</v>
      </c>
      <c r="Y185" s="127">
        <f>2*(W185*X185)/(W185+X185)</f>
        <v>0.73684210526315785</v>
      </c>
      <c r="AA185" s="81">
        <v>8</v>
      </c>
      <c r="AB185" s="81">
        <v>19</v>
      </c>
      <c r="AC185" s="129">
        <f>AA185/$I$182</f>
        <v>0.1111111111111111</v>
      </c>
      <c r="AD185" s="129">
        <f>AA185/AB185</f>
        <v>0.42105263157894735</v>
      </c>
      <c r="AE185" s="127">
        <f>2*(AC185*AD185)/(AC185+AD185)</f>
        <v>0.17582417582417581</v>
      </c>
      <c r="AG185" s="81">
        <v>12</v>
      </c>
      <c r="AH185" s="81">
        <v>12</v>
      </c>
      <c r="AI185" s="127">
        <f>AG185/$H$182</f>
        <v>0.36363636363636365</v>
      </c>
      <c r="AJ185" s="127">
        <f>AG185/AH185</f>
        <v>1</v>
      </c>
      <c r="AW185" s="101">
        <f>($F$182-N185)/$F$182</f>
        <v>1</v>
      </c>
      <c r="AY185" s="101">
        <f>($G$182-AN185)/$G$182</f>
        <v>1</v>
      </c>
      <c r="AZ185" s="101" t="e">
        <f>AR185/AQ185</f>
        <v>#DIV/0!</v>
      </c>
      <c r="BA185" s="101" t="e">
        <f>AT185/AS185</f>
        <v>#DIV/0!</v>
      </c>
      <c r="BB185" s="85" t="e">
        <f>(AW185+AY185+AZ185+BA185)/4</f>
        <v>#DIV/0!</v>
      </c>
      <c r="BC185" s="13">
        <f>AP185/$H$182</f>
        <v>0</v>
      </c>
      <c r="BD185" s="118" t="e">
        <f>AV185/AP185</f>
        <v>#DIV/0!</v>
      </c>
      <c r="BE185" s="13" t="e">
        <f>AO185/AP185</f>
        <v>#DIV/0!</v>
      </c>
      <c r="BF185" s="13">
        <f>AT185/$H$182</f>
        <v>0</v>
      </c>
      <c r="BG185" s="13">
        <f>AR185/$H$182</f>
        <v>0</v>
      </c>
      <c r="BQ185" t="str">
        <f t="shared" si="30"/>
        <v>8-7 &amp;  &amp; 0.103896103896104 &amp; 0.421052631578947 &amp; 0.166666666666667 &amp; 0.636363636363636 &amp; 0.875 &amp; 0.736842105263158 &amp; 0.111111111111111 &amp; 0.421052631578947 &amp; 0.175824175824176 &amp; 12 &amp; 12 &amp; 0.363636363636364 &amp; 1 \\ \hline</v>
      </c>
    </row>
    <row r="186" spans="1:69" ht="16">
      <c r="A186" t="s">
        <v>308</v>
      </c>
      <c r="C186" s="310"/>
      <c r="J186" t="s">
        <v>641</v>
      </c>
      <c r="L186" s="48" t="s">
        <v>613</v>
      </c>
      <c r="M186" s="77"/>
      <c r="O186" s="81">
        <v>23</v>
      </c>
      <c r="P186" s="81">
        <v>25</v>
      </c>
      <c r="Q186" s="129">
        <f>O186/$F$182</f>
        <v>0.29870129870129869</v>
      </c>
      <c r="R186" s="129">
        <f>O186/P186</f>
        <v>0.92</v>
      </c>
      <c r="S186" s="127">
        <f>2*(Q186*R186)/(Q186+R186)</f>
        <v>0.45098039215686281</v>
      </c>
      <c r="U186" s="81">
        <v>6</v>
      </c>
      <c r="V186" s="81">
        <v>7</v>
      </c>
      <c r="W186" s="129">
        <f>U186/$G$182</f>
        <v>0.54545454545454541</v>
      </c>
      <c r="X186" s="129">
        <f>U186/V186</f>
        <v>0.8571428571428571</v>
      </c>
      <c r="Y186" s="127">
        <f>2*(W186*X186)/(W186+X186)</f>
        <v>0.66666666666666652</v>
      </c>
      <c r="AA186" s="81">
        <v>21</v>
      </c>
      <c r="AB186" s="81">
        <v>25</v>
      </c>
      <c r="AC186" s="129">
        <f>AA186/$I$182</f>
        <v>0.29166666666666669</v>
      </c>
      <c r="AD186" s="129">
        <f>AA186/AB186</f>
        <v>0.84</v>
      </c>
      <c r="AE186" s="127">
        <f>2*(AC186*AD186)/(AC186+AD186)</f>
        <v>0.4329896907216495</v>
      </c>
      <c r="AG186" s="81">
        <f>AH186-1</f>
        <v>6</v>
      </c>
      <c r="AH186" s="81">
        <v>7</v>
      </c>
      <c r="AI186" s="127">
        <f>AG186/$H$182</f>
        <v>0.18181818181818182</v>
      </c>
      <c r="AJ186" s="127">
        <f>AG186/AH186</f>
        <v>0.8571428571428571</v>
      </c>
      <c r="AW186" s="101">
        <f>($F$182-N186)/$F$182</f>
        <v>1</v>
      </c>
      <c r="AY186" s="101">
        <f>($G$182-AN186)/$G$182</f>
        <v>1</v>
      </c>
      <c r="AZ186" s="101" t="e">
        <f>AR186/AQ186</f>
        <v>#DIV/0!</v>
      </c>
      <c r="BA186" s="101" t="e">
        <f>AT186/AS186</f>
        <v>#DIV/0!</v>
      </c>
      <c r="BB186" s="85" t="e">
        <f>(AW186+AY186+AZ186+BA186)/4</f>
        <v>#DIV/0!</v>
      </c>
      <c r="BC186" s="13">
        <f>AP186/$H$182</f>
        <v>0</v>
      </c>
      <c r="BD186" s="118" t="e">
        <f>AV186/AP186</f>
        <v>#DIV/0!</v>
      </c>
      <c r="BE186" s="13" t="e">
        <f>AO186/AP186</f>
        <v>#DIV/0!</v>
      </c>
      <c r="BF186" s="13">
        <f>AT186/$H$182</f>
        <v>0</v>
      </c>
      <c r="BG186" s="13">
        <f>AR186/$H$182</f>
        <v>0</v>
      </c>
      <c r="BQ186" t="str">
        <f t="shared" si="30"/>
        <v>8-7 &amp;  &amp; 0.298701298701299 &amp; 0.92 &amp; 0.450980392156863 &amp; 0.545454545454545 &amp; 0.857142857142857 &amp; 0.666666666666667 &amp; 0.291666666666667 &amp; 0.84 &amp; 0.43298969072165 &amp; 6 &amp; 7 &amp; 0.181818181818182 &amp; 0.857142857142857 \\ \hline</v>
      </c>
    </row>
    <row r="187" spans="1:69">
      <c r="A187" s="107" t="s">
        <v>309</v>
      </c>
      <c r="C187" s="98"/>
      <c r="L187" s="164" t="s">
        <v>642</v>
      </c>
      <c r="O187" s="81">
        <f>P187-12</f>
        <v>60</v>
      </c>
      <c r="P187" s="81">
        <f>$F$182-5</f>
        <v>72</v>
      </c>
      <c r="Q187" s="129">
        <f>O187/$F$182</f>
        <v>0.77922077922077926</v>
      </c>
      <c r="R187" s="129">
        <f>O187/P187</f>
        <v>0.83333333333333337</v>
      </c>
      <c r="S187" s="127">
        <f>2*(Q187*R187)/(Q187+R187)</f>
        <v>0.80536912751677869</v>
      </c>
      <c r="U187" s="81">
        <f>V187-2</f>
        <v>9</v>
      </c>
      <c r="V187" s="81">
        <f>$G$182-0</f>
        <v>11</v>
      </c>
      <c r="W187" s="129">
        <f>U187/$G$182</f>
        <v>0.81818181818181823</v>
      </c>
      <c r="X187" s="129">
        <f>U187/V187</f>
        <v>0.81818181818181823</v>
      </c>
      <c r="Y187" s="127">
        <f>2*(W187*X187)/(W187+X187)</f>
        <v>0.81818181818181823</v>
      </c>
      <c r="AA187" s="81">
        <f>AB187-25</f>
        <v>42</v>
      </c>
      <c r="AB187" s="81">
        <f>P187-5</f>
        <v>67</v>
      </c>
      <c r="AC187" s="129">
        <f>AA187/$I$182</f>
        <v>0.58333333333333337</v>
      </c>
      <c r="AD187" s="129">
        <f>AA187/AB187</f>
        <v>0.62686567164179108</v>
      </c>
      <c r="AE187" s="127">
        <f>2*(AC187*AD187)/(AC187+AD187)</f>
        <v>0.60431654676258995</v>
      </c>
      <c r="AG187" s="81">
        <v>6</v>
      </c>
      <c r="AH187" s="81">
        <v>6</v>
      </c>
      <c r="AI187" s="127">
        <f>AG187/$H$182</f>
        <v>0.18181818181818182</v>
      </c>
      <c r="AJ187" s="127">
        <f>AG187/AH187</f>
        <v>1</v>
      </c>
    </row>
    <row r="188" spans="1:69" s="75" customFormat="1">
      <c r="A188" s="73" t="s">
        <v>337</v>
      </c>
      <c r="B188" s="75" t="s">
        <v>387</v>
      </c>
      <c r="C188" s="93" t="s">
        <v>284</v>
      </c>
      <c r="D188" s="78">
        <f>VLOOKUP($C$188,Overview!$Q$2:$AS$64,23,FALSE)</f>
        <v>3.2868164116145109</v>
      </c>
      <c r="E188" s="78" t="str">
        <f>VLOOKUP($C$188,Overview!$Q$2:$AS$64,24,FALSE)</f>
        <v>high</v>
      </c>
      <c r="F188" s="75">
        <f>VLOOKUP(C188,Overview!$Q$2:$AS$64,13,FALSE)</f>
        <v>78</v>
      </c>
      <c r="G188" s="75">
        <f>VLOOKUP(C188,Overview!$Q$2:$AS$64,16,FALSE)</f>
        <v>12</v>
      </c>
      <c r="H188" s="75">
        <f>VLOOKUP(C188,Overview!$Q$2:$AS$64,18,FALSE)</f>
        <v>33</v>
      </c>
      <c r="I188" s="75">
        <f>VLOOKUP($C$188,Overview!$Q$2:$AS$64,19,FALSE)</f>
        <v>74</v>
      </c>
      <c r="K188" s="75" t="str">
        <f>VLOOKUP($C$188,Overview!$Q$2:$AS$64,5,FALSE)</f>
        <v>6-2, 5-1</v>
      </c>
      <c r="L188" s="96"/>
      <c r="N188" s="115"/>
      <c r="O188" s="97"/>
      <c r="P188" s="97"/>
      <c r="Q188" s="130"/>
      <c r="R188" s="130"/>
      <c r="S188" s="128"/>
      <c r="T188" s="115"/>
      <c r="U188" s="97"/>
      <c r="V188" s="97"/>
      <c r="W188" s="130"/>
      <c r="X188" s="130"/>
      <c r="Y188" s="128"/>
      <c r="Z188" s="115"/>
      <c r="AA188" s="97"/>
      <c r="AB188" s="97"/>
      <c r="AC188" s="130"/>
      <c r="AD188" s="130"/>
      <c r="AE188" s="128"/>
      <c r="AF188" s="115"/>
      <c r="AG188" s="97"/>
      <c r="AH188" s="97"/>
      <c r="AI188" s="128"/>
      <c r="AJ188" s="132"/>
      <c r="AK188" s="97"/>
      <c r="AL188" s="115"/>
      <c r="AM188" s="122"/>
      <c r="AN188" s="101"/>
      <c r="AQ188" s="101"/>
      <c r="AR188" s="101"/>
      <c r="AV188" s="119"/>
      <c r="AW188" s="101"/>
      <c r="AX188" s="101"/>
      <c r="AY188" s="101"/>
      <c r="AZ188" s="101"/>
      <c r="BA188" s="101"/>
      <c r="BB188" s="83"/>
      <c r="BD188" s="101"/>
      <c r="BQ188"/>
    </row>
    <row r="189" spans="1:69" ht="16">
      <c r="A189" t="s">
        <v>305</v>
      </c>
      <c r="C189" s="310"/>
      <c r="J189" t="s">
        <v>643</v>
      </c>
      <c r="L189" s="48" t="s">
        <v>610</v>
      </c>
      <c r="M189" s="77"/>
      <c r="O189" s="81">
        <f>P189-14</f>
        <v>46</v>
      </c>
      <c r="P189" s="81">
        <f>$F$188-18</f>
        <v>60</v>
      </c>
      <c r="Q189" s="129">
        <f>O189/$F$188</f>
        <v>0.58974358974358976</v>
      </c>
      <c r="R189" s="129">
        <f>O189/P189</f>
        <v>0.76666666666666672</v>
      </c>
      <c r="S189" s="127">
        <f>2*(Q189*R189)/(Q189+R189)</f>
        <v>0.66666666666666674</v>
      </c>
      <c r="U189" s="81">
        <f>V189-1</f>
        <v>7</v>
      </c>
      <c r="V189" s="81">
        <f>$G$188-4</f>
        <v>8</v>
      </c>
      <c r="W189" s="129">
        <f>U189/$G$188</f>
        <v>0.58333333333333337</v>
      </c>
      <c r="X189" s="129">
        <f>U189/V189</f>
        <v>0.875</v>
      </c>
      <c r="Y189" s="127">
        <f>2*(W189*X189)/(W189+X189)</f>
        <v>0.70000000000000007</v>
      </c>
      <c r="AA189" s="81">
        <f>AB189-6</f>
        <v>53</v>
      </c>
      <c r="AB189" s="81">
        <f>P189-1</f>
        <v>59</v>
      </c>
      <c r="AC189" s="129">
        <f>AA189/$I$188</f>
        <v>0.71621621621621623</v>
      </c>
      <c r="AD189" s="129">
        <f>AA189/AB189</f>
        <v>0.89830508474576276</v>
      </c>
      <c r="AE189" s="127">
        <f>2*(AC189*AD189)/(AC189+AD189)</f>
        <v>0.79699248120300759</v>
      </c>
      <c r="AG189" s="81">
        <v>3</v>
      </c>
      <c r="AH189" s="81">
        <v>3</v>
      </c>
      <c r="AI189" s="127">
        <f>AG189/$H$188</f>
        <v>9.0909090909090912E-2</v>
      </c>
      <c r="AJ189" s="127">
        <f>AG189/AH189</f>
        <v>1</v>
      </c>
      <c r="AW189" s="101">
        <f>($F$188-N189)/$F$188</f>
        <v>1</v>
      </c>
      <c r="AY189" s="101">
        <f>($G$188-AN189)/$G$188</f>
        <v>1</v>
      </c>
      <c r="AZ189" s="101" t="e">
        <f>AR189/AQ189</f>
        <v>#DIV/0!</v>
      </c>
      <c r="BA189" s="101" t="e">
        <f>AT189/AS189</f>
        <v>#DIV/0!</v>
      </c>
      <c r="BB189" s="85" t="e">
        <f>(AW189+AY189+AZ189+BA189)/4</f>
        <v>#DIV/0!</v>
      </c>
      <c r="BC189" s="13">
        <f>AP189/$H$188</f>
        <v>0</v>
      </c>
      <c r="BD189" s="118" t="e">
        <f>AV189/AP189</f>
        <v>#DIV/0!</v>
      </c>
      <c r="BE189" s="13" t="e">
        <f>AO189/AP189</f>
        <v>#DIV/0!</v>
      </c>
      <c r="BF189" s="13">
        <f>AT189/$H$188</f>
        <v>0</v>
      </c>
      <c r="BG189" s="13">
        <f>AR189/$H$188</f>
        <v>0</v>
      </c>
      <c r="BQ189" t="str">
        <f>_xlfn.CONCAT($C$188," &amp; ",C189," &amp; ",Q189," &amp; ",R189," &amp; ",S189," &amp; ",W189," &amp; ",X189," &amp; ",Y189," &amp; ",AC189," &amp; ",AD189," &amp; ",AE189," &amp; ",AG189," &amp; ",AH189," &amp; ",AI189," &amp; ",AJ189, " \\ \hline")</f>
        <v>8-6 &amp;  &amp; 0.58974358974359 &amp; 0.766666666666667 &amp; 0.666666666666667 &amp; 0.583333333333333 &amp; 0.875 &amp; 0.7 &amp; 0.716216216216216 &amp; 0.898305084745763 &amp; 0.796992481203008 &amp; 3 &amp; 3 &amp; 0.0909090909090909 &amp; 1 \\ \hline</v>
      </c>
    </row>
    <row r="190" spans="1:69" ht="16">
      <c r="A190" t="s">
        <v>306</v>
      </c>
      <c r="C190" s="310"/>
      <c r="J190" t="s">
        <v>644</v>
      </c>
      <c r="L190" s="48" t="s">
        <v>611</v>
      </c>
      <c r="M190" s="77"/>
      <c r="O190" s="81">
        <f>P190-18</f>
        <v>33</v>
      </c>
      <c r="P190" s="81">
        <f>F188-27</f>
        <v>51</v>
      </c>
      <c r="Q190" s="129">
        <f>O190/$F$188</f>
        <v>0.42307692307692307</v>
      </c>
      <c r="R190" s="129">
        <f>O190/P190</f>
        <v>0.6470588235294118</v>
      </c>
      <c r="S190" s="127">
        <f>2*(Q190*R190)/(Q190+R190)</f>
        <v>0.51162790697674421</v>
      </c>
      <c r="U190" s="81">
        <f>V190-3</f>
        <v>5</v>
      </c>
      <c r="V190" s="81">
        <f>G188-4</f>
        <v>8</v>
      </c>
      <c r="W190" s="129">
        <f>U190/$G$188</f>
        <v>0.41666666666666669</v>
      </c>
      <c r="X190" s="129">
        <f>U190/V190</f>
        <v>0.625</v>
      </c>
      <c r="Y190" s="127">
        <f>2*(W190*X190)/(W190+X190)</f>
        <v>0.5</v>
      </c>
      <c r="AA190" s="81">
        <f>AB190-20</f>
        <v>28</v>
      </c>
      <c r="AB190" s="81">
        <f>I188-26</f>
        <v>48</v>
      </c>
      <c r="AC190" s="129">
        <f>AA190/$I$188</f>
        <v>0.3783783783783784</v>
      </c>
      <c r="AD190" s="129">
        <f>AA190/AB190</f>
        <v>0.58333333333333337</v>
      </c>
      <c r="AE190" s="127">
        <f>2*(AC190*AD190)/(AC190+AD190)</f>
        <v>0.45901639344262296</v>
      </c>
      <c r="AG190" s="81">
        <f>AH190-0</f>
        <v>5</v>
      </c>
      <c r="AH190" s="81">
        <v>5</v>
      </c>
      <c r="AI190" s="127">
        <f>AG190/$H$188</f>
        <v>0.15151515151515152</v>
      </c>
      <c r="AJ190" s="127">
        <f>AG190/AH190</f>
        <v>1</v>
      </c>
      <c r="AW190" s="101">
        <f>($F$188-N190)/$F$188</f>
        <v>1</v>
      </c>
      <c r="AY190" s="101">
        <f>($G$188-AN190)/$G$188</f>
        <v>1</v>
      </c>
      <c r="AZ190" s="101" t="e">
        <f>AR190/AQ190</f>
        <v>#DIV/0!</v>
      </c>
      <c r="BA190" s="101" t="e">
        <f>AT190/AS190</f>
        <v>#DIV/0!</v>
      </c>
      <c r="BB190" s="85" t="e">
        <f>(AW190+AY190+AZ190+BA190)/4</f>
        <v>#DIV/0!</v>
      </c>
      <c r="BC190" s="13">
        <f>AP190/$H$188</f>
        <v>0</v>
      </c>
      <c r="BD190" s="118" t="e">
        <f>AV190/AP190</f>
        <v>#DIV/0!</v>
      </c>
      <c r="BE190" s="13" t="e">
        <f>AO190/AP190</f>
        <v>#DIV/0!</v>
      </c>
      <c r="BF190" s="13">
        <f>AT190/$H$188</f>
        <v>0</v>
      </c>
      <c r="BG190" s="13">
        <f>AR190/$H$188</f>
        <v>0</v>
      </c>
      <c r="BQ190" t="str">
        <f t="shared" ref="BQ190:BQ192" si="31">_xlfn.CONCAT($C$188," &amp; ",C190," &amp; ",Q190," &amp; ",R190," &amp; ",S190," &amp; ",W190," &amp; ",X190," &amp; ",Y190," &amp; ",AC190," &amp; ",AD190," &amp; ",AE190," &amp; ",AG190," &amp; ",AH190," &amp; ",AI190," &amp; ",AJ190, " \\ \hline")</f>
        <v>8-6 &amp;  &amp; 0.423076923076923 &amp; 0.647058823529412 &amp; 0.511627906976744 &amp; 0.416666666666667 &amp; 0.625 &amp; 0.5 &amp; 0.378378378378378 &amp; 0.583333333333333 &amp; 0.459016393442623 &amp; 5 &amp; 5 &amp; 0.151515151515152 &amp; 1 \\ \hline</v>
      </c>
    </row>
    <row r="191" spans="1:69" ht="16">
      <c r="A191" t="s">
        <v>307</v>
      </c>
      <c r="C191" s="310"/>
      <c r="J191" t="s">
        <v>645</v>
      </c>
      <c r="L191" s="48" t="s">
        <v>612</v>
      </c>
      <c r="M191" s="77"/>
      <c r="O191" s="81">
        <f>P191-7</f>
        <v>23</v>
      </c>
      <c r="P191" s="81">
        <v>30</v>
      </c>
      <c r="Q191" s="129">
        <f>O191/$F$188</f>
        <v>0.29487179487179488</v>
      </c>
      <c r="R191" s="129">
        <f>O191/P191</f>
        <v>0.76666666666666672</v>
      </c>
      <c r="S191" s="127">
        <f>2*(Q191*R191)/(Q191+R191)</f>
        <v>0.42592592592592599</v>
      </c>
      <c r="U191" s="81">
        <v>7</v>
      </c>
      <c r="V191" s="81">
        <f>G188-5</f>
        <v>7</v>
      </c>
      <c r="W191" s="129">
        <f>U191/$G$188</f>
        <v>0.58333333333333337</v>
      </c>
      <c r="X191" s="129">
        <f>U191/V191</f>
        <v>1</v>
      </c>
      <c r="Y191" s="127">
        <f>2*(W191*X191)/(W191+X191)</f>
        <v>0.73684210526315785</v>
      </c>
      <c r="AA191" s="81">
        <f>AB191-16</f>
        <v>11</v>
      </c>
      <c r="AB191" s="81">
        <v>27</v>
      </c>
      <c r="AC191" s="129">
        <f>AA191/$I$188</f>
        <v>0.14864864864864866</v>
      </c>
      <c r="AD191" s="129">
        <f>AA191/AB191</f>
        <v>0.40740740740740738</v>
      </c>
      <c r="AE191" s="127">
        <f>2*(AC191*AD191)/(AC191+AD191)</f>
        <v>0.21782178217821785</v>
      </c>
      <c r="AG191" s="81">
        <f>AH191-0</f>
        <v>9</v>
      </c>
      <c r="AH191" s="81">
        <v>9</v>
      </c>
      <c r="AI191" s="127">
        <f>AG191/$H$188</f>
        <v>0.27272727272727271</v>
      </c>
      <c r="AJ191" s="127">
        <f>AG191/AH191</f>
        <v>1</v>
      </c>
      <c r="AW191" s="101">
        <f>($F$188-N191)/$F$188</f>
        <v>1</v>
      </c>
      <c r="AY191" s="101">
        <f>($G$188-AN191)/$G$188</f>
        <v>1</v>
      </c>
      <c r="AZ191" s="101" t="e">
        <f>AR191/AQ191</f>
        <v>#DIV/0!</v>
      </c>
      <c r="BA191" s="101" t="e">
        <f>AT191/AS191</f>
        <v>#DIV/0!</v>
      </c>
      <c r="BB191" s="85" t="e">
        <f>(AW191+AY191+AZ191+BA191)/4</f>
        <v>#DIV/0!</v>
      </c>
      <c r="BC191" s="13">
        <f>AP191/$H$188</f>
        <v>0</v>
      </c>
      <c r="BD191" s="118" t="e">
        <f>AV191/AP191</f>
        <v>#DIV/0!</v>
      </c>
      <c r="BE191" s="13" t="e">
        <f>AO191/AP191</f>
        <v>#DIV/0!</v>
      </c>
      <c r="BF191" s="13">
        <f>AT191/$H$188</f>
        <v>0</v>
      </c>
      <c r="BG191" s="13">
        <f>AR191/$H$188</f>
        <v>0</v>
      </c>
      <c r="BQ191" t="str">
        <f t="shared" si="31"/>
        <v>8-6 &amp;  &amp; 0.294871794871795 &amp; 0.766666666666667 &amp; 0.425925925925926 &amp; 0.583333333333333 &amp; 1 &amp; 0.736842105263158 &amp; 0.148648648648649 &amp; 0.407407407407407 &amp; 0.217821782178218 &amp; 9 &amp; 9 &amp; 0.272727272727273 &amp; 1 \\ \hline</v>
      </c>
    </row>
    <row r="192" spans="1:69" ht="16">
      <c r="A192" t="s">
        <v>308</v>
      </c>
      <c r="C192" s="310"/>
      <c r="J192" t="s">
        <v>646</v>
      </c>
      <c r="L192" s="48" t="s">
        <v>613</v>
      </c>
      <c r="M192" s="77"/>
      <c r="O192" s="81">
        <f>P192-3</f>
        <v>25</v>
      </c>
      <c r="P192" s="81">
        <v>28</v>
      </c>
      <c r="Q192" s="129">
        <f>O192/$F$188</f>
        <v>0.32051282051282054</v>
      </c>
      <c r="R192" s="129">
        <f>O192/P192</f>
        <v>0.8928571428571429</v>
      </c>
      <c r="S192" s="127">
        <f>2*(Q192*R192)/(Q192+R192)</f>
        <v>0.47169811320754718</v>
      </c>
      <c r="U192" s="81">
        <f>V192-2</f>
        <v>5</v>
      </c>
      <c r="V192" s="81">
        <f>G188-5</f>
        <v>7</v>
      </c>
      <c r="W192" s="129">
        <f>U192/$G$188</f>
        <v>0.41666666666666669</v>
      </c>
      <c r="X192" s="129">
        <f>U192/V192</f>
        <v>0.7142857142857143</v>
      </c>
      <c r="Y192" s="127">
        <f>2*(W192*X192)/(W192+X192)</f>
        <v>0.52631578947368418</v>
      </c>
      <c r="AA192" s="81">
        <f>AB192-12</f>
        <v>16</v>
      </c>
      <c r="AB192" s="81">
        <v>28</v>
      </c>
      <c r="AC192" s="129">
        <f>AA192/$I$188</f>
        <v>0.21621621621621623</v>
      </c>
      <c r="AD192" s="129">
        <f>AA192/AB192</f>
        <v>0.5714285714285714</v>
      </c>
      <c r="AE192" s="127">
        <f>2*(AC192*AD192)/(AC192+AD192)</f>
        <v>0.31372549019607843</v>
      </c>
      <c r="AG192" s="81">
        <f>AH192-1</f>
        <v>7</v>
      </c>
      <c r="AH192" s="81">
        <v>8</v>
      </c>
      <c r="AI192" s="127">
        <f>AG192/$H$188</f>
        <v>0.21212121212121213</v>
      </c>
      <c r="AJ192" s="127">
        <f>AG192/AH192</f>
        <v>0.875</v>
      </c>
      <c r="AW192" s="101">
        <f>($F$188-N192)/$F$188</f>
        <v>1</v>
      </c>
      <c r="AY192" s="101">
        <f>($G$188-AN192)/$G$188</f>
        <v>1</v>
      </c>
      <c r="AZ192" s="101" t="e">
        <f>AR192/AQ192</f>
        <v>#DIV/0!</v>
      </c>
      <c r="BA192" s="101" t="e">
        <f>AT192/AS192</f>
        <v>#DIV/0!</v>
      </c>
      <c r="BB192" s="85" t="e">
        <f>(AW192+AY192+AZ192+BA192)/4</f>
        <v>#DIV/0!</v>
      </c>
      <c r="BC192" s="13">
        <f>AP192/$H$188</f>
        <v>0</v>
      </c>
      <c r="BD192" s="118" t="e">
        <f>AV192/AP192</f>
        <v>#DIV/0!</v>
      </c>
      <c r="BE192" s="13" t="e">
        <f>AO192/AP192</f>
        <v>#DIV/0!</v>
      </c>
      <c r="BF192" s="13">
        <f>AT192/$H$188</f>
        <v>0</v>
      </c>
      <c r="BG192" s="13">
        <f>AR192/$H$188</f>
        <v>0</v>
      </c>
      <c r="BQ192" t="str">
        <f t="shared" si="31"/>
        <v>8-6 &amp;  &amp; 0.320512820512821 &amp; 0.892857142857143 &amp; 0.471698113207547 &amp; 0.416666666666667 &amp; 0.714285714285714 &amp; 0.526315789473684 &amp; 0.216216216216216 &amp; 0.571428571428571 &amp; 0.313725490196078 &amp; 7 &amp; 8 &amp; 0.212121212121212 &amp; 0.875 \\ \hline</v>
      </c>
    </row>
    <row r="193" spans="1:69">
      <c r="A193" s="107" t="s">
        <v>309</v>
      </c>
      <c r="C193" s="98"/>
      <c r="L193" s="164" t="s">
        <v>642</v>
      </c>
      <c r="O193" s="81">
        <f>P193-3</f>
        <v>31</v>
      </c>
      <c r="P193" s="81">
        <f>F188-44</f>
        <v>34</v>
      </c>
      <c r="Q193" s="129">
        <f>O193/$F$188</f>
        <v>0.39743589743589741</v>
      </c>
      <c r="R193" s="129">
        <f>O193/P193</f>
        <v>0.91176470588235292</v>
      </c>
      <c r="S193" s="127">
        <f>2*(Q193*R193)/(Q193+R193)</f>
        <v>0.5535714285714286</v>
      </c>
      <c r="U193" s="81">
        <f>V193-1</f>
        <v>8</v>
      </c>
      <c r="V193" s="81">
        <f>G188-3</f>
        <v>9</v>
      </c>
      <c r="W193" s="129">
        <f>U193/$G$188</f>
        <v>0.66666666666666663</v>
      </c>
      <c r="X193" s="129">
        <f>U193/V193</f>
        <v>0.88888888888888884</v>
      </c>
      <c r="Y193" s="127">
        <f>2*(W193*X193)/(W193+X193)</f>
        <v>0.76190476190476197</v>
      </c>
      <c r="AA193" s="81">
        <f>AB193-4</f>
        <v>29</v>
      </c>
      <c r="AB193" s="81">
        <f>I188-41</f>
        <v>33</v>
      </c>
      <c r="AC193" s="129">
        <f>AA193/$I$188</f>
        <v>0.39189189189189189</v>
      </c>
      <c r="AD193" s="129">
        <f>AA193/AB193</f>
        <v>0.87878787878787878</v>
      </c>
      <c r="AE193" s="127">
        <f>2*(AC193*AD193)/(AC193+AD193)</f>
        <v>0.5420560747663552</v>
      </c>
      <c r="AG193" s="81">
        <f>AH193-0</f>
        <v>12</v>
      </c>
      <c r="AH193" s="81">
        <v>12</v>
      </c>
      <c r="AI193" s="127">
        <f>AG193/$H$188</f>
        <v>0.36363636363636365</v>
      </c>
      <c r="AJ193" s="127">
        <f>AG193/AH193</f>
        <v>1</v>
      </c>
    </row>
    <row r="194" spans="1:69" s="75" customFormat="1">
      <c r="A194" s="75" t="s">
        <v>338</v>
      </c>
      <c r="B194" s="95">
        <v>45179</v>
      </c>
      <c r="C194" s="103" t="s">
        <v>170</v>
      </c>
      <c r="D194" s="78">
        <f>VLOOKUP($C$194,Overview!$Q$2:$AS$64,23,FALSE)</f>
        <v>5.4716830818645583</v>
      </c>
      <c r="E194" s="78" t="str">
        <f>VLOOKUP($C$194,Overview!$Q$2:$AS$64,24,FALSE)</f>
        <v>high</v>
      </c>
      <c r="F194" s="75">
        <f>VLOOKUP(C194,Overview!$Q$2:$AS$64,13,FALSE)</f>
        <v>116</v>
      </c>
      <c r="G194" s="75">
        <f>VLOOKUP(C194,Overview!$Q$2:$AS$64,16,FALSE)</f>
        <v>15</v>
      </c>
      <c r="H194" s="75">
        <f>VLOOKUP(C194,Overview!$Q$2:$AS$64,18,FALSE)</f>
        <v>49</v>
      </c>
      <c r="I194" s="75">
        <f>VLOOKUP($C$194,Overview!$Q$2:$AS$64,19,FALSE)</f>
        <v>111</v>
      </c>
      <c r="K194" s="75" t="str">
        <f>VLOOKUP($C$194,Overview!$Q$2:$AS$64,5,FALSE)</f>
        <v>6-2, 5-1</v>
      </c>
      <c r="L194" s="96"/>
      <c r="N194" s="115"/>
      <c r="O194" s="97"/>
      <c r="P194" s="97"/>
      <c r="Q194" s="130"/>
      <c r="R194" s="130"/>
      <c r="S194" s="128"/>
      <c r="T194" s="115"/>
      <c r="U194" s="97"/>
      <c r="V194" s="97"/>
      <c r="W194" s="130"/>
      <c r="X194" s="130"/>
      <c r="Y194" s="128"/>
      <c r="Z194" s="115"/>
      <c r="AA194" s="97"/>
      <c r="AB194" s="97"/>
      <c r="AC194" s="130"/>
      <c r="AD194" s="130"/>
      <c r="AE194" s="128"/>
      <c r="AF194" s="115"/>
      <c r="AG194" s="97"/>
      <c r="AH194" s="97"/>
      <c r="AI194" s="128"/>
      <c r="AJ194" s="132"/>
      <c r="AK194" s="97"/>
      <c r="AL194" s="115"/>
      <c r="AM194" s="122"/>
      <c r="AN194" s="101"/>
      <c r="AQ194" s="101"/>
      <c r="AR194" s="101"/>
      <c r="AV194" s="119"/>
      <c r="AW194" s="101"/>
      <c r="AX194" s="101"/>
      <c r="AY194" s="101"/>
      <c r="AZ194" s="101"/>
      <c r="BA194" s="101"/>
      <c r="BB194" s="83"/>
      <c r="BD194" s="101"/>
      <c r="BQ194"/>
    </row>
    <row r="195" spans="1:69">
      <c r="A195" t="s">
        <v>305</v>
      </c>
      <c r="C195" s="98"/>
      <c r="L195" s="48" t="s">
        <v>610</v>
      </c>
      <c r="M195" s="105"/>
      <c r="O195" s="81">
        <v>44</v>
      </c>
      <c r="P195" s="81">
        <v>44</v>
      </c>
      <c r="Q195" s="129">
        <f>O195/$F$194</f>
        <v>0.37931034482758619</v>
      </c>
      <c r="R195" s="129">
        <f>O195/P195</f>
        <v>1</v>
      </c>
      <c r="S195" s="127">
        <f>2*(Q195*R195)/(Q195+R195)</f>
        <v>0.54999999999999993</v>
      </c>
      <c r="U195" s="81">
        <v>10</v>
      </c>
      <c r="V195" s="81">
        <f>$G$194-4</f>
        <v>11</v>
      </c>
      <c r="W195" s="129">
        <f>U195/$G$194</f>
        <v>0.66666666666666663</v>
      </c>
      <c r="X195" s="129">
        <f>U195/V195</f>
        <v>0.90909090909090906</v>
      </c>
      <c r="Y195" s="127">
        <f>2*(W195*X195)/(W195+X195)</f>
        <v>0.76923076923076916</v>
      </c>
      <c r="AA195" s="81">
        <v>16</v>
      </c>
      <c r="AB195" s="81">
        <v>37</v>
      </c>
      <c r="AC195" s="129">
        <f>AA195/$I$194</f>
        <v>0.14414414414414414</v>
      </c>
      <c r="AD195" s="129">
        <f>AA195/AB195</f>
        <v>0.43243243243243246</v>
      </c>
      <c r="AE195" s="127">
        <f>2*(AC195*AD195)/(AC195+AD195)</f>
        <v>0.21621621621621623</v>
      </c>
      <c r="AG195" s="81">
        <v>1</v>
      </c>
      <c r="AH195" s="81">
        <v>1</v>
      </c>
      <c r="AI195" s="127">
        <f>AG195/$H$194</f>
        <v>2.0408163265306121E-2</v>
      </c>
      <c r="AJ195" s="127">
        <f>AG195/AH195</f>
        <v>1</v>
      </c>
      <c r="AW195" s="101">
        <f>($F$194-N195)/$F$194</f>
        <v>1</v>
      </c>
      <c r="AY195" s="101">
        <f>($G$194-AN195)/$G$194</f>
        <v>1</v>
      </c>
      <c r="AZ195" s="101" t="e">
        <f>AR195/AQ195</f>
        <v>#DIV/0!</v>
      </c>
      <c r="BA195" s="101" t="e">
        <f>AT195/AS195</f>
        <v>#DIV/0!</v>
      </c>
      <c r="BB195" s="85" t="e">
        <f>(AW195+AY195+AZ195+BA195)/4</f>
        <v>#DIV/0!</v>
      </c>
      <c r="BC195" s="13">
        <f>AP195/$H$194</f>
        <v>0</v>
      </c>
      <c r="BD195" s="118" t="e">
        <f>AV195/AP195</f>
        <v>#DIV/0!</v>
      </c>
      <c r="BE195" s="13" t="e">
        <f>AO195/AP195</f>
        <v>#DIV/0!</v>
      </c>
      <c r="BF195" s="13">
        <f>AT195/$H$194</f>
        <v>0</v>
      </c>
      <c r="BG195" s="13">
        <f>AR195/$H$194</f>
        <v>0</v>
      </c>
      <c r="BQ195" t="str">
        <f>_xlfn.CONCAT($C$194," &amp; ",C195," &amp; ",Q195," &amp; ",R195," &amp; ",S195," &amp; ",W195," &amp; ",X195," &amp; ",Y195," &amp; ",AC195," &amp; ",AD195," &amp; ",AE195," &amp; ",AG195," &amp; ",AH195," &amp; ",AI195," &amp; ",AJ195, " \\ \hline")</f>
        <v>10-2 &amp;  &amp; 0.379310344827586 &amp; 1 &amp; 0.55 &amp; 0.666666666666667 &amp; 0.909090909090909 &amp; 0.769230769230769 &amp; 0.144144144144144 &amp; 0.432432432432432 &amp; 0.216216216216216 &amp; 1 &amp; 1 &amp; 0.0204081632653061 &amp; 1 \\ \hline</v>
      </c>
    </row>
    <row r="196" spans="1:69">
      <c r="A196" t="s">
        <v>306</v>
      </c>
      <c r="C196" s="98"/>
      <c r="L196" s="48" t="s">
        <v>611</v>
      </c>
      <c r="M196" s="104"/>
      <c r="O196" s="81">
        <v>54</v>
      </c>
      <c r="P196" s="81">
        <v>55</v>
      </c>
      <c r="Q196" s="129">
        <f>O196/$F$194</f>
        <v>0.46551724137931033</v>
      </c>
      <c r="R196" s="129">
        <f>O196/P196</f>
        <v>0.98181818181818181</v>
      </c>
      <c r="S196" s="127">
        <f>2*(Q196*R196)/(Q196+R196)</f>
        <v>0.63157894736842102</v>
      </c>
      <c r="U196" s="81">
        <v>12</v>
      </c>
      <c r="V196" s="81">
        <f>$G$194-2</f>
        <v>13</v>
      </c>
      <c r="W196" s="129">
        <f>U196/$G$194</f>
        <v>0.8</v>
      </c>
      <c r="X196" s="129">
        <f>U196/V196</f>
        <v>0.92307692307692313</v>
      </c>
      <c r="Y196" s="127">
        <f>2*(W196*X196)/(W196+X196)</f>
        <v>0.8571428571428571</v>
      </c>
      <c r="AA196" s="81">
        <v>25</v>
      </c>
      <c r="AB196" s="81">
        <v>55</v>
      </c>
      <c r="AC196" s="129">
        <f>AA196/$I$194</f>
        <v>0.22522522522522523</v>
      </c>
      <c r="AD196" s="129">
        <f>AA196/AB196</f>
        <v>0.45454545454545453</v>
      </c>
      <c r="AE196" s="127">
        <f>2*(AC196*AD196)/(AC196+AD196)</f>
        <v>0.30120481927710846</v>
      </c>
      <c r="AG196" s="81">
        <v>1</v>
      </c>
      <c r="AH196" s="81">
        <v>2</v>
      </c>
      <c r="AI196" s="127">
        <f>AG196/$H$194</f>
        <v>2.0408163265306121E-2</v>
      </c>
      <c r="AJ196" s="127">
        <f>AG196/AH196</f>
        <v>0.5</v>
      </c>
      <c r="AW196" s="101">
        <f>($F$194-N196)/$F$194</f>
        <v>1</v>
      </c>
      <c r="AY196" s="101">
        <f>($G$194-AN196)/$G$194</f>
        <v>1</v>
      </c>
      <c r="AZ196" s="101" t="e">
        <f>AR196/AQ196</f>
        <v>#DIV/0!</v>
      </c>
      <c r="BA196" s="101" t="e">
        <f>AT196/AS196</f>
        <v>#DIV/0!</v>
      </c>
      <c r="BB196" s="85" t="e">
        <f>(AW196+AY196+AZ196+BA196)/4</f>
        <v>#DIV/0!</v>
      </c>
      <c r="BC196" s="13">
        <f>AP196/$H$194</f>
        <v>0</v>
      </c>
      <c r="BD196" s="118" t="e">
        <f>AV196/AP196</f>
        <v>#DIV/0!</v>
      </c>
      <c r="BE196" s="13" t="e">
        <f>AO196/AP196</f>
        <v>#DIV/0!</v>
      </c>
      <c r="BF196" s="13">
        <f>AT196/$H$194</f>
        <v>0</v>
      </c>
      <c r="BG196" s="13">
        <f>AR196/$H$194</f>
        <v>0</v>
      </c>
      <c r="BQ196" t="str">
        <f t="shared" ref="BQ196:BQ198" si="32">_xlfn.CONCAT($C$2," &amp; ",C196," &amp; ",Q196," &amp; ",R196," &amp; ",S196," &amp; ",W196," &amp; ",X196," &amp; ",Y196," &amp; ",AC196," &amp; ",AD196," &amp; ",AE196," &amp; ",AG196," &amp; ",AH196," &amp; ",AI196," &amp; ",AJ196, " \\ \hline")</f>
        <v>6-2 &amp;  &amp; 0.46551724137931 &amp; 0.981818181818182 &amp; 0.631578947368421 &amp; 0.8 &amp; 0.923076923076923 &amp; 0.857142857142857 &amp; 0.225225225225225 &amp; 0.454545454545455 &amp; 0.301204819277108 &amp; 1 &amp; 2 &amp; 0.0204081632653061 &amp; 0.5 \\ \hline</v>
      </c>
    </row>
    <row r="197" spans="1:69">
      <c r="A197" t="s">
        <v>307</v>
      </c>
      <c r="C197" s="98"/>
      <c r="L197" s="48" t="s">
        <v>612</v>
      </c>
      <c r="M197" s="104"/>
      <c r="O197" s="81">
        <f>P197-4</f>
        <v>57</v>
      </c>
      <c r="P197" s="81">
        <v>61</v>
      </c>
      <c r="Q197" s="129">
        <f>O197/$F$194</f>
        <v>0.49137931034482757</v>
      </c>
      <c r="R197" s="129">
        <f>O197/P197</f>
        <v>0.93442622950819676</v>
      </c>
      <c r="S197" s="127">
        <f>2*(Q197*R197)/(Q197+R197)</f>
        <v>0.64406779661016944</v>
      </c>
      <c r="U197" s="81">
        <v>13</v>
      </c>
      <c r="V197" s="81">
        <f>$G$194-1</f>
        <v>14</v>
      </c>
      <c r="W197" s="129">
        <f>U197/$G$194</f>
        <v>0.8666666666666667</v>
      </c>
      <c r="X197" s="129">
        <f>U197/V197</f>
        <v>0.9285714285714286</v>
      </c>
      <c r="Y197" s="127">
        <f>2*(W197*X197)/(W197+X197)</f>
        <v>0.89655172413793105</v>
      </c>
      <c r="AA197" s="81">
        <v>37</v>
      </c>
      <c r="AB197" s="81">
        <v>60</v>
      </c>
      <c r="AC197" s="129">
        <f>AA197/$I$194</f>
        <v>0.33333333333333331</v>
      </c>
      <c r="AD197" s="129">
        <f>AA197/AB197</f>
        <v>0.6166666666666667</v>
      </c>
      <c r="AE197" s="127">
        <f>2*(AC197*AD197)/(AC197+AD197)</f>
        <v>0.43274853801169588</v>
      </c>
      <c r="AG197" s="81">
        <v>0</v>
      </c>
      <c r="AH197" s="81">
        <v>0</v>
      </c>
      <c r="AI197" s="127">
        <f>AG197/$H$194</f>
        <v>0</v>
      </c>
      <c r="AJ197" s="127">
        <v>0</v>
      </c>
      <c r="AW197" s="101">
        <f>($F$194-N197)/$F$194</f>
        <v>1</v>
      </c>
      <c r="AY197" s="101">
        <f>($G$194-AN197)/$G$194</f>
        <v>1</v>
      </c>
      <c r="AZ197" s="101" t="e">
        <f>AR197/AQ197</f>
        <v>#DIV/0!</v>
      </c>
      <c r="BA197" s="101" t="e">
        <f>AT197/AS197</f>
        <v>#DIV/0!</v>
      </c>
      <c r="BB197" s="85" t="e">
        <f>(AW197+AY197+AZ197+BA197)/4</f>
        <v>#DIV/0!</v>
      </c>
      <c r="BC197" s="13">
        <f>AP197/$H$194</f>
        <v>0</v>
      </c>
      <c r="BD197" s="118" t="e">
        <f>AV197/AP197</f>
        <v>#DIV/0!</v>
      </c>
      <c r="BE197" s="13" t="e">
        <f>AO197/AP197</f>
        <v>#DIV/0!</v>
      </c>
      <c r="BF197" s="13">
        <f>AT197/$H$194</f>
        <v>0</v>
      </c>
      <c r="BG197" s="13">
        <f>AR197/$H$194</f>
        <v>0</v>
      </c>
      <c r="BQ197" t="str">
        <f t="shared" si="32"/>
        <v>6-2 &amp;  &amp; 0.491379310344828 &amp; 0.934426229508197 &amp; 0.644067796610169 &amp; 0.866666666666667 &amp; 0.928571428571429 &amp; 0.896551724137931 &amp; 0.333333333333333 &amp; 0.616666666666667 &amp; 0.432748538011696 &amp; 0 &amp; 0 &amp; 0 &amp; 0 \\ \hline</v>
      </c>
    </row>
    <row r="198" spans="1:69">
      <c r="A198" t="s">
        <v>308</v>
      </c>
      <c r="C198" s="98"/>
      <c r="L198" s="48" t="s">
        <v>613</v>
      </c>
      <c r="M198" s="104"/>
      <c r="O198" s="81">
        <v>32</v>
      </c>
      <c r="P198" s="81">
        <v>33</v>
      </c>
      <c r="Q198" s="129">
        <f>O198/$F$194</f>
        <v>0.27586206896551724</v>
      </c>
      <c r="R198" s="129">
        <f>O198/P198</f>
        <v>0.96969696969696972</v>
      </c>
      <c r="S198" s="127">
        <f>2*(Q198*R198)/(Q198+R198)</f>
        <v>0.42953020134228187</v>
      </c>
      <c r="U198" s="81">
        <v>12</v>
      </c>
      <c r="V198" s="81">
        <f>$G$194-2</f>
        <v>13</v>
      </c>
      <c r="W198" s="129">
        <f>U198/$G$194</f>
        <v>0.8</v>
      </c>
      <c r="X198" s="129">
        <f>U198/V198</f>
        <v>0.92307692307692313</v>
      </c>
      <c r="Y198" s="127">
        <f>2*(W198*X198)/(W198+X198)</f>
        <v>0.8571428571428571</v>
      </c>
      <c r="AA198" s="81">
        <v>22</v>
      </c>
      <c r="AB198" s="81">
        <v>25</v>
      </c>
      <c r="AC198" s="129">
        <f>AA198/$I$194</f>
        <v>0.1981981981981982</v>
      </c>
      <c r="AD198" s="129">
        <f>AA198/AB198</f>
        <v>0.88</v>
      </c>
      <c r="AE198" s="127">
        <f>2*(AC198*AD198)/(AC198+AD198)</f>
        <v>0.32352941176470584</v>
      </c>
      <c r="AG198" s="81">
        <v>2</v>
      </c>
      <c r="AH198" s="81">
        <v>2</v>
      </c>
      <c r="AI198" s="127">
        <f>AG198/$H$194</f>
        <v>4.0816326530612242E-2</v>
      </c>
      <c r="AJ198" s="127">
        <f>AG198/AH198</f>
        <v>1</v>
      </c>
      <c r="AW198" s="101">
        <f>($F$194-N198)/$F$194</f>
        <v>1</v>
      </c>
      <c r="AY198" s="101">
        <f>($G$194-AN198)/$G$194</f>
        <v>1</v>
      </c>
      <c r="AZ198" s="101" t="e">
        <f>AR198/AQ198</f>
        <v>#DIV/0!</v>
      </c>
      <c r="BA198" s="101" t="e">
        <f>AT198/AS198</f>
        <v>#DIV/0!</v>
      </c>
      <c r="BB198" s="85" t="e">
        <f>(AW198+AY198+AZ198+BA198)/4</f>
        <v>#DIV/0!</v>
      </c>
      <c r="BC198" s="13">
        <f>AP198/$H$194</f>
        <v>0</v>
      </c>
      <c r="BD198" s="118" t="e">
        <f>AV198/AP198</f>
        <v>#DIV/0!</v>
      </c>
      <c r="BE198" s="13" t="e">
        <f>AO198/AP198</f>
        <v>#DIV/0!</v>
      </c>
      <c r="BF198" s="13">
        <f>AT198/$H$194</f>
        <v>0</v>
      </c>
      <c r="BG198" s="13">
        <f>AR198/$H$194</f>
        <v>0</v>
      </c>
      <c r="BQ198" t="str">
        <f t="shared" si="32"/>
        <v>6-2 &amp;  &amp; 0.275862068965517 &amp; 0.96969696969697 &amp; 0.429530201342282 &amp; 0.8 &amp; 0.923076923076923 &amp; 0.857142857142857 &amp; 0.198198198198198 &amp; 0.88 &amp; 0.323529411764706 &amp; 2 &amp; 2 &amp; 0.0408163265306122 &amp; 1 \\ \hline</v>
      </c>
    </row>
    <row r="199" spans="1:69">
      <c r="A199" s="107" t="s">
        <v>309</v>
      </c>
      <c r="L199" s="164" t="s">
        <v>642</v>
      </c>
      <c r="M199" s="101"/>
    </row>
    <row r="200" spans="1:69" s="75" customFormat="1">
      <c r="A200" s="75" t="s">
        <v>340</v>
      </c>
      <c r="C200" s="103" t="s">
        <v>286</v>
      </c>
      <c r="D200" s="78">
        <f>VLOOKUP($C$200,Overview!$Q$2:$AS$64,23,FALSE)</f>
        <v>6.0997715230117224</v>
      </c>
      <c r="E200" s="78" t="str">
        <f>VLOOKUP($C$200,Overview!$Q$2:$AS$64,24,FALSE)</f>
        <v>high</v>
      </c>
      <c r="F200" s="75">
        <f>VLOOKUP(C200,Overview!$Q$2:$AS$64,13,FALSE)</f>
        <v>109</v>
      </c>
      <c r="G200" s="75">
        <f>VLOOKUP(C200,Overview!$Q$2:$AS$64,16,FALSE)</f>
        <v>11</v>
      </c>
      <c r="H200" s="75">
        <f>VLOOKUP(C200,Overview!$Q$2:$AS$64,18,FALSE)</f>
        <v>49</v>
      </c>
      <c r="I200" s="75">
        <f>VLOOKUP($C$200,Overview!$Q$2:$AS$64,19,FALSE)</f>
        <v>103</v>
      </c>
      <c r="K200" s="75" t="str">
        <f>VLOOKUP($C$200,Overview!$Q$2:$AS$64,5,FALSE)</f>
        <v>5-2, 3-8</v>
      </c>
      <c r="L200" s="96"/>
      <c r="M200" s="101"/>
      <c r="N200" s="115"/>
      <c r="O200" s="97"/>
      <c r="P200" s="97"/>
      <c r="Q200" s="124"/>
      <c r="R200" s="124"/>
      <c r="S200" s="80"/>
      <c r="T200" s="115"/>
      <c r="U200" s="97"/>
      <c r="V200" s="97"/>
      <c r="W200" s="124"/>
      <c r="X200" s="124"/>
      <c r="Y200" s="80"/>
      <c r="Z200" s="115"/>
      <c r="AA200" s="97"/>
      <c r="AB200" s="97"/>
      <c r="AC200" s="124"/>
      <c r="AD200" s="124"/>
      <c r="AE200" s="80"/>
      <c r="AF200" s="115"/>
      <c r="AG200" s="97"/>
      <c r="AH200" s="97"/>
      <c r="AI200" s="80"/>
      <c r="AJ200" s="97"/>
      <c r="AK200" s="97"/>
      <c r="AL200" s="115"/>
      <c r="AM200" s="122"/>
      <c r="AN200" s="101"/>
      <c r="AQ200" s="101"/>
      <c r="AR200" s="101"/>
      <c r="AV200" s="119"/>
      <c r="AW200" s="101"/>
      <c r="AX200" s="101"/>
      <c r="AY200" s="101"/>
      <c r="AZ200" s="101"/>
      <c r="BA200" s="101"/>
      <c r="BB200" s="83"/>
      <c r="BD200" s="101"/>
      <c r="BQ200"/>
    </row>
    <row r="201" spans="1:69">
      <c r="A201" t="s">
        <v>305</v>
      </c>
      <c r="C201" s="98"/>
      <c r="M201" s="101"/>
    </row>
    <row r="202" spans="1:69">
      <c r="A202" t="s">
        <v>306</v>
      </c>
      <c r="C202" s="98"/>
      <c r="M202" s="101"/>
    </row>
    <row r="203" spans="1:69">
      <c r="A203" t="s">
        <v>307</v>
      </c>
      <c r="C203" s="98"/>
      <c r="M203" s="101"/>
    </row>
    <row r="204" spans="1:69">
      <c r="A204" t="s">
        <v>308</v>
      </c>
      <c r="C204" s="98"/>
      <c r="M204" s="101"/>
    </row>
    <row r="206" spans="1:69" s="75" customFormat="1">
      <c r="A206" s="75" t="s">
        <v>341</v>
      </c>
      <c r="C206" s="103" t="s">
        <v>283</v>
      </c>
      <c r="D206" s="78">
        <f>VLOOKUP($C$206,Overview!$Q$2:$AS$64,23,FALSE)</f>
        <v>6.2745035499085571</v>
      </c>
      <c r="E206" s="78" t="str">
        <f>VLOOKUP($C$206,Overview!$Q$2:$AS$64,24,FALSE)</f>
        <v>high</v>
      </c>
      <c r="F206" s="75">
        <f>VLOOKUP(C206,Overview!$Q$2:$AS$64,13,FALSE)</f>
        <v>110</v>
      </c>
      <c r="G206" s="75">
        <f>VLOOKUP(C206,Overview!$Q$2:$AS$64,16,FALSE)</f>
        <v>13</v>
      </c>
      <c r="H206" s="75">
        <f>VLOOKUP(C206,Overview!$Q$2:$AS$64,18,FALSE)</f>
        <v>48</v>
      </c>
      <c r="I206" s="75">
        <f>VLOOKUP($C$206,Overview!$Q$2:$AS$64,19,FALSE)</f>
        <v>104</v>
      </c>
      <c r="K206" s="75" t="str">
        <f>VLOOKUP($C$206,Overview!$Q$2:$AS$64,5,FALSE)</f>
        <v>5-2, 3-8</v>
      </c>
      <c r="L206" s="96"/>
      <c r="M206" s="101"/>
      <c r="N206" s="115"/>
      <c r="O206" s="97"/>
      <c r="P206" s="97"/>
      <c r="Q206" s="124"/>
      <c r="R206" s="124"/>
      <c r="S206" s="80"/>
      <c r="T206" s="115"/>
      <c r="U206" s="97"/>
      <c r="V206" s="97"/>
      <c r="W206" s="124"/>
      <c r="X206" s="124"/>
      <c r="Y206" s="80"/>
      <c r="Z206" s="115"/>
      <c r="AA206" s="97"/>
      <c r="AB206" s="97"/>
      <c r="AC206" s="124"/>
      <c r="AD206" s="124"/>
      <c r="AE206" s="80"/>
      <c r="AF206" s="115"/>
      <c r="AG206" s="97"/>
      <c r="AH206" s="97"/>
      <c r="AI206" s="80"/>
      <c r="AJ206" s="97"/>
      <c r="AK206" s="97"/>
      <c r="AL206" s="115"/>
      <c r="AM206" s="122"/>
      <c r="AN206" s="101"/>
      <c r="AQ206" s="101"/>
      <c r="AR206" s="101"/>
      <c r="AV206" s="119"/>
      <c r="AW206" s="101"/>
      <c r="AX206" s="101"/>
      <c r="AY206" s="101"/>
      <c r="AZ206" s="101"/>
      <c r="BA206" s="101"/>
      <c r="BB206" s="83"/>
      <c r="BD206" s="101"/>
      <c r="BQ206"/>
    </row>
    <row r="207" spans="1:69">
      <c r="A207" t="s">
        <v>305</v>
      </c>
      <c r="C207" s="98"/>
      <c r="M207" s="101"/>
    </row>
    <row r="208" spans="1:69">
      <c r="A208" t="s">
        <v>306</v>
      </c>
      <c r="C208" s="98"/>
      <c r="M208" s="101"/>
    </row>
    <row r="209" spans="1:69">
      <c r="A209" t="s">
        <v>307</v>
      </c>
      <c r="C209" s="98"/>
      <c r="M209" s="101"/>
    </row>
    <row r="210" spans="1:69">
      <c r="A210" t="s">
        <v>308</v>
      </c>
      <c r="C210" s="98"/>
      <c r="M210" s="101"/>
    </row>
    <row r="211" spans="1:69">
      <c r="C211" s="98"/>
      <c r="M211" s="14"/>
    </row>
    <row r="212" spans="1:69" s="75" customFormat="1">
      <c r="A212" s="73" t="s">
        <v>339</v>
      </c>
      <c r="B212" s="95">
        <v>45179</v>
      </c>
      <c r="C212" s="103" t="s">
        <v>141</v>
      </c>
      <c r="D212" s="78">
        <f>VLOOKUP($C$212,Overview!$Q$2:$AS$64,23,FALSE)</f>
        <v>7.1416786799633689</v>
      </c>
      <c r="E212" s="78" t="str">
        <f>VLOOKUP($C$212,Overview!$Q$2:$AS$64,24,FALSE)</f>
        <v>high</v>
      </c>
      <c r="F212" s="75">
        <f>VLOOKUP(C212,Overview!$Q$2:$AS$64,13,FALSE)</f>
        <v>130</v>
      </c>
      <c r="G212" s="75">
        <f>VLOOKUP(C212,Overview!$Q$2:$AS$64,16,FALSE)</f>
        <v>16</v>
      </c>
      <c r="H212" s="75">
        <f>VLOOKUP(C212,Overview!$Q$2:$AS$64,18,FALSE)</f>
        <v>50</v>
      </c>
      <c r="I212" s="75">
        <f>VLOOKUP($C$212,Overview!$Q$2:$AS$64,19,FALSE)</f>
        <v>126</v>
      </c>
      <c r="K212" s="75" t="str">
        <f>VLOOKUP($C$212,Overview!$Q$2:$AS$64,5,FALSE)</f>
        <v>6-2, 3-8</v>
      </c>
      <c r="L212" s="96"/>
      <c r="M212" s="101"/>
      <c r="N212" s="115"/>
      <c r="O212" s="97"/>
      <c r="P212" s="97"/>
      <c r="Q212" s="124"/>
      <c r="R212" s="124"/>
      <c r="S212" s="80"/>
      <c r="T212" s="115"/>
      <c r="U212" s="97"/>
      <c r="V212" s="97"/>
      <c r="W212" s="124"/>
      <c r="X212" s="124"/>
      <c r="Y212" s="80"/>
      <c r="Z212" s="115"/>
      <c r="AA212" s="97"/>
      <c r="AB212" s="97"/>
      <c r="AC212" s="124"/>
      <c r="AD212" s="124"/>
      <c r="AE212" s="80"/>
      <c r="AF212" s="115"/>
      <c r="AG212" s="97"/>
      <c r="AH212" s="97"/>
      <c r="AI212" s="80"/>
      <c r="AJ212" s="97"/>
      <c r="AK212" s="97"/>
      <c r="AL212" s="115"/>
      <c r="AM212" s="122"/>
      <c r="AN212" s="101"/>
      <c r="AQ212" s="101"/>
      <c r="AR212" s="101"/>
      <c r="AV212" s="119"/>
      <c r="AW212" s="101"/>
      <c r="AX212" s="101"/>
      <c r="AY212" s="101"/>
      <c r="AZ212" s="101"/>
      <c r="BA212" s="101"/>
      <c r="BB212" s="83"/>
      <c r="BD212" s="101"/>
      <c r="BQ212"/>
    </row>
    <row r="213" spans="1:69">
      <c r="A213" t="s">
        <v>305</v>
      </c>
      <c r="C213" s="98"/>
      <c r="M213" s="105"/>
    </row>
    <row r="214" spans="1:69">
      <c r="A214" t="s">
        <v>306</v>
      </c>
      <c r="C214" s="98"/>
      <c r="M214" s="104"/>
    </row>
    <row r="215" spans="1:69">
      <c r="A215" t="s">
        <v>307</v>
      </c>
      <c r="C215" s="98"/>
      <c r="M215" s="101"/>
    </row>
    <row r="216" spans="1:69">
      <c r="A216" t="s">
        <v>308</v>
      </c>
      <c r="C216" s="98"/>
      <c r="M216" s="101"/>
    </row>
    <row r="218" spans="1:69" s="75" customFormat="1">
      <c r="A218" s="75" t="s">
        <v>342</v>
      </c>
      <c r="C218" s="103" t="s">
        <v>140</v>
      </c>
      <c r="D218" s="78">
        <f>VLOOKUP($C$218,Overview!$Q$2:$AS$64,23,FALSE)</f>
        <v>12.011083863483384</v>
      </c>
      <c r="E218" s="78" t="str">
        <f>VLOOKUP($C$218,Overview!$Q$2:$AS$64,24,FALSE)</f>
        <v>high</v>
      </c>
      <c r="F218" s="75">
        <f>VLOOKUP(C218,Overview!$Q$2:$AS$64,13,FALSE)</f>
        <v>169</v>
      </c>
      <c r="G218" s="75">
        <f>VLOOKUP(C218,Overview!$Q$2:$AS$64,16,FALSE)</f>
        <v>18</v>
      </c>
      <c r="H218" s="75">
        <f>VLOOKUP(C218,Overview!$Q$2:$AS$64,18,FALSE)</f>
        <v>59</v>
      </c>
      <c r="I218" s="75">
        <f>VLOOKUP($C$218,Overview!$Q$2:$AS$64,19,FALSE)</f>
        <v>165</v>
      </c>
      <c r="K218" s="75" t="str">
        <f>VLOOKUP($C$218,Overview!$Q$2:$AS$64,5,FALSE)</f>
        <v>6-2, 3-8</v>
      </c>
      <c r="L218" s="96"/>
      <c r="M218" s="101"/>
      <c r="N218" s="115"/>
      <c r="O218" s="97"/>
      <c r="P218" s="97"/>
      <c r="Q218" s="124"/>
      <c r="R218" s="124"/>
      <c r="S218" s="80"/>
      <c r="T218" s="115"/>
      <c r="U218" s="97"/>
      <c r="V218" s="97"/>
      <c r="W218" s="124"/>
      <c r="X218" s="124"/>
      <c r="Y218" s="80"/>
      <c r="Z218" s="115"/>
      <c r="AA218" s="97"/>
      <c r="AB218" s="97"/>
      <c r="AC218" s="124"/>
      <c r="AD218" s="124"/>
      <c r="AE218" s="80"/>
      <c r="AF218" s="115"/>
      <c r="AG218" s="97"/>
      <c r="AH218" s="97"/>
      <c r="AI218" s="80"/>
      <c r="AJ218" s="97"/>
      <c r="AK218" s="97"/>
      <c r="AL218" s="115"/>
      <c r="AM218" s="122"/>
      <c r="AN218" s="101"/>
      <c r="AQ218" s="101"/>
      <c r="AR218" s="101"/>
      <c r="AV218" s="119"/>
      <c r="AW218" s="101"/>
      <c r="AX218" s="101"/>
      <c r="AY218" s="101"/>
      <c r="AZ218" s="101"/>
      <c r="BA218" s="101"/>
      <c r="BB218" s="83"/>
      <c r="BD218" s="101"/>
      <c r="BQ218"/>
    </row>
    <row r="219" spans="1:69">
      <c r="A219" t="s">
        <v>305</v>
      </c>
      <c r="C219" s="98"/>
      <c r="M219" s="101"/>
    </row>
    <row r="220" spans="1:69">
      <c r="A220" t="s">
        <v>306</v>
      </c>
      <c r="C220" s="98"/>
      <c r="M220" s="101"/>
    </row>
    <row r="221" spans="1:69">
      <c r="A221" t="s">
        <v>307</v>
      </c>
      <c r="C221" s="98"/>
      <c r="M221" s="101"/>
    </row>
    <row r="222" spans="1:69">
      <c r="A222" t="s">
        <v>308</v>
      </c>
      <c r="C222" s="98"/>
      <c r="M222" s="101"/>
    </row>
    <row r="223" spans="1:69" s="41" customFormat="1">
      <c r="C223" s="133"/>
      <c r="L223" s="134"/>
      <c r="Q223" s="27"/>
      <c r="R223" s="27"/>
      <c r="S223" s="33"/>
      <c r="W223" s="27"/>
      <c r="X223" s="27"/>
      <c r="Y223" s="33"/>
      <c r="AC223" s="27"/>
      <c r="AD223" s="27"/>
      <c r="AE223" s="33"/>
      <c r="AI223" s="33"/>
      <c r="BQ223"/>
    </row>
    <row r="224" spans="1:69" s="41" customFormat="1">
      <c r="C224" s="133"/>
      <c r="L224" s="134"/>
      <c r="Q224" s="27"/>
      <c r="R224" s="27"/>
      <c r="S224" s="33"/>
      <c r="W224" s="27"/>
      <c r="X224" s="27"/>
      <c r="Y224" s="33"/>
      <c r="AC224" s="27"/>
      <c r="AD224" s="27"/>
      <c r="AE224" s="33"/>
      <c r="AI224" s="33"/>
      <c r="BQ224"/>
    </row>
    <row r="225" spans="3:69" s="41" customFormat="1">
      <c r="C225" s="133"/>
      <c r="L225" s="134"/>
      <c r="Q225" s="27"/>
      <c r="R225" s="27"/>
      <c r="S225" s="33"/>
      <c r="W225" s="27"/>
      <c r="X225" s="27"/>
      <c r="Y225" s="33"/>
      <c r="AC225" s="27"/>
      <c r="AD225" s="27"/>
      <c r="AE225" s="33"/>
      <c r="AI225" s="33"/>
      <c r="BQ225"/>
    </row>
    <row r="226" spans="3:69" s="41" customFormat="1">
      <c r="C226" s="133"/>
      <c r="L226" s="134"/>
      <c r="Q226" s="27"/>
      <c r="R226" s="27"/>
      <c r="S226" s="33"/>
      <c r="W226" s="27"/>
      <c r="X226" s="27"/>
      <c r="Y226" s="33"/>
      <c r="AC226" s="27"/>
      <c r="AD226" s="27"/>
      <c r="AE226" s="33"/>
      <c r="AI226" s="33"/>
      <c r="BQ226"/>
    </row>
    <row r="227" spans="3:69" s="41" customFormat="1">
      <c r="C227" s="133"/>
      <c r="L227" s="134"/>
      <c r="Q227" s="27"/>
      <c r="R227" s="27"/>
      <c r="S227" s="33"/>
      <c r="W227" s="27"/>
      <c r="X227" s="27"/>
      <c r="Y227" s="33"/>
      <c r="AC227" s="27"/>
      <c r="AD227" s="27"/>
      <c r="AE227" s="33"/>
      <c r="AI227" s="33"/>
      <c r="BQ227"/>
    </row>
    <row r="228" spans="3:69" s="41" customFormat="1">
      <c r="C228" s="133"/>
      <c r="L228" s="134"/>
      <c r="Q228" s="27"/>
      <c r="R228" s="27"/>
      <c r="S228" s="33"/>
      <c r="W228" s="27"/>
      <c r="X228" s="27"/>
      <c r="Y228" s="33"/>
      <c r="AC228" s="27"/>
      <c r="AD228" s="27"/>
      <c r="AE228" s="33"/>
      <c r="AI228" s="33"/>
      <c r="BQ228"/>
    </row>
    <row r="229" spans="3:69" s="41" customFormat="1">
      <c r="C229" s="133"/>
      <c r="L229" s="134"/>
      <c r="Q229" s="27"/>
      <c r="R229" s="27"/>
      <c r="S229" s="33"/>
      <c r="W229" s="27"/>
      <c r="X229" s="27"/>
      <c r="Y229" s="33"/>
      <c r="AC229" s="27"/>
      <c r="AD229" s="27"/>
      <c r="AE229" s="33"/>
      <c r="AI229" s="33"/>
      <c r="BQ229"/>
    </row>
    <row r="230" spans="3:69" s="41" customFormat="1">
      <c r="C230" s="133"/>
      <c r="L230" s="134"/>
      <c r="Q230" s="27"/>
      <c r="R230" s="27"/>
      <c r="S230" s="33"/>
      <c r="W230" s="27"/>
      <c r="X230" s="27"/>
      <c r="Y230" s="33"/>
      <c r="AC230" s="27"/>
      <c r="AD230" s="27"/>
      <c r="AE230" s="33"/>
      <c r="AI230" s="33"/>
      <c r="BQ230"/>
    </row>
    <row r="231" spans="3:69" s="41" customFormat="1">
      <c r="C231" s="133"/>
      <c r="L231" s="134"/>
      <c r="Q231" s="27"/>
      <c r="R231" s="27"/>
      <c r="S231" s="33"/>
      <c r="W231" s="27"/>
      <c r="X231" s="27"/>
      <c r="Y231" s="33"/>
      <c r="AC231" s="27"/>
      <c r="AD231" s="27"/>
      <c r="AE231" s="33"/>
      <c r="AI231" s="33"/>
      <c r="BQ231"/>
    </row>
    <row r="232" spans="3:69" s="41" customFormat="1">
      <c r="C232" s="133"/>
      <c r="L232" s="134"/>
      <c r="Q232" s="27"/>
      <c r="R232" s="27"/>
      <c r="S232" s="33"/>
      <c r="W232" s="27"/>
      <c r="X232" s="27"/>
      <c r="Y232" s="33"/>
      <c r="AC232" s="27"/>
      <c r="AD232" s="27"/>
      <c r="AE232" s="33"/>
      <c r="AI232" s="33"/>
    </row>
    <row r="233" spans="3:69" s="41" customFormat="1">
      <c r="C233" s="133"/>
      <c r="L233" s="134"/>
      <c r="Q233" s="27"/>
      <c r="R233" s="27"/>
      <c r="S233" s="33"/>
      <c r="W233" s="27"/>
      <c r="X233" s="27"/>
      <c r="Y233" s="33"/>
      <c r="AC233" s="27"/>
      <c r="AD233" s="27"/>
      <c r="AE233" s="33"/>
      <c r="AI233" s="33"/>
    </row>
    <row r="234" spans="3:69" s="41" customFormat="1">
      <c r="C234" s="133"/>
      <c r="L234" s="134"/>
      <c r="Q234" s="27"/>
      <c r="R234" s="27"/>
      <c r="S234" s="33"/>
      <c r="W234" s="27"/>
      <c r="X234" s="27"/>
      <c r="Y234" s="33"/>
      <c r="AC234" s="27"/>
      <c r="AD234" s="27"/>
      <c r="AE234" s="33"/>
      <c r="AI234" s="33"/>
    </row>
    <row r="235" spans="3:69" s="41" customFormat="1">
      <c r="C235" s="133"/>
      <c r="L235" s="134"/>
      <c r="Q235" s="27"/>
      <c r="R235" s="27"/>
      <c r="S235" s="33"/>
      <c r="W235" s="27"/>
      <c r="X235" s="27"/>
      <c r="Y235" s="33"/>
      <c r="AC235" s="27"/>
      <c r="AD235" s="27"/>
      <c r="AE235" s="33"/>
      <c r="AI235" s="33"/>
    </row>
    <row r="236" spans="3:69" s="41" customFormat="1">
      <c r="C236" s="133"/>
      <c r="L236" s="134"/>
      <c r="Q236" s="27"/>
      <c r="R236" s="27"/>
      <c r="S236" s="33"/>
      <c r="W236" s="27"/>
      <c r="X236" s="27"/>
      <c r="Y236" s="33"/>
      <c r="AC236" s="27"/>
      <c r="AD236" s="27"/>
      <c r="AE236" s="33"/>
      <c r="AI236" s="33"/>
    </row>
    <row r="237" spans="3:69" s="41" customFormat="1">
      <c r="C237" s="133"/>
      <c r="L237" s="134"/>
      <c r="Q237" s="27"/>
      <c r="R237" s="27"/>
      <c r="S237" s="33"/>
      <c r="W237" s="27"/>
      <c r="X237" s="27"/>
      <c r="Y237" s="33"/>
      <c r="AC237" s="27"/>
      <c r="AD237" s="27"/>
      <c r="AE237" s="33"/>
      <c r="AI237" s="33"/>
    </row>
    <row r="238" spans="3:69" s="41" customFormat="1">
      <c r="C238" s="133"/>
      <c r="L238" s="134"/>
      <c r="Q238" s="27"/>
      <c r="R238" s="27"/>
      <c r="S238" s="33"/>
      <c r="W238" s="27"/>
      <c r="X238" s="27"/>
      <c r="Y238" s="33"/>
      <c r="AC238" s="27"/>
      <c r="AD238" s="27"/>
      <c r="AE238" s="33"/>
      <c r="AI238" s="33"/>
    </row>
    <row r="239" spans="3:69" s="41" customFormat="1">
      <c r="C239" s="133"/>
      <c r="L239" s="134"/>
      <c r="Q239" s="27"/>
      <c r="R239" s="27"/>
      <c r="S239" s="33"/>
      <c r="W239" s="27"/>
      <c r="X239" s="27"/>
      <c r="Y239" s="33"/>
      <c r="AC239" s="27"/>
      <c r="AD239" s="27"/>
      <c r="AE239" s="33"/>
      <c r="AI239" s="33"/>
    </row>
    <row r="240" spans="3:69" s="41" customFormat="1">
      <c r="C240" s="133"/>
      <c r="L240" s="134"/>
      <c r="Q240" s="27"/>
      <c r="R240" s="27"/>
      <c r="S240" s="33"/>
      <c r="W240" s="27"/>
      <c r="X240" s="27"/>
      <c r="Y240" s="33"/>
      <c r="AC240" s="27"/>
      <c r="AD240" s="27"/>
      <c r="AE240" s="33"/>
      <c r="AI240" s="33"/>
    </row>
    <row r="241" spans="3:35" s="41" customFormat="1">
      <c r="C241" s="133"/>
      <c r="L241" s="134"/>
      <c r="Q241" s="27"/>
      <c r="R241" s="27"/>
      <c r="S241" s="33"/>
      <c r="W241" s="27"/>
      <c r="X241" s="27"/>
      <c r="Y241" s="33"/>
      <c r="AC241" s="27"/>
      <c r="AD241" s="27"/>
      <c r="AE241" s="33"/>
      <c r="AI241" s="33"/>
    </row>
    <row r="242" spans="3:35" s="41" customFormat="1">
      <c r="C242" s="133"/>
      <c r="L242" s="134"/>
      <c r="Q242" s="27"/>
      <c r="R242" s="27"/>
      <c r="S242" s="33"/>
      <c r="W242" s="27"/>
      <c r="X242" s="27"/>
      <c r="Y242" s="33"/>
      <c r="AC242" s="27"/>
      <c r="AD242" s="27"/>
      <c r="AE242" s="33"/>
      <c r="AI242" s="33"/>
    </row>
    <row r="243" spans="3:35" s="41" customFormat="1">
      <c r="C243" s="133"/>
      <c r="L243" s="134"/>
      <c r="Q243" s="27"/>
      <c r="R243" s="27"/>
      <c r="S243" s="33"/>
      <c r="W243" s="27"/>
      <c r="X243" s="27"/>
      <c r="Y243" s="33"/>
      <c r="AC243" s="27"/>
      <c r="AD243" s="27"/>
      <c r="AE243" s="33"/>
      <c r="AI243" s="33"/>
    </row>
    <row r="244" spans="3:35" s="41" customFormat="1">
      <c r="C244" s="133"/>
      <c r="L244" s="134"/>
      <c r="Q244" s="27"/>
      <c r="R244" s="27"/>
      <c r="S244" s="33"/>
      <c r="W244" s="27"/>
      <c r="X244" s="27"/>
      <c r="Y244" s="33"/>
      <c r="AC244" s="27"/>
      <c r="AD244" s="27"/>
      <c r="AE244" s="33"/>
      <c r="AI244" s="33"/>
    </row>
    <row r="245" spans="3:35" s="41" customFormat="1">
      <c r="C245" s="133"/>
      <c r="L245" s="134"/>
      <c r="Q245" s="27"/>
      <c r="R245" s="27"/>
      <c r="S245" s="33"/>
      <c r="W245" s="27"/>
      <c r="X245" s="27"/>
      <c r="Y245" s="33"/>
      <c r="AC245" s="27"/>
      <c r="AD245" s="27"/>
      <c r="AE245" s="33"/>
      <c r="AI245" s="33"/>
    </row>
    <row r="246" spans="3:35" s="41" customFormat="1">
      <c r="C246" s="133"/>
      <c r="L246" s="134"/>
      <c r="Q246" s="27"/>
      <c r="R246" s="27"/>
      <c r="S246" s="33"/>
      <c r="W246" s="27"/>
      <c r="X246" s="27"/>
      <c r="Y246" s="33"/>
      <c r="AC246" s="27"/>
      <c r="AD246" s="27"/>
      <c r="AE246" s="33"/>
      <c r="AI246" s="33"/>
    </row>
    <row r="247" spans="3:35" s="41" customFormat="1">
      <c r="C247" s="133"/>
      <c r="L247" s="134"/>
      <c r="Q247" s="27"/>
      <c r="R247" s="27"/>
      <c r="S247" s="33"/>
      <c r="W247" s="27"/>
      <c r="X247" s="27"/>
      <c r="Y247" s="33"/>
      <c r="AC247" s="27"/>
      <c r="AD247" s="27"/>
      <c r="AE247" s="33"/>
      <c r="AI247" s="33"/>
    </row>
    <row r="248" spans="3:35" s="41" customFormat="1">
      <c r="C248" s="133"/>
      <c r="L248" s="134"/>
      <c r="Q248" s="27"/>
      <c r="R248" s="27"/>
      <c r="S248" s="33"/>
      <c r="W248" s="27"/>
      <c r="X248" s="27"/>
      <c r="Y248" s="33"/>
      <c r="AC248" s="27"/>
      <c r="AD248" s="27"/>
      <c r="AE248" s="33"/>
      <c r="AI248" s="33"/>
    </row>
    <row r="249" spans="3:35" s="41" customFormat="1">
      <c r="C249" s="133"/>
      <c r="L249" s="134"/>
      <c r="Q249" s="27"/>
      <c r="R249" s="27"/>
      <c r="S249" s="33"/>
      <c r="W249" s="27"/>
      <c r="X249" s="27"/>
      <c r="Y249" s="33"/>
      <c r="AC249" s="27"/>
      <c r="AD249" s="27"/>
      <c r="AE249" s="33"/>
      <c r="AI249" s="33"/>
    </row>
    <row r="250" spans="3:35" s="41" customFormat="1">
      <c r="C250" s="133"/>
      <c r="L250" s="134"/>
      <c r="Q250" s="27"/>
      <c r="R250" s="27"/>
      <c r="S250" s="33"/>
      <c r="W250" s="27"/>
      <c r="X250" s="27"/>
      <c r="Y250" s="33"/>
      <c r="AC250" s="27"/>
      <c r="AD250" s="27"/>
      <c r="AE250" s="33"/>
      <c r="AI250" s="33"/>
    </row>
    <row r="251" spans="3:35" s="41" customFormat="1">
      <c r="C251" s="133"/>
      <c r="L251" s="134"/>
      <c r="Q251" s="27"/>
      <c r="R251" s="27"/>
      <c r="S251" s="33"/>
      <c r="W251" s="27"/>
      <c r="X251" s="27"/>
      <c r="Y251" s="33"/>
      <c r="AC251" s="27"/>
      <c r="AD251" s="27"/>
      <c r="AE251" s="33"/>
      <c r="AI251" s="33"/>
    </row>
    <row r="252" spans="3:35" s="41" customFormat="1">
      <c r="C252" s="133"/>
      <c r="L252" s="134"/>
      <c r="Q252" s="27"/>
      <c r="R252" s="27"/>
      <c r="S252" s="33"/>
      <c r="W252" s="27"/>
      <c r="X252" s="27"/>
      <c r="Y252" s="33"/>
      <c r="AC252" s="27"/>
      <c r="AD252" s="27"/>
      <c r="AE252" s="33"/>
      <c r="AI252" s="33"/>
    </row>
    <row r="253" spans="3:35" s="41" customFormat="1">
      <c r="C253" s="133"/>
      <c r="L253" s="134"/>
      <c r="Q253" s="27"/>
      <c r="R253" s="27"/>
      <c r="S253" s="33"/>
      <c r="W253" s="27"/>
      <c r="X253" s="27"/>
      <c r="Y253" s="33"/>
      <c r="AC253" s="27"/>
      <c r="AD253" s="27"/>
      <c r="AE253" s="33"/>
      <c r="AI253" s="33"/>
    </row>
    <row r="254" spans="3:35" s="41" customFormat="1">
      <c r="C254" s="133"/>
      <c r="L254" s="134"/>
      <c r="Q254" s="27"/>
      <c r="R254" s="27"/>
      <c r="S254" s="33"/>
      <c r="W254" s="27"/>
      <c r="X254" s="27"/>
      <c r="Y254" s="33"/>
      <c r="AC254" s="27"/>
      <c r="AD254" s="27"/>
      <c r="AE254" s="33"/>
      <c r="AI254" s="33"/>
    </row>
    <row r="255" spans="3:35" s="41" customFormat="1">
      <c r="C255" s="133"/>
      <c r="L255" s="134"/>
      <c r="Q255" s="27"/>
      <c r="R255" s="27"/>
      <c r="S255" s="33"/>
      <c r="W255" s="27"/>
      <c r="X255" s="27"/>
      <c r="Y255" s="33"/>
      <c r="AC255" s="27"/>
      <c r="AD255" s="27"/>
      <c r="AE255" s="33"/>
      <c r="AI255" s="33"/>
    </row>
    <row r="256" spans="3:35" s="41" customFormat="1">
      <c r="C256" s="133"/>
      <c r="L256" s="134"/>
      <c r="Q256" s="27"/>
      <c r="R256" s="27"/>
      <c r="S256" s="33"/>
      <c r="W256" s="27"/>
      <c r="X256" s="27"/>
      <c r="Y256" s="33"/>
      <c r="AC256" s="27"/>
      <c r="AD256" s="27"/>
      <c r="AE256" s="33"/>
      <c r="AI256" s="33"/>
    </row>
    <row r="257" spans="3:35" s="41" customFormat="1">
      <c r="C257" s="133"/>
      <c r="L257" s="134"/>
      <c r="Q257" s="27"/>
      <c r="R257" s="27"/>
      <c r="S257" s="33"/>
      <c r="W257" s="27"/>
      <c r="X257" s="27"/>
      <c r="Y257" s="33"/>
      <c r="AC257" s="27"/>
      <c r="AD257" s="27"/>
      <c r="AE257" s="33"/>
      <c r="AI257" s="33"/>
    </row>
    <row r="258" spans="3:35" s="41" customFormat="1">
      <c r="C258" s="133"/>
      <c r="L258" s="134"/>
      <c r="Q258" s="27"/>
      <c r="R258" s="27"/>
      <c r="S258" s="33"/>
      <c r="W258" s="27"/>
      <c r="X258" s="27"/>
      <c r="Y258" s="33"/>
      <c r="AC258" s="27"/>
      <c r="AD258" s="27"/>
      <c r="AE258" s="33"/>
      <c r="AI258" s="33"/>
    </row>
    <row r="259" spans="3:35" s="41" customFormat="1">
      <c r="C259" s="133"/>
      <c r="L259" s="134"/>
      <c r="Q259" s="27"/>
      <c r="R259" s="27"/>
      <c r="S259" s="33"/>
      <c r="W259" s="27"/>
      <c r="X259" s="27"/>
      <c r="Y259" s="33"/>
      <c r="AC259" s="27"/>
      <c r="AD259" s="27"/>
      <c r="AE259" s="33"/>
      <c r="AI259" s="33"/>
    </row>
    <row r="260" spans="3:35" s="41" customFormat="1">
      <c r="C260" s="133"/>
      <c r="L260" s="134"/>
      <c r="Q260" s="27"/>
      <c r="R260" s="27"/>
      <c r="S260" s="33"/>
      <c r="W260" s="27"/>
      <c r="X260" s="27"/>
      <c r="Y260" s="33"/>
      <c r="AC260" s="27"/>
      <c r="AD260" s="27"/>
      <c r="AE260" s="33"/>
      <c r="AI260" s="33"/>
    </row>
    <row r="261" spans="3:35" s="41" customFormat="1">
      <c r="C261" s="133"/>
      <c r="L261" s="134"/>
      <c r="Q261" s="27"/>
      <c r="R261" s="27"/>
      <c r="S261" s="33"/>
      <c r="W261" s="27"/>
      <c r="X261" s="27"/>
      <c r="Y261" s="33"/>
      <c r="AC261" s="27"/>
      <c r="AD261" s="27"/>
      <c r="AE261" s="33"/>
      <c r="AI261" s="33"/>
    </row>
    <row r="262" spans="3:35" s="41" customFormat="1">
      <c r="C262" s="133"/>
      <c r="L262" s="134"/>
      <c r="Q262" s="27"/>
      <c r="R262" s="27"/>
      <c r="S262" s="33"/>
      <c r="W262" s="27"/>
      <c r="X262" s="27"/>
      <c r="Y262" s="33"/>
      <c r="AC262" s="27"/>
      <c r="AD262" s="27"/>
      <c r="AE262" s="33"/>
      <c r="AI262" s="33"/>
    </row>
    <row r="263" spans="3:35" s="41" customFormat="1">
      <c r="C263" s="133"/>
      <c r="L263" s="134"/>
      <c r="Q263" s="27"/>
      <c r="R263" s="27"/>
      <c r="S263" s="33"/>
      <c r="W263" s="27"/>
      <c r="X263" s="27"/>
      <c r="Y263" s="33"/>
      <c r="AC263" s="27"/>
      <c r="AD263" s="27"/>
      <c r="AE263" s="33"/>
      <c r="AI263" s="33"/>
    </row>
    <row r="264" spans="3:35" s="41" customFormat="1">
      <c r="C264" s="133"/>
      <c r="L264" s="134"/>
      <c r="Q264" s="27"/>
      <c r="R264" s="27"/>
      <c r="S264" s="33"/>
      <c r="W264" s="27"/>
      <c r="X264" s="27"/>
      <c r="Y264" s="33"/>
      <c r="AC264" s="27"/>
      <c r="AD264" s="27"/>
      <c r="AE264" s="33"/>
      <c r="AI264" s="33"/>
    </row>
    <row r="265" spans="3:35" s="41" customFormat="1">
      <c r="C265" s="133"/>
      <c r="L265" s="134"/>
      <c r="Q265" s="27"/>
      <c r="R265" s="27"/>
      <c r="S265" s="33"/>
      <c r="W265" s="27"/>
      <c r="X265" s="27"/>
      <c r="Y265" s="33"/>
      <c r="AC265" s="27"/>
      <c r="AD265" s="27"/>
      <c r="AE265" s="33"/>
      <c r="AI265" s="33"/>
    </row>
    <row r="266" spans="3:35" s="41" customFormat="1">
      <c r="C266" s="133"/>
      <c r="L266" s="134"/>
      <c r="Q266" s="27"/>
      <c r="R266" s="27"/>
      <c r="S266" s="33"/>
      <c r="W266" s="27"/>
      <c r="X266" s="27"/>
      <c r="Y266" s="33"/>
      <c r="AC266" s="27"/>
      <c r="AD266" s="27"/>
      <c r="AE266" s="33"/>
      <c r="AI266" s="33"/>
    </row>
    <row r="267" spans="3:35" s="41" customFormat="1">
      <c r="C267" s="133"/>
      <c r="L267" s="134"/>
      <c r="Q267" s="27"/>
      <c r="R267" s="27"/>
      <c r="S267" s="33"/>
      <c r="W267" s="27"/>
      <c r="X267" s="27"/>
      <c r="Y267" s="33"/>
      <c r="AC267" s="27"/>
      <c r="AD267" s="27"/>
      <c r="AE267" s="33"/>
      <c r="AI267" s="33"/>
    </row>
    <row r="268" spans="3:35" s="41" customFormat="1">
      <c r="C268" s="133"/>
      <c r="L268" s="134"/>
      <c r="Q268" s="27"/>
      <c r="R268" s="27"/>
      <c r="S268" s="33"/>
      <c r="W268" s="27"/>
      <c r="X268" s="27"/>
      <c r="Y268" s="33"/>
      <c r="AC268" s="27"/>
      <c r="AD268" s="27"/>
      <c r="AE268" s="33"/>
      <c r="AI268" s="33"/>
    </row>
    <row r="269" spans="3:35" s="41" customFormat="1">
      <c r="C269" s="133"/>
      <c r="L269" s="134"/>
      <c r="Q269" s="27"/>
      <c r="R269" s="27"/>
      <c r="S269" s="33"/>
      <c r="W269" s="27"/>
      <c r="X269" s="27"/>
      <c r="Y269" s="33"/>
      <c r="AC269" s="27"/>
      <c r="AD269" s="27"/>
      <c r="AE269" s="33"/>
      <c r="AI269" s="33"/>
    </row>
    <row r="270" spans="3:35" s="41" customFormat="1">
      <c r="C270" s="133"/>
      <c r="L270" s="134"/>
      <c r="Q270" s="27"/>
      <c r="R270" s="27"/>
      <c r="S270" s="33"/>
      <c r="W270" s="27"/>
      <c r="X270" s="27"/>
      <c r="Y270" s="33"/>
      <c r="AC270" s="27"/>
      <c r="AD270" s="27"/>
      <c r="AE270" s="33"/>
      <c r="AI270" s="33"/>
    </row>
    <row r="271" spans="3:35" s="41" customFormat="1">
      <c r="C271" s="133"/>
      <c r="L271" s="134"/>
      <c r="Q271" s="27"/>
      <c r="R271" s="27"/>
      <c r="S271" s="33"/>
      <c r="W271" s="27"/>
      <c r="X271" s="27"/>
      <c r="Y271" s="33"/>
      <c r="AC271" s="27"/>
      <c r="AD271" s="27"/>
      <c r="AE271" s="33"/>
      <c r="AI271" s="33"/>
    </row>
    <row r="272" spans="3:35" s="41" customFormat="1">
      <c r="C272" s="133"/>
      <c r="L272" s="134"/>
      <c r="Q272" s="27"/>
      <c r="R272" s="27"/>
      <c r="S272" s="33"/>
      <c r="W272" s="27"/>
      <c r="X272" s="27"/>
      <c r="Y272" s="33"/>
      <c r="AC272" s="27"/>
      <c r="AD272" s="27"/>
      <c r="AE272" s="33"/>
      <c r="AI272" s="33"/>
    </row>
    <row r="273" spans="3:35" s="41" customFormat="1">
      <c r="C273" s="133"/>
      <c r="L273" s="134"/>
      <c r="Q273" s="27"/>
      <c r="R273" s="27"/>
      <c r="S273" s="33"/>
      <c r="W273" s="27"/>
      <c r="X273" s="27"/>
      <c r="Y273" s="33"/>
      <c r="AC273" s="27"/>
      <c r="AD273" s="27"/>
      <c r="AE273" s="33"/>
      <c r="AI273" s="33"/>
    </row>
    <row r="274" spans="3:35" s="41" customFormat="1">
      <c r="C274" s="133"/>
      <c r="L274" s="134"/>
      <c r="Q274" s="27"/>
      <c r="R274" s="27"/>
      <c r="S274" s="33"/>
      <c r="W274" s="27"/>
      <c r="X274" s="27"/>
      <c r="Y274" s="33"/>
      <c r="AC274" s="27"/>
      <c r="AD274" s="27"/>
      <c r="AE274" s="33"/>
      <c r="AI274" s="33"/>
    </row>
    <row r="275" spans="3:35" s="41" customFormat="1">
      <c r="C275" s="133"/>
      <c r="L275" s="134"/>
      <c r="Q275" s="27"/>
      <c r="R275" s="27"/>
      <c r="S275" s="33"/>
      <c r="W275" s="27"/>
      <c r="X275" s="27"/>
      <c r="Y275" s="33"/>
      <c r="AC275" s="27"/>
      <c r="AD275" s="27"/>
      <c r="AE275" s="33"/>
      <c r="AI275" s="33"/>
    </row>
    <row r="276" spans="3:35" s="41" customFormat="1">
      <c r="C276" s="133"/>
      <c r="L276" s="134"/>
      <c r="Q276" s="27"/>
      <c r="R276" s="27"/>
      <c r="S276" s="33"/>
      <c r="W276" s="27"/>
      <c r="X276" s="27"/>
      <c r="Y276" s="33"/>
      <c r="AC276" s="27"/>
      <c r="AD276" s="27"/>
      <c r="AE276" s="33"/>
      <c r="AI276" s="33"/>
    </row>
    <row r="277" spans="3:35" s="41" customFormat="1">
      <c r="C277" s="133"/>
      <c r="L277" s="134"/>
      <c r="Q277" s="27"/>
      <c r="R277" s="27"/>
      <c r="S277" s="33"/>
      <c r="W277" s="27"/>
      <c r="X277" s="27"/>
      <c r="Y277" s="33"/>
      <c r="AC277" s="27"/>
      <c r="AD277" s="27"/>
      <c r="AE277" s="33"/>
      <c r="AI277" s="33"/>
    </row>
    <row r="278" spans="3:35" s="41" customFormat="1">
      <c r="C278" s="133"/>
      <c r="L278" s="134"/>
      <c r="Q278" s="27"/>
      <c r="R278" s="27"/>
      <c r="S278" s="33"/>
      <c r="W278" s="27"/>
      <c r="X278" s="27"/>
      <c r="Y278" s="33"/>
      <c r="AC278" s="27"/>
      <c r="AD278" s="27"/>
      <c r="AE278" s="33"/>
      <c r="AI278" s="33"/>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4CAC1-F9C6-A440-A60C-2BFFEB82B3D9}">
  <dimension ref="A1:AL66"/>
  <sheetViews>
    <sheetView topLeftCell="B6" zoomScale="80" zoomScaleNormal="80" workbookViewId="0">
      <selection activeCell="A42" sqref="A41:XFD42"/>
    </sheetView>
  </sheetViews>
  <sheetFormatPr baseColWidth="10" defaultRowHeight="15"/>
  <cols>
    <col min="2" max="3" width="7.5" customWidth="1"/>
    <col min="4" max="4" width="9.33203125" customWidth="1"/>
    <col min="5" max="5" width="10.6640625" customWidth="1"/>
    <col min="6" max="6" width="9.1640625" customWidth="1"/>
    <col min="7" max="8" width="8.33203125" customWidth="1"/>
    <col min="9" max="9" width="8.83203125" customWidth="1"/>
    <col min="38" max="38" width="10.83203125" style="14"/>
  </cols>
  <sheetData>
    <row r="1" spans="1:38">
      <c r="B1" s="1" t="s">
        <v>590</v>
      </c>
      <c r="C1" s="1" t="s">
        <v>591</v>
      </c>
      <c r="D1" s="1" t="s">
        <v>592</v>
      </c>
      <c r="E1" s="1" t="s">
        <v>655</v>
      </c>
      <c r="F1" s="1" t="s">
        <v>520</v>
      </c>
    </row>
    <row r="2" spans="1:38">
      <c r="A2" s="1" t="s">
        <v>589</v>
      </c>
      <c r="B2" s="46">
        <f>AVERAGE(Results_exp1_1shot!S3:S96,Results_exp1_1shot!S99:S102,Results_exp1_1shot!S105:S108,Results_exp1_1shot!S111:S126,Results_exp1_1shot!S129:S174,Results_exp1_1shot!S177:S186,Results_exp1_1shot!S189:S192)</f>
        <v>0.82414827192192697</v>
      </c>
      <c r="C2" s="46">
        <f>AVERAGE(Results_exp1_1shot!Y3:Y96,Results_exp1_1shot!Y99:Y102,Results_exp1_1shot!Y105:Y108,Results_exp1_1shot!Y111:Y126,Results_exp1_1shot!Y129:Y174,Results_exp1_1shot!Y177:Y186,Results_exp1_1shot!Y189:Y192)</f>
        <v>0.8338383560689433</v>
      </c>
      <c r="D2" s="46">
        <f>AVERAGE(Results_exp1_1shot!AE3:AE96,Results_exp1_1shot!AE99:AE102,Results_exp1_1shot!AE105:AE108,Results_exp1_1shot!AE111:AE126,Results_exp1_1shot!AE129:AE174,Results_exp1_1shot!AE177:AE186,Results_exp1_1shot!AE189:AE192)</f>
        <v>0.74353229065254645</v>
      </c>
      <c r="E2" s="46">
        <f>AVERAGE(Results_exp1_1shot!AI3:AI96,Results_exp1_1shot!AI99:AI102,Results_exp1_1shot!AI105:AI108,Results_exp1_1shot!AI111:AI126,Results_exp1_1shot!AI129:AI174,Results_exp1_1shot!AI177:AI186,Results_exp1_1shot!AI189:AI192)</f>
        <v>0.63322665461718808</v>
      </c>
      <c r="F2" s="46">
        <f>AVERAGE(Results_exp1_1shot!AJ3:AJ96,Results_exp1_1shot!AJ99:AJ102,Results_exp1_1shot!AJ105:AJ108,Results_exp1_1shot!AJ111:AJ126,Results_exp1_1shot!AJ129:AJ174,Results_exp1_1shot!AJ177:AJ186,Results_exp1_1shot!AJ189:AJ192)</f>
        <v>0.97149965043583231</v>
      </c>
    </row>
    <row r="8" spans="1:38" s="182" customFormat="1">
      <c r="D8" s="330" t="s">
        <v>590</v>
      </c>
      <c r="E8" s="330"/>
      <c r="F8" s="330"/>
      <c r="G8" s="330"/>
      <c r="H8" s="190"/>
      <c r="I8" s="195"/>
      <c r="J8" s="330" t="s">
        <v>591</v>
      </c>
      <c r="K8" s="330"/>
      <c r="L8" s="330"/>
      <c r="M8" s="330"/>
      <c r="N8" s="190"/>
      <c r="O8" s="189"/>
      <c r="P8" s="330" t="s">
        <v>592</v>
      </c>
      <c r="Q8" s="330"/>
      <c r="R8" s="330"/>
      <c r="S8" s="330"/>
      <c r="T8" s="190"/>
      <c r="U8" s="189"/>
      <c r="V8" s="330" t="s">
        <v>655</v>
      </c>
      <c r="W8" s="330"/>
      <c r="X8" s="330"/>
      <c r="Y8" s="330"/>
      <c r="Z8" s="190"/>
      <c r="AA8" s="195"/>
      <c r="AB8" s="330" t="s">
        <v>520</v>
      </c>
      <c r="AC8" s="330"/>
      <c r="AD8" s="330"/>
      <c r="AE8" s="330"/>
      <c r="AF8" s="190"/>
      <c r="AG8" s="195"/>
      <c r="AH8" s="330" t="s">
        <v>773</v>
      </c>
      <c r="AI8" s="330"/>
      <c r="AJ8" s="330"/>
      <c r="AK8" s="330"/>
      <c r="AL8" s="330"/>
    </row>
    <row r="9" spans="1:38">
      <c r="A9" s="1" t="s">
        <v>654</v>
      </c>
      <c r="B9" s="1" t="s">
        <v>303</v>
      </c>
      <c r="C9" s="1" t="s">
        <v>798</v>
      </c>
      <c r="D9" s="79" t="s">
        <v>305</v>
      </c>
      <c r="E9" s="79" t="s">
        <v>306</v>
      </c>
      <c r="F9" s="79" t="s">
        <v>307</v>
      </c>
      <c r="G9" s="79" t="s">
        <v>308</v>
      </c>
      <c r="H9" s="307" t="s">
        <v>799</v>
      </c>
      <c r="I9" s="79"/>
      <c r="J9" s="79" t="s">
        <v>305</v>
      </c>
      <c r="K9" s="79" t="s">
        <v>306</v>
      </c>
      <c r="L9" s="79" t="s">
        <v>307</v>
      </c>
      <c r="M9" s="79" t="s">
        <v>308</v>
      </c>
      <c r="N9" s="307" t="s">
        <v>799</v>
      </c>
      <c r="O9" s="79"/>
      <c r="P9" s="79" t="s">
        <v>305</v>
      </c>
      <c r="Q9" s="79" t="s">
        <v>306</v>
      </c>
      <c r="R9" s="79" t="s">
        <v>307</v>
      </c>
      <c r="S9" s="79" t="s">
        <v>308</v>
      </c>
      <c r="T9" s="307" t="s">
        <v>799</v>
      </c>
      <c r="U9" s="79"/>
      <c r="V9" s="79" t="s">
        <v>305</v>
      </c>
      <c r="W9" s="79" t="s">
        <v>306</v>
      </c>
      <c r="X9" s="79" t="s">
        <v>307</v>
      </c>
      <c r="Y9" s="79" t="s">
        <v>308</v>
      </c>
      <c r="Z9" s="307" t="s">
        <v>799</v>
      </c>
      <c r="AA9" s="79"/>
      <c r="AB9" s="79" t="s">
        <v>305</v>
      </c>
      <c r="AC9" s="79" t="s">
        <v>306</v>
      </c>
      <c r="AD9" s="79" t="s">
        <v>307</v>
      </c>
      <c r="AE9" s="79" t="s">
        <v>308</v>
      </c>
      <c r="AF9" s="307" t="s">
        <v>799</v>
      </c>
      <c r="AG9" s="79"/>
      <c r="AH9" s="79" t="s">
        <v>305</v>
      </c>
      <c r="AI9" s="79" t="s">
        <v>306</v>
      </c>
      <c r="AJ9" s="79" t="s">
        <v>307</v>
      </c>
      <c r="AK9" s="79" t="s">
        <v>308</v>
      </c>
      <c r="AL9" s="63"/>
    </row>
    <row r="10" spans="1:38" s="24" customFormat="1">
      <c r="A10" s="4" t="s">
        <v>656</v>
      </c>
      <c r="B10" s="4"/>
      <c r="C10" s="4"/>
      <c r="D10" s="175"/>
      <c r="E10" s="175"/>
      <c r="F10" s="175"/>
      <c r="G10" s="175"/>
      <c r="H10" s="308"/>
      <c r="I10" s="175"/>
      <c r="N10" s="308"/>
      <c r="P10" s="175"/>
      <c r="Q10" s="175"/>
      <c r="R10" s="175"/>
      <c r="S10" s="175"/>
      <c r="T10" s="308"/>
      <c r="U10" s="175"/>
      <c r="V10" s="175"/>
      <c r="W10" s="175"/>
      <c r="X10" s="175"/>
      <c r="Y10" s="175"/>
      <c r="Z10" s="308"/>
      <c r="AA10" s="175"/>
      <c r="AB10" s="175"/>
      <c r="AC10" s="175"/>
      <c r="AD10" s="175"/>
      <c r="AE10" s="175"/>
      <c r="AF10" s="308"/>
      <c r="AG10" s="175"/>
      <c r="AH10" s="179"/>
      <c r="AI10" s="179"/>
      <c r="AJ10" s="179"/>
      <c r="AK10" s="179"/>
      <c r="AL10" s="249"/>
    </row>
    <row r="11" spans="1:38" s="14" customFormat="1">
      <c r="A11" s="14" t="s">
        <v>343</v>
      </c>
      <c r="B11" s="14" t="s">
        <v>156</v>
      </c>
      <c r="C11">
        <v>0.12287169416637536</v>
      </c>
      <c r="D11" s="192">
        <f>Results_exp1_1shot!S3</f>
        <v>0.96296296296296302</v>
      </c>
      <c r="E11" s="192">
        <f>Results_exp1_1shot!S4</f>
        <v>0.96296296296296302</v>
      </c>
      <c r="F11" s="192">
        <f>Results_exp1_1shot!S5</f>
        <v>0.96296296296296302</v>
      </c>
      <c r="G11" s="192">
        <f>Results_exp1_1shot!S6</f>
        <v>0.96296296296296302</v>
      </c>
      <c r="H11" s="309">
        <f>AVERAGE(D11:G11)</f>
        <v>0.96296296296296302</v>
      </c>
      <c r="I11" s="192"/>
      <c r="J11" s="192">
        <f>Results_exp1_1shot!Y3</f>
        <v>1</v>
      </c>
      <c r="K11" s="192">
        <f>Results_exp1_1shot!Y4</f>
        <v>1</v>
      </c>
      <c r="L11" s="192">
        <f>Results_exp1_1shot!Y5</f>
        <v>1</v>
      </c>
      <c r="M11" s="192">
        <f>Results_exp1_1shot!Y6</f>
        <v>1</v>
      </c>
      <c r="N11" s="309">
        <f>AVERAGE(J11:M11)</f>
        <v>1</v>
      </c>
      <c r="O11" s="192"/>
      <c r="P11" s="192">
        <f>Results_exp1_1shot!AE3</f>
        <v>0.95652173913043481</v>
      </c>
      <c r="Q11" s="192">
        <f>Results_exp1_1shot!AE4</f>
        <v>0.95652173913043481</v>
      </c>
      <c r="R11" s="192">
        <f>Results_exp1_1shot!AE5</f>
        <v>0.95652173913043481</v>
      </c>
      <c r="S11" s="192">
        <f>Results_exp1_1shot!AE6</f>
        <v>0.95652173913043481</v>
      </c>
      <c r="T11" s="309">
        <f>AVERAGE(P11:S11)</f>
        <v>0.95652173913043481</v>
      </c>
      <c r="U11" s="192"/>
      <c r="V11" s="192">
        <f>Results_exp1_1shot!AI3</f>
        <v>1.3333333333333333</v>
      </c>
      <c r="W11" s="192">
        <f>Results_exp1_1shot!AI4</f>
        <v>1.3333333333333333</v>
      </c>
      <c r="X11" s="192">
        <f>Results_exp1_1shot!AI5</f>
        <v>1.3333333333333333</v>
      </c>
      <c r="Y11" s="192">
        <f>Results_exp1_1shot!AI6</f>
        <v>1</v>
      </c>
      <c r="Z11" s="309">
        <f>AVERAGE(V11:Y11)</f>
        <v>1.25</v>
      </c>
      <c r="AB11" s="192">
        <f>Results_exp1_1shot!AJ3</f>
        <v>1</v>
      </c>
      <c r="AC11" s="192">
        <f>Results_exp1_1shot!AJ4</f>
        <v>1</v>
      </c>
      <c r="AD11" s="192">
        <f>Results_exp1_1shot!AJ5</f>
        <v>1</v>
      </c>
      <c r="AE11" s="192">
        <f>Results_exp1_1shot!AJ6</f>
        <v>1</v>
      </c>
      <c r="AF11" s="309">
        <f>AVERAGE(AB11:AE11)</f>
        <v>1</v>
      </c>
      <c r="AG11" s="192"/>
      <c r="AH11" s="147">
        <v>279</v>
      </c>
      <c r="AI11" s="147">
        <v>279</v>
      </c>
      <c r="AJ11" s="147">
        <v>270</v>
      </c>
      <c r="AK11" s="147">
        <v>242</v>
      </c>
      <c r="AL11" s="192"/>
    </row>
    <row r="12" spans="1:38" s="14" customFormat="1">
      <c r="A12" s="14" t="s">
        <v>344</v>
      </c>
      <c r="B12" s="14" t="s">
        <v>151</v>
      </c>
      <c r="C12" s="14">
        <v>0.13115245937088071</v>
      </c>
      <c r="D12" s="192">
        <f>Results_exp1_1shot!S9</f>
        <v>0.84615384615384615</v>
      </c>
      <c r="E12" s="192">
        <f>Results_exp1_1shot!S10</f>
        <v>0.61538461538461542</v>
      </c>
      <c r="F12" s="192">
        <f>Results_exp1_1shot!S11</f>
        <v>0.92307692307692313</v>
      </c>
      <c r="G12" s="192">
        <f>Results_exp1_1shot!S12</f>
        <v>0.92307692307692313</v>
      </c>
      <c r="H12" s="309">
        <f t="shared" ref="H12:H25" si="0">AVERAGE(D12:G12)</f>
        <v>0.82692307692307709</v>
      </c>
      <c r="I12" s="192"/>
      <c r="J12" s="192">
        <f>Results_exp1_1shot!Y9</f>
        <v>0.72727272727272718</v>
      </c>
      <c r="K12" s="192">
        <f>Results_exp1_1shot!Y10</f>
        <v>0.6</v>
      </c>
      <c r="L12" s="192">
        <f>Results_exp1_1shot!Y11</f>
        <v>0.90909090909090906</v>
      </c>
      <c r="M12" s="192">
        <f>Results_exp1_1shot!Y12</f>
        <v>0.90909090909090906</v>
      </c>
      <c r="N12" s="309">
        <f t="shared" ref="N12:N25" si="1">AVERAGE(J12:M12)</f>
        <v>0.78636363636363638</v>
      </c>
      <c r="O12" s="192"/>
      <c r="P12" s="192">
        <f>Results_exp1_1shot!AE9</f>
        <v>0.84615384615384615</v>
      </c>
      <c r="Q12" s="192">
        <f>Results_exp1_1shot!AE10</f>
        <v>0.84615384615384615</v>
      </c>
      <c r="R12" s="192">
        <f>Results_exp1_1shot!AE11</f>
        <v>0.84615384615384615</v>
      </c>
      <c r="S12" s="192">
        <f>Results_exp1_1shot!AE12</f>
        <v>0.84615384615384615</v>
      </c>
      <c r="T12" s="309">
        <f t="shared" ref="T12:T25" si="2">AVERAGE(P12:S12)</f>
        <v>0.84615384615384615</v>
      </c>
      <c r="U12" s="192"/>
      <c r="V12" s="192">
        <f>Results_exp1_1shot!AI9</f>
        <v>1.4285714285714286</v>
      </c>
      <c r="W12" s="192">
        <f>Results_exp1_1shot!AI10</f>
        <v>1.2857142857142858</v>
      </c>
      <c r="X12" s="192">
        <f>Results_exp1_1shot!AI11</f>
        <v>1.2857142857142858</v>
      </c>
      <c r="Y12" s="192">
        <f>Results_exp1_1shot!AI12</f>
        <v>1.1428571428571428</v>
      </c>
      <c r="Z12" s="309">
        <f t="shared" ref="Z12:Z25" si="3">AVERAGE(V12:Y12)</f>
        <v>1.2857142857142856</v>
      </c>
      <c r="AB12" s="192">
        <f>Results_exp1_1shot!AJ9</f>
        <v>0.83333333333333337</v>
      </c>
      <c r="AC12" s="192">
        <f>Results_exp1_1shot!AJ10</f>
        <v>1</v>
      </c>
      <c r="AD12" s="192">
        <f>Results_exp1_1shot!AJ11</f>
        <v>1</v>
      </c>
      <c r="AE12" s="192">
        <f>Results_exp1_1shot!AJ12</f>
        <v>0.8</v>
      </c>
      <c r="AF12" s="309">
        <f t="shared" ref="AF12:AF25" si="4">AVERAGE(AB12:AE12)</f>
        <v>0.90833333333333344</v>
      </c>
      <c r="AG12" s="192"/>
      <c r="AH12" s="147">
        <v>369</v>
      </c>
      <c r="AI12" s="147">
        <v>316</v>
      </c>
      <c r="AJ12" s="147">
        <v>346</v>
      </c>
      <c r="AK12" s="147">
        <v>403</v>
      </c>
      <c r="AL12" s="192"/>
    </row>
    <row r="13" spans="1:38" s="14" customFormat="1">
      <c r="A13" s="14" t="s">
        <v>312</v>
      </c>
      <c r="B13" s="14" t="s">
        <v>145</v>
      </c>
      <c r="C13" s="14">
        <v>0.15253833769305328</v>
      </c>
      <c r="D13" s="192">
        <f>Results_exp1_1shot!S15</f>
        <v>0.7857142857142857</v>
      </c>
      <c r="E13" s="192">
        <f>Results_exp1_1shot!S16</f>
        <v>0.8571428571428571</v>
      </c>
      <c r="F13" s="192">
        <f>Results_exp1_1shot!S17</f>
        <v>0.7857142857142857</v>
      </c>
      <c r="G13" s="192">
        <f>Results_exp1_1shot!S18</f>
        <v>0.9285714285714286</v>
      </c>
      <c r="H13" s="309">
        <f t="shared" si="0"/>
        <v>0.83928571428571419</v>
      </c>
      <c r="I13" s="192"/>
      <c r="J13" s="192">
        <f>Results_exp1_1shot!Y15</f>
        <v>0.61538461538461531</v>
      </c>
      <c r="K13" s="192">
        <f>Results_exp1_1shot!Y16</f>
        <v>0.7142857142857143</v>
      </c>
      <c r="L13" s="192">
        <f>Results_exp1_1shot!Y17</f>
        <v>0.61538461538461531</v>
      </c>
      <c r="M13" s="192">
        <f>Results_exp1_1shot!Y18</f>
        <v>0.8571428571428571</v>
      </c>
      <c r="N13" s="309">
        <f t="shared" si="1"/>
        <v>0.7005494505494505</v>
      </c>
      <c r="O13" s="192"/>
      <c r="P13" s="192">
        <f>Results_exp1_1shot!AE15</f>
        <v>0.9285714285714286</v>
      </c>
      <c r="Q13" s="192">
        <f>Results_exp1_1shot!AE16</f>
        <v>0.9285714285714286</v>
      </c>
      <c r="R13" s="192">
        <f>Results_exp1_1shot!AE17</f>
        <v>0.9285714285714286</v>
      </c>
      <c r="S13" s="192">
        <f>Results_exp1_1shot!AE18</f>
        <v>0.9285714285714286</v>
      </c>
      <c r="T13" s="309">
        <f t="shared" si="2"/>
        <v>0.9285714285714286</v>
      </c>
      <c r="U13" s="192"/>
      <c r="V13" s="192">
        <f>Results_exp1_1shot!AI15</f>
        <v>0.8571428571428571</v>
      </c>
      <c r="W13" s="192">
        <f>Results_exp1_1shot!AI16</f>
        <v>1.5714285714285714</v>
      </c>
      <c r="X13" s="192">
        <f>Results_exp1_1shot!AI17</f>
        <v>1.4285714285714286</v>
      </c>
      <c r="Y13" s="192">
        <f>Results_exp1_1shot!AI18</f>
        <v>1.4285714285714286</v>
      </c>
      <c r="Z13" s="309">
        <f t="shared" si="3"/>
        <v>1.3214285714285714</v>
      </c>
      <c r="AB13" s="192">
        <f>Results_exp1_1shot!AJ15</f>
        <v>1</v>
      </c>
      <c r="AC13" s="192">
        <f>Results_exp1_1shot!AJ16</f>
        <v>1</v>
      </c>
      <c r="AD13" s="192">
        <f>Results_exp1_1shot!AJ17</f>
        <v>1</v>
      </c>
      <c r="AE13" s="192">
        <f>Results_exp1_1shot!AJ18</f>
        <v>1</v>
      </c>
      <c r="AF13" s="309">
        <f t="shared" si="4"/>
        <v>1</v>
      </c>
      <c r="AG13" s="192"/>
      <c r="AH13" s="147">
        <v>352</v>
      </c>
      <c r="AI13" s="147">
        <v>418</v>
      </c>
      <c r="AJ13" s="147">
        <v>407</v>
      </c>
      <c r="AK13" s="147">
        <v>409</v>
      </c>
      <c r="AL13" s="192"/>
    </row>
    <row r="14" spans="1:38" s="14" customFormat="1">
      <c r="A14" s="14" t="s">
        <v>313</v>
      </c>
      <c r="B14" s="14" t="s">
        <v>143</v>
      </c>
      <c r="C14" s="14">
        <v>0.22130077615194707</v>
      </c>
      <c r="D14" s="192">
        <f>Results_exp1_1shot!S21</f>
        <v>1</v>
      </c>
      <c r="E14" s="192">
        <f>Results_exp1_1shot!S22</f>
        <v>1</v>
      </c>
      <c r="F14" s="192">
        <f>Results_exp1_1shot!S23</f>
        <v>1</v>
      </c>
      <c r="G14" s="192">
        <f>Results_exp1_1shot!S24</f>
        <v>1</v>
      </c>
      <c r="H14" s="309">
        <f t="shared" si="0"/>
        <v>1</v>
      </c>
      <c r="I14" s="192"/>
      <c r="J14" s="192">
        <f>Results_exp1_1shot!Y21</f>
        <v>1</v>
      </c>
      <c r="K14" s="192">
        <f>Results_exp1_1shot!Y22</f>
        <v>1</v>
      </c>
      <c r="L14" s="192">
        <f>Results_exp1_1shot!Y23</f>
        <v>1</v>
      </c>
      <c r="M14" s="192">
        <f>Results_exp1_1shot!Y24</f>
        <v>1</v>
      </c>
      <c r="N14" s="309">
        <f t="shared" si="1"/>
        <v>1</v>
      </c>
      <c r="O14" s="192"/>
      <c r="P14" s="192">
        <f>Results_exp1_1shot!AE21</f>
        <v>1</v>
      </c>
      <c r="Q14" s="192">
        <f>Results_exp1_1shot!AE22</f>
        <v>1</v>
      </c>
      <c r="R14" s="192">
        <f>Results_exp1_1shot!AE23</f>
        <v>1</v>
      </c>
      <c r="S14" s="192">
        <f>Results_exp1_1shot!AE24</f>
        <v>1</v>
      </c>
      <c r="T14" s="309">
        <f t="shared" si="2"/>
        <v>1</v>
      </c>
      <c r="U14" s="192"/>
      <c r="V14" s="192">
        <f>Results_exp1_1shot!AI21</f>
        <v>0.4</v>
      </c>
      <c r="W14" s="192">
        <f>Results_exp1_1shot!AI22</f>
        <v>0.5</v>
      </c>
      <c r="X14" s="192">
        <f>Results_exp1_1shot!AI23</f>
        <v>0.7</v>
      </c>
      <c r="Y14" s="192">
        <f>Results_exp1_1shot!AI24</f>
        <v>0.7</v>
      </c>
      <c r="Z14" s="309">
        <f t="shared" si="3"/>
        <v>0.57499999999999996</v>
      </c>
      <c r="AB14" s="192">
        <f>Results_exp1_1shot!AJ21</f>
        <v>1</v>
      </c>
      <c r="AC14" s="192">
        <f>Results_exp1_1shot!AJ22</f>
        <v>1</v>
      </c>
      <c r="AD14" s="192">
        <f>Results_exp1_1shot!AJ23</f>
        <v>1</v>
      </c>
      <c r="AE14" s="192">
        <f>Results_exp1_1shot!AJ24</f>
        <v>1</v>
      </c>
      <c r="AF14" s="309">
        <f t="shared" si="4"/>
        <v>1</v>
      </c>
      <c r="AG14" s="192"/>
      <c r="AH14" s="147">
        <v>309</v>
      </c>
      <c r="AI14" s="147">
        <v>363</v>
      </c>
      <c r="AJ14" s="147">
        <v>347</v>
      </c>
      <c r="AK14" s="147">
        <v>261</v>
      </c>
      <c r="AL14" s="192"/>
    </row>
    <row r="15" spans="1:38" s="14" customFormat="1">
      <c r="A15" s="14" t="s">
        <v>314</v>
      </c>
      <c r="B15" s="14" t="s">
        <v>173</v>
      </c>
      <c r="C15" s="14">
        <v>0.22869210498506434</v>
      </c>
      <c r="D15" s="192">
        <f>Results_exp1_1shot!S27</f>
        <v>0.5714285714285714</v>
      </c>
      <c r="E15" s="192">
        <f>Results_exp1_1shot!S28</f>
        <v>0.79999999999999993</v>
      </c>
      <c r="F15" s="192">
        <f>Results_exp1_1shot!S29</f>
        <v>0.85714285714285721</v>
      </c>
      <c r="G15" s="192">
        <f>Results_exp1_1shot!S30</f>
        <v>0.79999999999999993</v>
      </c>
      <c r="H15" s="309">
        <f t="shared" si="0"/>
        <v>0.75714285714285712</v>
      </c>
      <c r="I15" s="192"/>
      <c r="J15" s="192">
        <f>Results_exp1_1shot!Y27</f>
        <v>0.7142857142857143</v>
      </c>
      <c r="K15" s="192">
        <f>Results_exp1_1shot!Y28</f>
        <v>0.94117647058823528</v>
      </c>
      <c r="L15" s="192">
        <f>Results_exp1_1shot!Y29</f>
        <v>0.94117647058823528</v>
      </c>
      <c r="M15" s="192">
        <f>Results_exp1_1shot!Y30</f>
        <v>0.87500000000000011</v>
      </c>
      <c r="N15" s="309">
        <f t="shared" si="1"/>
        <v>0.86790966386554613</v>
      </c>
      <c r="O15" s="192"/>
      <c r="P15" s="192">
        <f>Results_exp1_1shot!AE27</f>
        <v>0.58064516129032262</v>
      </c>
      <c r="Q15" s="192">
        <f>Results_exp1_1shot!AE28</f>
        <v>0.90322580645161288</v>
      </c>
      <c r="R15" s="192">
        <f>Results_exp1_1shot!AE29</f>
        <v>0.90322580645161288</v>
      </c>
      <c r="S15" s="192">
        <f>Results_exp1_1shot!AE30</f>
        <v>0.83870967741935487</v>
      </c>
      <c r="T15" s="309">
        <f t="shared" si="2"/>
        <v>0.80645161290322587</v>
      </c>
      <c r="U15" s="192"/>
      <c r="V15" s="192">
        <f>Results_exp1_1shot!AI27</f>
        <v>1.125</v>
      </c>
      <c r="W15" s="192">
        <f>Results_exp1_1shot!AI28</f>
        <v>0.75</v>
      </c>
      <c r="X15" s="192">
        <f>Results_exp1_1shot!AI29</f>
        <v>1.5</v>
      </c>
      <c r="Y15" s="192">
        <f>Results_exp1_1shot!AI30</f>
        <v>0.625</v>
      </c>
      <c r="Z15" s="309">
        <f t="shared" si="3"/>
        <v>1</v>
      </c>
      <c r="AB15" s="192">
        <f>Results_exp1_1shot!AJ27</f>
        <v>1</v>
      </c>
      <c r="AC15" s="192">
        <f>Results_exp1_1shot!AJ28</f>
        <v>1</v>
      </c>
      <c r="AD15" s="192">
        <f>Results_exp1_1shot!AJ29</f>
        <v>1</v>
      </c>
      <c r="AE15" s="192">
        <f>Results_exp1_1shot!AJ30</f>
        <v>1</v>
      </c>
      <c r="AF15" s="309">
        <f t="shared" si="4"/>
        <v>1</v>
      </c>
      <c r="AG15" s="192"/>
      <c r="AH15" s="147">
        <v>465</v>
      </c>
      <c r="AI15" s="147">
        <v>429</v>
      </c>
      <c r="AJ15" s="147">
        <v>524</v>
      </c>
      <c r="AK15" s="147">
        <v>314</v>
      </c>
      <c r="AL15" s="192"/>
    </row>
    <row r="16" spans="1:38" s="14" customFormat="1">
      <c r="A16" s="14" t="s">
        <v>345</v>
      </c>
      <c r="B16" s="14" t="s">
        <v>152</v>
      </c>
      <c r="C16" s="14">
        <v>0.27921546848638013</v>
      </c>
      <c r="D16" s="192">
        <f>Results_exp1_1shot!S33</f>
        <v>0.97435897435897434</v>
      </c>
      <c r="E16" s="192">
        <f>Results_exp1_1shot!S34</f>
        <v>0.97435897435897434</v>
      </c>
      <c r="F16" s="192">
        <f>Results_exp1_1shot!S35</f>
        <v>1</v>
      </c>
      <c r="G16" s="192">
        <f>Results_exp1_1shot!S36</f>
        <v>1</v>
      </c>
      <c r="H16" s="309">
        <f t="shared" si="0"/>
        <v>0.98717948717948723</v>
      </c>
      <c r="I16" s="192"/>
      <c r="J16" s="192">
        <f>Results_exp1_1shot!Y33</f>
        <v>0.93333333333333335</v>
      </c>
      <c r="K16" s="192">
        <f>Results_exp1_1shot!Y34</f>
        <v>0.93333333333333335</v>
      </c>
      <c r="L16" s="192">
        <f>Results_exp1_1shot!Y35</f>
        <v>1</v>
      </c>
      <c r="M16" s="192">
        <f>Results_exp1_1shot!Y36</f>
        <v>1</v>
      </c>
      <c r="N16" s="309">
        <f t="shared" si="1"/>
        <v>0.96666666666666667</v>
      </c>
      <c r="O16" s="192"/>
      <c r="P16" s="192">
        <f>Results_exp1_1shot!AE33</f>
        <v>1</v>
      </c>
      <c r="Q16" s="192">
        <f>Results_exp1_1shot!AE34</f>
        <v>1</v>
      </c>
      <c r="R16" s="192">
        <f>Results_exp1_1shot!AE35</f>
        <v>1</v>
      </c>
      <c r="S16" s="192">
        <f>Results_exp1_1shot!AE36</f>
        <v>1</v>
      </c>
      <c r="T16" s="309">
        <f t="shared" si="2"/>
        <v>1</v>
      </c>
      <c r="U16" s="192"/>
      <c r="V16" s="192">
        <f>Results_exp1_1shot!AI33</f>
        <v>1.125</v>
      </c>
      <c r="W16" s="192">
        <f>Results_exp1_1shot!AI34</f>
        <v>1.625</v>
      </c>
      <c r="X16" s="192">
        <f>Results_exp1_1shot!AI35</f>
        <v>1.75</v>
      </c>
      <c r="Y16" s="192">
        <f>Results_exp1_1shot!AI36</f>
        <v>1.375</v>
      </c>
      <c r="Z16" s="309">
        <f t="shared" si="3"/>
        <v>1.46875</v>
      </c>
      <c r="AB16" s="192">
        <f>Results_exp1_1shot!AJ33</f>
        <v>1</v>
      </c>
      <c r="AC16" s="192">
        <f>Results_exp1_1shot!AJ34</f>
        <v>1</v>
      </c>
      <c r="AD16" s="192">
        <f>Results_exp1_1shot!AJ35</f>
        <v>1</v>
      </c>
      <c r="AE16" s="192">
        <f>Results_exp1_1shot!AJ36</f>
        <v>1</v>
      </c>
      <c r="AF16" s="309">
        <f t="shared" si="4"/>
        <v>1</v>
      </c>
      <c r="AG16" s="192"/>
      <c r="AH16" s="147">
        <v>424</v>
      </c>
      <c r="AI16" s="147">
        <v>432</v>
      </c>
      <c r="AJ16" s="147">
        <v>481</v>
      </c>
      <c r="AK16" s="147">
        <v>368</v>
      </c>
      <c r="AL16" s="192"/>
    </row>
    <row r="17" spans="1:38" s="14" customFormat="1">
      <c r="A17" s="14" t="s">
        <v>316</v>
      </c>
      <c r="B17" s="14" t="s">
        <v>147</v>
      </c>
      <c r="C17" s="14">
        <v>0.27964048396764468</v>
      </c>
      <c r="D17" s="192">
        <f>Results_exp1_1shot!S39</f>
        <v>1</v>
      </c>
      <c r="E17" s="192">
        <f>Results_exp1_1shot!S40</f>
        <v>1</v>
      </c>
      <c r="F17" s="192">
        <f>Results_exp1_1shot!S41</f>
        <v>1</v>
      </c>
      <c r="G17" s="192">
        <f>Results_exp1_1shot!S42</f>
        <v>1</v>
      </c>
      <c r="H17" s="309">
        <f t="shared" si="0"/>
        <v>1</v>
      </c>
      <c r="I17" s="192"/>
      <c r="J17" s="192">
        <f>Results_exp1_1shot!Y39</f>
        <v>1</v>
      </c>
      <c r="K17" s="192">
        <f>Results_exp1_1shot!Y40</f>
        <v>1</v>
      </c>
      <c r="L17" s="192">
        <f>Results_exp1_1shot!Y41</f>
        <v>1</v>
      </c>
      <c r="M17" s="192">
        <f>Results_exp1_1shot!Y42</f>
        <v>1</v>
      </c>
      <c r="N17" s="309">
        <f t="shared" si="1"/>
        <v>1</v>
      </c>
      <c r="O17" s="192"/>
      <c r="P17" s="192">
        <f>Results_exp1_1shot!AE39</f>
        <v>0.83333333333333337</v>
      </c>
      <c r="Q17" s="192">
        <f>Results_exp1_1shot!AE40</f>
        <v>0.83333333333333337</v>
      </c>
      <c r="R17" s="192">
        <f>Results_exp1_1shot!AE41</f>
        <v>0.83333333333333337</v>
      </c>
      <c r="S17" s="192">
        <f>Results_exp1_1shot!AE42</f>
        <v>0.83333333333333337</v>
      </c>
      <c r="T17" s="309">
        <f t="shared" si="2"/>
        <v>0.83333333333333337</v>
      </c>
      <c r="U17" s="192"/>
      <c r="V17" s="192">
        <f>Results_exp1_1shot!AI39</f>
        <v>0.41666666666666669</v>
      </c>
      <c r="W17" s="192">
        <f>Results_exp1_1shot!AI40</f>
        <v>0.5</v>
      </c>
      <c r="X17" s="192">
        <f>Results_exp1_1shot!AI41</f>
        <v>0.5</v>
      </c>
      <c r="Y17" s="192">
        <f>Results_exp1_1shot!AI42</f>
        <v>0.5</v>
      </c>
      <c r="Z17" s="309">
        <f t="shared" si="3"/>
        <v>0.47916666666666669</v>
      </c>
      <c r="AB17" s="192">
        <f>Results_exp1_1shot!AJ39</f>
        <v>0</v>
      </c>
      <c r="AC17" s="192">
        <f>Results_exp1_1shot!AJ40</f>
        <v>1</v>
      </c>
      <c r="AD17" s="192">
        <f>Results_exp1_1shot!AJ41</f>
        <v>1</v>
      </c>
      <c r="AE17" s="192">
        <f>Results_exp1_1shot!AJ42</f>
        <v>1</v>
      </c>
      <c r="AF17" s="309">
        <f>AVERAGE(AC17:AE17)</f>
        <v>1</v>
      </c>
      <c r="AG17" s="192"/>
      <c r="AH17" s="147">
        <v>317</v>
      </c>
      <c r="AI17" s="147">
        <v>337</v>
      </c>
      <c r="AJ17" s="147">
        <v>349</v>
      </c>
      <c r="AK17" s="147">
        <v>338</v>
      </c>
      <c r="AL17" s="192"/>
    </row>
    <row r="18" spans="1:38" s="14" customFormat="1">
      <c r="A18" s="14" t="s">
        <v>315</v>
      </c>
      <c r="B18" s="14" t="s">
        <v>160</v>
      </c>
      <c r="C18" s="14">
        <v>0.30047187189373031</v>
      </c>
      <c r="D18" s="192">
        <f>Results_exp1_1shot!S45</f>
        <v>0.95000000000000007</v>
      </c>
      <c r="E18" s="192">
        <f>Results_exp1_1shot!S46</f>
        <v>0.9</v>
      </c>
      <c r="F18" s="192">
        <f>Results_exp1_1shot!S47</f>
        <v>1</v>
      </c>
      <c r="G18" s="192">
        <f>Results_exp1_1shot!S48</f>
        <v>0.97435897435897434</v>
      </c>
      <c r="H18" s="309">
        <f t="shared" si="0"/>
        <v>0.95608974358974363</v>
      </c>
      <c r="I18" s="192"/>
      <c r="J18" s="192">
        <f>Results_exp1_1shot!Y45</f>
        <v>0.875</v>
      </c>
      <c r="K18" s="192">
        <f>Results_exp1_1shot!Y46</f>
        <v>0.79999999999999993</v>
      </c>
      <c r="L18" s="192">
        <f>Results_exp1_1shot!Y47</f>
        <v>1</v>
      </c>
      <c r="M18" s="192">
        <f>Results_exp1_1shot!Y48</f>
        <v>1</v>
      </c>
      <c r="N18" s="309">
        <f t="shared" si="1"/>
        <v>0.91874999999999996</v>
      </c>
      <c r="O18" s="192"/>
      <c r="P18" s="192">
        <f>Results_exp1_1shot!AE45</f>
        <v>0.80000000000000016</v>
      </c>
      <c r="Q18" s="192">
        <f>Results_exp1_1shot!AE46</f>
        <v>0.73333333333333328</v>
      </c>
      <c r="R18" s="192">
        <f>Results_exp1_1shot!AE47</f>
        <v>0.8666666666666667</v>
      </c>
      <c r="S18" s="192">
        <f>Results_exp1_1shot!AE48</f>
        <v>0.8666666666666667</v>
      </c>
      <c r="T18" s="309">
        <f t="shared" si="2"/>
        <v>0.81666666666666676</v>
      </c>
      <c r="U18" s="192"/>
      <c r="V18" s="192">
        <f>Results_exp1_1shot!AI45</f>
        <v>0.42857142857142855</v>
      </c>
      <c r="W18" s="192">
        <f>Results_exp1_1shot!AI46</f>
        <v>0.8571428571428571</v>
      </c>
      <c r="X18" s="192">
        <f>Results_exp1_1shot!AI47</f>
        <v>1</v>
      </c>
      <c r="Y18" s="192">
        <f>Results_exp1_1shot!AI48</f>
        <v>0.7142857142857143</v>
      </c>
      <c r="Z18" s="309">
        <f t="shared" si="3"/>
        <v>0.75</v>
      </c>
      <c r="AB18" s="192">
        <f>Results_exp1_1shot!AJ45</f>
        <v>1</v>
      </c>
      <c r="AC18" s="192">
        <f>Results_exp1_1shot!AJ46</f>
        <v>1</v>
      </c>
      <c r="AD18" s="192">
        <f>Results_exp1_1shot!AJ47</f>
        <v>1</v>
      </c>
      <c r="AE18" s="192">
        <f>Results_exp1_1shot!AJ48</f>
        <v>1</v>
      </c>
      <c r="AF18" s="309">
        <f t="shared" si="4"/>
        <v>1</v>
      </c>
      <c r="AG18" s="192"/>
      <c r="AH18" s="147">
        <v>258</v>
      </c>
      <c r="AI18" s="147">
        <v>308</v>
      </c>
      <c r="AJ18" s="147">
        <v>304</v>
      </c>
      <c r="AK18" s="147">
        <v>236</v>
      </c>
      <c r="AL18" s="192"/>
    </row>
    <row r="19" spans="1:38" s="14" customFormat="1">
      <c r="A19" s="14" t="s">
        <v>318</v>
      </c>
      <c r="B19" s="14" t="s">
        <v>159</v>
      </c>
      <c r="C19" s="14">
        <v>0.33132630703029992</v>
      </c>
      <c r="D19" s="192">
        <f>Results_exp1_1shot!S51</f>
        <v>0.9</v>
      </c>
      <c r="E19" s="192">
        <f>Results_exp1_1shot!S52</f>
        <v>0.95000000000000007</v>
      </c>
      <c r="F19" s="192">
        <f>Results_exp1_1shot!S53</f>
        <v>1</v>
      </c>
      <c r="G19" s="192">
        <f>Results_exp1_1shot!S54</f>
        <v>1</v>
      </c>
      <c r="H19" s="309">
        <f t="shared" si="0"/>
        <v>0.96250000000000002</v>
      </c>
      <c r="I19" s="192"/>
      <c r="J19" s="192">
        <f>Results_exp1_1shot!Y51</f>
        <v>0.75</v>
      </c>
      <c r="K19" s="192">
        <f>Results_exp1_1shot!Y52</f>
        <v>0.87500000000000011</v>
      </c>
      <c r="L19" s="192">
        <f>Results_exp1_1shot!Y53</f>
        <v>1</v>
      </c>
      <c r="M19" s="192">
        <f>Results_exp1_1shot!Y54</f>
        <v>1</v>
      </c>
      <c r="N19" s="309">
        <f t="shared" si="1"/>
        <v>0.90625</v>
      </c>
      <c r="O19" s="192"/>
      <c r="P19" s="192">
        <f>Results_exp1_1shot!AE51</f>
        <v>0.94117647058823528</v>
      </c>
      <c r="Q19" s="192">
        <f>Results_exp1_1shot!AE52</f>
        <v>0.94117647058823528</v>
      </c>
      <c r="R19" s="192">
        <f>Results_exp1_1shot!AE53</f>
        <v>1</v>
      </c>
      <c r="S19" s="192">
        <f>Results_exp1_1shot!AE54</f>
        <v>1</v>
      </c>
      <c r="T19" s="309">
        <f t="shared" si="2"/>
        <v>0.97058823529411764</v>
      </c>
      <c r="U19" s="192"/>
      <c r="V19" s="192">
        <f>Results_exp1_1shot!AI51</f>
        <v>0.875</v>
      </c>
      <c r="W19" s="192">
        <f>Results_exp1_1shot!AI52</f>
        <v>0.5</v>
      </c>
      <c r="X19" s="192">
        <f>Results_exp1_1shot!AI53</f>
        <v>1.625</v>
      </c>
      <c r="Y19" s="192">
        <f>Results_exp1_1shot!AI54</f>
        <v>1.375</v>
      </c>
      <c r="Z19" s="309">
        <f t="shared" si="3"/>
        <v>1.09375</v>
      </c>
      <c r="AB19" s="192">
        <f>Results_exp1_1shot!AJ51</f>
        <v>1</v>
      </c>
      <c r="AC19" s="192">
        <f>Results_exp1_1shot!AJ52</f>
        <v>1</v>
      </c>
      <c r="AD19" s="192">
        <f>Results_exp1_1shot!AJ53</f>
        <v>1</v>
      </c>
      <c r="AE19" s="192">
        <f>Results_exp1_1shot!AJ54</f>
        <v>1</v>
      </c>
      <c r="AF19" s="309">
        <f t="shared" si="4"/>
        <v>1</v>
      </c>
      <c r="AG19" s="192"/>
      <c r="AH19" s="147">
        <v>347</v>
      </c>
      <c r="AI19" s="147">
        <v>311</v>
      </c>
      <c r="AJ19" s="147">
        <v>505</v>
      </c>
      <c r="AK19" s="147">
        <v>438</v>
      </c>
      <c r="AL19" s="192"/>
    </row>
    <row r="20" spans="1:38" s="14" customFormat="1">
      <c r="A20" s="14" t="s">
        <v>317</v>
      </c>
      <c r="B20" s="14" t="s">
        <v>157</v>
      </c>
      <c r="C20" s="14">
        <v>0.37572494412610796</v>
      </c>
      <c r="D20" s="192">
        <f>Results_exp1_1shot!S57</f>
        <v>1</v>
      </c>
      <c r="E20" s="192">
        <f>Results_exp1_1shot!S58</f>
        <v>0.97872340425531912</v>
      </c>
      <c r="F20" s="192">
        <f>Results_exp1_1shot!S59</f>
        <v>0.97872340425531912</v>
      </c>
      <c r="G20" s="192">
        <f>Results_exp1_1shot!S60</f>
        <v>1</v>
      </c>
      <c r="H20" s="309">
        <f t="shared" si="0"/>
        <v>0.9893617021276595</v>
      </c>
      <c r="I20" s="192"/>
      <c r="J20" s="192">
        <f>Results_exp1_1shot!Y57</f>
        <v>1</v>
      </c>
      <c r="K20" s="192">
        <f>Results_exp1_1shot!Y58</f>
        <v>1</v>
      </c>
      <c r="L20" s="192">
        <f>Results_exp1_1shot!Y59</f>
        <v>1</v>
      </c>
      <c r="M20" s="192">
        <f>Results_exp1_1shot!Y60</f>
        <v>1</v>
      </c>
      <c r="N20" s="309">
        <f t="shared" si="1"/>
        <v>1</v>
      </c>
      <c r="O20" s="192"/>
      <c r="P20" s="192">
        <f>Results_exp1_1shot!AE57</f>
        <v>1</v>
      </c>
      <c r="Q20" s="192">
        <f>Results_exp1_1shot!AE58</f>
        <v>0.97435897435897434</v>
      </c>
      <c r="R20" s="192">
        <f>Results_exp1_1shot!AE59</f>
        <v>0.97435897435897434</v>
      </c>
      <c r="S20" s="192">
        <f>Results_exp1_1shot!AE60</f>
        <v>1</v>
      </c>
      <c r="T20" s="309">
        <f t="shared" si="2"/>
        <v>0.98717948717948723</v>
      </c>
      <c r="U20" s="192"/>
      <c r="V20" s="192">
        <f>Results_exp1_1shot!AI57</f>
        <v>0.3</v>
      </c>
      <c r="W20" s="192">
        <f>Results_exp1_1shot!AI58</f>
        <v>0.8</v>
      </c>
      <c r="X20" s="192">
        <f>Results_exp1_1shot!AI59</f>
        <v>1</v>
      </c>
      <c r="Y20" s="192">
        <f>Results_exp1_1shot!AI60</f>
        <v>0.4</v>
      </c>
      <c r="Z20" s="309">
        <f t="shared" si="3"/>
        <v>0.625</v>
      </c>
      <c r="AB20" s="192">
        <f>Results_exp1_1shot!AJ57</f>
        <v>1</v>
      </c>
      <c r="AC20" s="192">
        <f>Results_exp1_1shot!AJ58</f>
        <v>1</v>
      </c>
      <c r="AD20" s="192">
        <f>Results_exp1_1shot!AJ59</f>
        <v>1</v>
      </c>
      <c r="AE20" s="192">
        <f>Results_exp1_1shot!AJ60</f>
        <v>1</v>
      </c>
      <c r="AF20" s="309">
        <f t="shared" si="4"/>
        <v>1</v>
      </c>
      <c r="AG20" s="192"/>
      <c r="AH20" s="147">
        <v>320</v>
      </c>
      <c r="AI20" s="147">
        <v>427</v>
      </c>
      <c r="AJ20" s="147">
        <v>446</v>
      </c>
      <c r="AK20" s="147">
        <v>299</v>
      </c>
      <c r="AL20" s="192"/>
    </row>
    <row r="21" spans="1:38" s="14" customFormat="1">
      <c r="A21" s="14" t="s">
        <v>319</v>
      </c>
      <c r="B21" s="14" t="s">
        <v>169</v>
      </c>
      <c r="C21" s="14">
        <v>0.42192215666912153</v>
      </c>
      <c r="D21" s="192">
        <f>Results_exp1_1shot!S63</f>
        <v>0.66666666666666674</v>
      </c>
      <c r="E21" s="192">
        <f>Results_exp1_1shot!S64</f>
        <v>0.70833333333333337</v>
      </c>
      <c r="F21" s="192">
        <f>Results_exp1_1shot!S65</f>
        <v>0.72</v>
      </c>
      <c r="G21" s="192">
        <f>Results_exp1_1shot!S66</f>
        <v>0.86792452830188682</v>
      </c>
      <c r="H21" s="309">
        <f t="shared" si="0"/>
        <v>0.7407311320754717</v>
      </c>
      <c r="I21" s="192"/>
      <c r="J21" s="192">
        <f>Results_exp1_1shot!Y63</f>
        <v>0.8421052631578948</v>
      </c>
      <c r="K21" s="192">
        <f>Results_exp1_1shot!Y64</f>
        <v>0.73684210526315785</v>
      </c>
      <c r="L21" s="192">
        <f>Results_exp1_1shot!Y65</f>
        <v>0.70000000000000007</v>
      </c>
      <c r="M21" s="192">
        <f>Results_exp1_1shot!Y66</f>
        <v>0.76190476190476197</v>
      </c>
      <c r="N21" s="309">
        <f t="shared" si="1"/>
        <v>0.76021303258145367</v>
      </c>
      <c r="O21" s="192"/>
      <c r="P21" s="192">
        <f>Results_exp1_1shot!AE63</f>
        <v>0.53658536585365857</v>
      </c>
      <c r="Q21" s="192">
        <f>Results_exp1_1shot!AE64</f>
        <v>0.63636363636363635</v>
      </c>
      <c r="R21" s="192">
        <f>Results_exp1_1shot!AE65</f>
        <v>0.78260869565217395</v>
      </c>
      <c r="S21" s="192">
        <f>Results_exp1_1shot!AE66</f>
        <v>0.97959183673469385</v>
      </c>
      <c r="T21" s="309">
        <f t="shared" si="2"/>
        <v>0.73378738365104068</v>
      </c>
      <c r="U21" s="192"/>
      <c r="V21" s="192">
        <f>Results_exp1_1shot!AI63</f>
        <v>0.75</v>
      </c>
      <c r="W21" s="192">
        <f>Results_exp1_1shot!AI64</f>
        <v>0.91666666666666663</v>
      </c>
      <c r="X21" s="192">
        <f>Results_exp1_1shot!AI65</f>
        <v>1.0833333333333333</v>
      </c>
      <c r="Y21" s="192">
        <f>Results_exp1_1shot!AI66</f>
        <v>0.41666666666666669</v>
      </c>
      <c r="Z21" s="309">
        <f t="shared" si="3"/>
        <v>0.79166666666666663</v>
      </c>
      <c r="AB21" s="192">
        <f>Results_exp1_1shot!AJ63</f>
        <v>0.9</v>
      </c>
      <c r="AC21" s="192">
        <f>Results_exp1_1shot!AJ64</f>
        <v>0.91666666666666663</v>
      </c>
      <c r="AD21" s="192">
        <f>Results_exp1_1shot!AJ65</f>
        <v>0.9285714285714286</v>
      </c>
      <c r="AE21" s="192">
        <f>Results_exp1_1shot!AJ66</f>
        <v>1</v>
      </c>
      <c r="AF21" s="309">
        <f t="shared" si="4"/>
        <v>0.93630952380952381</v>
      </c>
      <c r="AG21" s="192"/>
      <c r="AH21" s="147">
        <v>384</v>
      </c>
      <c r="AI21" s="147">
        <v>515</v>
      </c>
      <c r="AJ21" s="147">
        <v>518</v>
      </c>
      <c r="AK21" s="147">
        <v>327</v>
      </c>
      <c r="AL21" s="192"/>
    </row>
    <row r="22" spans="1:38" s="14" customFormat="1">
      <c r="A22" s="14" t="s">
        <v>320</v>
      </c>
      <c r="B22" s="14" t="s">
        <v>162</v>
      </c>
      <c r="C22" s="14">
        <v>0.50627224900379741</v>
      </c>
      <c r="D22" s="192">
        <f>Results_exp1_1shot!S69</f>
        <v>0.86206896551724144</v>
      </c>
      <c r="E22" s="192">
        <f>Results_exp1_1shot!S70</f>
        <v>0.9</v>
      </c>
      <c r="F22" s="192">
        <f>Results_exp1_1shot!S71</f>
        <v>0.86206896551724144</v>
      </c>
      <c r="G22" s="192">
        <f>Results_exp1_1shot!S72</f>
        <v>0.94915254237288127</v>
      </c>
      <c r="H22" s="309">
        <f t="shared" si="0"/>
        <v>0.89332261835184101</v>
      </c>
      <c r="I22" s="192"/>
      <c r="J22" s="192">
        <f>Results_exp1_1shot!Y69</f>
        <v>0.88888888888888884</v>
      </c>
      <c r="K22" s="192">
        <f>Results_exp1_1shot!Y70</f>
        <v>0.88888888888888884</v>
      </c>
      <c r="L22" s="192">
        <f>Results_exp1_1shot!Y71</f>
        <v>0.88888888888888884</v>
      </c>
      <c r="M22" s="192">
        <f>Results_exp1_1shot!Y72</f>
        <v>1</v>
      </c>
      <c r="N22" s="309">
        <f t="shared" si="1"/>
        <v>0.91666666666666663</v>
      </c>
      <c r="O22" s="192"/>
      <c r="P22" s="192">
        <f>Results_exp1_1shot!AE69</f>
        <v>0.81481481481481477</v>
      </c>
      <c r="Q22" s="192">
        <f>Results_exp1_1shot!AE70</f>
        <v>0.9642857142857143</v>
      </c>
      <c r="R22" s="192">
        <f>Results_exp1_1shot!AE71</f>
        <v>0.81481481481481477</v>
      </c>
      <c r="S22" s="192">
        <f>Results_exp1_1shot!AE72</f>
        <v>0.83636363636363631</v>
      </c>
      <c r="T22" s="309">
        <f t="shared" si="2"/>
        <v>0.85756974506974504</v>
      </c>
      <c r="U22" s="192"/>
      <c r="V22" s="192">
        <f>Results_exp1_1shot!AI69</f>
        <v>0.36363636363636365</v>
      </c>
      <c r="W22" s="192">
        <f>Results_exp1_1shot!AI70</f>
        <v>0.54545454545454541</v>
      </c>
      <c r="X22" s="192">
        <f>Results_exp1_1shot!AI71</f>
        <v>1.2727272727272727</v>
      </c>
      <c r="Y22" s="192">
        <f>Results_exp1_1shot!AI72</f>
        <v>0.81818181818181823</v>
      </c>
      <c r="Z22" s="309">
        <f t="shared" si="3"/>
        <v>0.75</v>
      </c>
      <c r="AB22" s="192">
        <f>Results_exp1_1shot!AJ69</f>
        <v>1</v>
      </c>
      <c r="AC22" s="192">
        <f>Results_exp1_1shot!AJ70</f>
        <v>1</v>
      </c>
      <c r="AD22" s="192">
        <f>Results_exp1_1shot!AJ71</f>
        <v>1</v>
      </c>
      <c r="AE22" s="192">
        <f>Results_exp1_1shot!AJ72</f>
        <v>1</v>
      </c>
      <c r="AF22" s="309">
        <f t="shared" si="4"/>
        <v>1</v>
      </c>
      <c r="AG22" s="192"/>
      <c r="AH22" s="147">
        <v>457</v>
      </c>
      <c r="AI22" s="147">
        <v>449</v>
      </c>
      <c r="AJ22" s="147">
        <v>615</v>
      </c>
      <c r="AK22" s="147">
        <v>475</v>
      </c>
      <c r="AL22" s="192"/>
    </row>
    <row r="23" spans="1:38" s="14" customFormat="1">
      <c r="A23" s="14" t="s">
        <v>346</v>
      </c>
      <c r="B23" s="14" t="s">
        <v>161</v>
      </c>
      <c r="C23" s="14">
        <v>0.52174731599712521</v>
      </c>
      <c r="D23" s="192">
        <f>Results_exp1_1shot!S75</f>
        <v>0.73333333333333339</v>
      </c>
      <c r="E23" s="192">
        <f>Results_exp1_1shot!S76</f>
        <v>0.79365079365079361</v>
      </c>
      <c r="F23" s="192">
        <f>Results_exp1_1shot!S77</f>
        <v>0.82758620689655171</v>
      </c>
      <c r="G23" s="192">
        <f>Results_exp1_1shot!S78</f>
        <v>0.88888888888888884</v>
      </c>
      <c r="H23" s="309">
        <f t="shared" si="0"/>
        <v>0.81086480569239183</v>
      </c>
      <c r="I23" s="192"/>
      <c r="J23" s="192">
        <f>Results_exp1_1shot!Y75</f>
        <v>0.77777777777777779</v>
      </c>
      <c r="K23" s="192">
        <f>Results_exp1_1shot!Y76</f>
        <v>0.88888888888888884</v>
      </c>
      <c r="L23" s="192">
        <f>Results_exp1_1shot!Y77</f>
        <v>0.77777777777777779</v>
      </c>
      <c r="M23" s="192">
        <f>Results_exp1_1shot!Y78</f>
        <v>0.88888888888888884</v>
      </c>
      <c r="N23" s="309">
        <f t="shared" si="1"/>
        <v>0.83333333333333326</v>
      </c>
      <c r="O23" s="192"/>
      <c r="P23" s="192">
        <f>Results_exp1_1shot!AE75</f>
        <v>0.82142857142857151</v>
      </c>
      <c r="Q23" s="192">
        <f>Results_exp1_1shot!AE76</f>
        <v>0.9152542372881356</v>
      </c>
      <c r="R23" s="192">
        <f>Results_exp1_1shot!AE77</f>
        <v>0.70370370370370383</v>
      </c>
      <c r="S23" s="192">
        <f>Results_exp1_1shot!AE78</f>
        <v>0.94915254237288149</v>
      </c>
      <c r="T23" s="309">
        <f t="shared" si="2"/>
        <v>0.84738476369832305</v>
      </c>
      <c r="U23" s="192"/>
      <c r="V23" s="192">
        <f>Results_exp1_1shot!AI75</f>
        <v>0.72727272727272729</v>
      </c>
      <c r="W23" s="192">
        <f>Results_exp1_1shot!AI76</f>
        <v>0.81818181818181823</v>
      </c>
      <c r="X23" s="192">
        <f>Results_exp1_1shot!AI77</f>
        <v>1.1818181818181819</v>
      </c>
      <c r="Y23" s="192">
        <f>Results_exp1_1shot!AI78</f>
        <v>0.18181818181818182</v>
      </c>
      <c r="Z23" s="309">
        <f t="shared" si="3"/>
        <v>0.72727272727272729</v>
      </c>
      <c r="AB23" s="192">
        <f>Results_exp1_1shot!AJ75</f>
        <v>1</v>
      </c>
      <c r="AC23" s="192">
        <f>Results_exp1_1shot!AJ76</f>
        <v>1</v>
      </c>
      <c r="AD23" s="192">
        <f>Results_exp1_1shot!AJ77</f>
        <v>1</v>
      </c>
      <c r="AE23" s="192">
        <f>Results_exp1_1shot!AJ78</f>
        <v>1</v>
      </c>
      <c r="AF23" s="309">
        <f t="shared" si="4"/>
        <v>1</v>
      </c>
      <c r="AG23" s="192"/>
      <c r="AH23" s="147">
        <v>404</v>
      </c>
      <c r="AI23" s="147">
        <v>454</v>
      </c>
      <c r="AJ23" s="147">
        <v>473</v>
      </c>
      <c r="AK23" s="147">
        <v>329</v>
      </c>
      <c r="AL23" s="192"/>
    </row>
    <row r="24" spans="1:38" s="41" customFormat="1">
      <c r="A24" s="41" t="s">
        <v>347</v>
      </c>
      <c r="B24" s="41" t="s">
        <v>148</v>
      </c>
      <c r="C24" s="41">
        <v>0.56186483688761291</v>
      </c>
      <c r="D24" s="192">
        <f>Results_exp1_1shot!S81</f>
        <v>0.91803278688524581</v>
      </c>
      <c r="E24" s="192">
        <f>Results_exp1_1shot!S82</f>
        <v>0.91803278688524581</v>
      </c>
      <c r="F24" s="192">
        <f>Results_exp1_1shot!S83</f>
        <v>1</v>
      </c>
      <c r="G24" s="192">
        <f>Results_exp1_1shot!S84</f>
        <v>0.96969696969696972</v>
      </c>
      <c r="H24" s="309">
        <f t="shared" si="0"/>
        <v>0.95144063586686534</v>
      </c>
      <c r="I24" s="192"/>
      <c r="J24" s="192">
        <f>Results_exp1_1shot!Y81</f>
        <v>0.76923076923076927</v>
      </c>
      <c r="K24" s="192">
        <f>Results_exp1_1shot!Y82</f>
        <v>0.76923076923076927</v>
      </c>
      <c r="L24" s="192">
        <f>Results_exp1_1shot!Y83</f>
        <v>1</v>
      </c>
      <c r="M24" s="192">
        <f>Results_exp1_1shot!Y83</f>
        <v>1</v>
      </c>
      <c r="N24" s="309">
        <f t="shared" si="1"/>
        <v>0.88461538461538458</v>
      </c>
      <c r="O24" s="192"/>
      <c r="P24" s="192">
        <f>Results_exp1_1shot!AE81</f>
        <v>0.91803278688524581</v>
      </c>
      <c r="Q24" s="192">
        <f>Results_exp1_1shot!AE82</f>
        <v>0.91803278688524581</v>
      </c>
      <c r="R24" s="192">
        <f>Results_exp1_1shot!AE83</f>
        <v>0.84848484848484862</v>
      </c>
      <c r="S24" s="192">
        <f>Results_exp1_1shot!AE83</f>
        <v>0.84848484848484862</v>
      </c>
      <c r="T24" s="309">
        <f t="shared" si="2"/>
        <v>0.88325881768504722</v>
      </c>
      <c r="U24" s="192"/>
      <c r="V24" s="192">
        <f>Results_exp1_1shot!AI81</f>
        <v>0.125</v>
      </c>
      <c r="W24" s="192">
        <f>Results_exp1_1shot!AI82</f>
        <v>1.75</v>
      </c>
      <c r="X24" s="192">
        <f>Results_exp1_1shot!AI83</f>
        <v>1.625</v>
      </c>
      <c r="Y24" s="192">
        <f>Results_exp1_1shot!AI83</f>
        <v>1.625</v>
      </c>
      <c r="Z24" s="309">
        <f t="shared" si="3"/>
        <v>1.28125</v>
      </c>
      <c r="AB24" s="192">
        <f>Results_exp1_1shot!AJ81</f>
        <v>1</v>
      </c>
      <c r="AC24" s="192">
        <f>Results_exp1_1shot!AJ82</f>
        <v>1</v>
      </c>
      <c r="AD24" s="192">
        <f>Results_exp1_1shot!AJ83</f>
        <v>1</v>
      </c>
      <c r="AE24" s="192">
        <f>Results_exp1_1shot!AJ83</f>
        <v>1</v>
      </c>
      <c r="AF24" s="309">
        <f t="shared" si="4"/>
        <v>1</v>
      </c>
      <c r="AG24" s="192"/>
      <c r="AH24" s="147">
        <v>316</v>
      </c>
      <c r="AI24" s="147">
        <v>420</v>
      </c>
      <c r="AJ24" s="147">
        <v>451</v>
      </c>
      <c r="AK24" s="147">
        <v>415</v>
      </c>
      <c r="AL24" s="192"/>
    </row>
    <row r="25" spans="1:38" s="180" customFormat="1">
      <c r="A25" s="180" t="s">
        <v>400</v>
      </c>
      <c r="B25" s="180" t="s">
        <v>149</v>
      </c>
      <c r="C25" s="180">
        <v>0.58694356495428268</v>
      </c>
      <c r="D25" s="193">
        <f>Results_exp1_1shot!S87</f>
        <v>0.98461538461538467</v>
      </c>
      <c r="E25" s="193">
        <f>Results_exp1_1shot!S88</f>
        <v>0.96875</v>
      </c>
      <c r="F25" s="193">
        <f>Results_exp1_1shot!S89</f>
        <v>0.95238095238095233</v>
      </c>
      <c r="G25" s="193">
        <f>Results_exp1_1shot!S90</f>
        <v>1</v>
      </c>
      <c r="H25" s="309">
        <f t="shared" si="0"/>
        <v>0.97643658424908431</v>
      </c>
      <c r="I25" s="193"/>
      <c r="J25" s="193">
        <f>Results_exp1_1shot!Y87</f>
        <v>1</v>
      </c>
      <c r="K25" s="193">
        <f>Results_exp1_1shot!Y88</f>
        <v>0.93333333333333335</v>
      </c>
      <c r="L25" s="193">
        <f>Results_exp1_1shot!Y89</f>
        <v>1</v>
      </c>
      <c r="M25" s="193">
        <f>Results_exp1_1shot!Y90</f>
        <v>1</v>
      </c>
      <c r="N25" s="309">
        <f t="shared" si="1"/>
        <v>0.98333333333333339</v>
      </c>
      <c r="O25" s="193"/>
      <c r="P25" s="193">
        <f>Results_exp1_1shot!AE87</f>
        <v>0.9642857142857143</v>
      </c>
      <c r="Q25" s="193">
        <f>Results_exp1_1shot!AE88</f>
        <v>0.92592592592592593</v>
      </c>
      <c r="R25" s="193">
        <f>Results_exp1_1shot!AE89</f>
        <v>0.66666666666666663</v>
      </c>
      <c r="S25" s="193">
        <f>Results_exp1_1shot!AE90</f>
        <v>0.4642857142857143</v>
      </c>
      <c r="T25" s="309">
        <f t="shared" si="2"/>
        <v>0.75529100529100535</v>
      </c>
      <c r="U25" s="193"/>
      <c r="V25" s="193">
        <f>Results_exp1_1shot!AI87</f>
        <v>0.25</v>
      </c>
      <c r="W25" s="193">
        <f>Results_exp1_1shot!AI88</f>
        <v>0.33333333333333331</v>
      </c>
      <c r="X25" s="193">
        <f>Results_exp1_1shot!AI89</f>
        <v>0.83333333333333337</v>
      </c>
      <c r="Y25" s="193">
        <f>Results_exp1_1shot!AI90</f>
        <v>1.0833333333333333</v>
      </c>
      <c r="Z25" s="309">
        <f t="shared" si="3"/>
        <v>0.625</v>
      </c>
      <c r="AB25" s="193">
        <f>Results_exp1_1shot!AJ87</f>
        <v>1</v>
      </c>
      <c r="AC25" s="193">
        <f>Results_exp1_1shot!AJ88</f>
        <v>1</v>
      </c>
      <c r="AD25" s="193">
        <f>Results_exp1_1shot!AJ89</f>
        <v>1</v>
      </c>
      <c r="AE25" s="193">
        <f>Results_exp1_1shot!AJ90</f>
        <v>1</v>
      </c>
      <c r="AF25" s="309">
        <f t="shared" si="4"/>
        <v>1</v>
      </c>
      <c r="AG25" s="193"/>
      <c r="AH25" s="150">
        <v>378</v>
      </c>
      <c r="AI25" s="150">
        <v>408</v>
      </c>
      <c r="AJ25" s="150">
        <v>478</v>
      </c>
      <c r="AK25" s="150">
        <v>492</v>
      </c>
      <c r="AL25" s="193"/>
    </row>
    <row r="26" spans="1:38" s="7" customFormat="1">
      <c r="A26" s="1" t="s">
        <v>660</v>
      </c>
      <c r="B26" s="1"/>
      <c r="C26" s="1"/>
      <c r="D26" s="151">
        <f>AVERAGE(D11:D25)</f>
        <v>0.87702238517576747</v>
      </c>
      <c r="E26" s="151">
        <f t="shared" ref="E26:K26" si="5">AVERAGE(E11:E25)</f>
        <v>0.88848931519827345</v>
      </c>
      <c r="F26" s="151">
        <f>AVERAGE(F11:F25)</f>
        <v>0.9246437705298064</v>
      </c>
      <c r="G26" s="196">
        <f t="shared" si="5"/>
        <v>0.95097554788206107</v>
      </c>
      <c r="H26" s="209"/>
      <c r="I26" s="151"/>
      <c r="J26" s="151">
        <f t="shared" si="5"/>
        <v>0.8595519392887816</v>
      </c>
      <c r="K26" s="151">
        <f t="shared" si="5"/>
        <v>0.87206530025415485</v>
      </c>
      <c r="L26" s="151">
        <f>AVERAGE(L11:L25)</f>
        <v>0.92215457744869511</v>
      </c>
      <c r="M26" s="196">
        <f>AVERAGE(M11:M25)</f>
        <v>0.95280182780182798</v>
      </c>
      <c r="N26" s="209"/>
      <c r="O26" s="151"/>
      <c r="P26" s="151">
        <f>AVERAGE(P11:P25)</f>
        <v>0.86276994882237357</v>
      </c>
      <c r="Q26" s="196">
        <f>AVERAGE(Q11:Q25)</f>
        <v>0.89843581551132357</v>
      </c>
      <c r="R26" s="151">
        <f>AVERAGE(R11:R25)</f>
        <v>0.87500736826590031</v>
      </c>
      <c r="S26" s="151">
        <f>AVERAGE(S11:S25)</f>
        <v>0.88985568463445586</v>
      </c>
      <c r="T26" s="188"/>
      <c r="U26" s="151"/>
      <c r="V26" s="151">
        <f>AVERAGE(V11:V25)</f>
        <v>0.70034632034632027</v>
      </c>
      <c r="W26" s="151">
        <f>AVERAGE(W11:W25)</f>
        <v>0.93908369408369408</v>
      </c>
      <c r="X26" s="196">
        <f>AVERAGE(X11:X25)</f>
        <v>1.2079220779220778</v>
      </c>
      <c r="Y26" s="151">
        <f>AVERAGE(Y11:Y25)</f>
        <v>0.89238095238095239</v>
      </c>
      <c r="Z26" s="188"/>
      <c r="AA26" s="151"/>
      <c r="AB26" s="151">
        <f>AVERAGE(AB11:AB16,AB18:AB25)</f>
        <v>0.98095238095238102</v>
      </c>
      <c r="AC26" s="151">
        <f>AVERAGE(AC11:AC25)</f>
        <v>0.99444444444444435</v>
      </c>
      <c r="AD26" s="196">
        <f>AVERAGE(AD11:AD25)</f>
        <v>0.99523809523809526</v>
      </c>
      <c r="AE26" s="151">
        <f>AVERAGE(AE11:AE25)</f>
        <v>0.98666666666666669</v>
      </c>
      <c r="AF26" s="188"/>
      <c r="AG26" s="151"/>
      <c r="AH26" s="188">
        <f>AVERAGE(AH11:AH25)</f>
        <v>358.6</v>
      </c>
      <c r="AI26" s="216">
        <f>AVERAGE(AI11:AI25)</f>
        <v>391.06666666666666</v>
      </c>
      <c r="AJ26" s="209">
        <f>AVERAGE(AJ11:AJ25)</f>
        <v>434.26666666666665</v>
      </c>
      <c r="AK26" s="216">
        <f>AVERAGE(AK11:AK25)</f>
        <v>356.4</v>
      </c>
      <c r="AL26" s="216"/>
    </row>
    <row r="27" spans="1:38" s="7" customFormat="1">
      <c r="A27" s="1" t="s">
        <v>659</v>
      </c>
      <c r="B27" s="1"/>
      <c r="C27" s="1"/>
      <c r="D27" s="331">
        <f>AVERAGE(D11:G25)</f>
        <v>0.91028275469647679</v>
      </c>
      <c r="E27" s="331"/>
      <c r="F27" s="331"/>
      <c r="G27" s="331"/>
      <c r="H27" s="188"/>
      <c r="I27" s="194"/>
      <c r="J27" s="331">
        <f>AVERAGE(J11:M25)</f>
        <v>0.90164341119836433</v>
      </c>
      <c r="K27" s="331"/>
      <c r="L27" s="331"/>
      <c r="M27" s="331"/>
      <c r="N27" s="188"/>
      <c r="O27" s="151"/>
      <c r="P27" s="331">
        <f>AVERAGE(P11:S25)</f>
        <v>0.88151720430851344</v>
      </c>
      <c r="Q27" s="331"/>
      <c r="R27" s="331"/>
      <c r="S27" s="331"/>
      <c r="T27" s="188"/>
      <c r="U27" s="151"/>
      <c r="V27" s="331">
        <f>AVERAGE(V11:Y25)</f>
        <v>0.93493326118326114</v>
      </c>
      <c r="W27" s="331"/>
      <c r="X27" s="331"/>
      <c r="Y27" s="331"/>
      <c r="Z27" s="188"/>
      <c r="AA27" s="194"/>
      <c r="AB27" s="331">
        <f>AVERAGE(AB11:AE16,AC17:AE17,AB18:AE25)</f>
        <v>0.98946731234866825</v>
      </c>
      <c r="AC27" s="331"/>
      <c r="AD27" s="331"/>
      <c r="AE27" s="331"/>
      <c r="AF27" s="188"/>
      <c r="AG27" s="194"/>
      <c r="AH27" s="331">
        <f>AVERAGE(AH11:AK25)</f>
        <v>385.08333333333331</v>
      </c>
      <c r="AI27" s="331"/>
      <c r="AJ27" s="331"/>
      <c r="AK27" s="331"/>
      <c r="AL27" s="217"/>
    </row>
    <row r="28" spans="1:38" s="7" customFormat="1">
      <c r="A28" s="1" t="s">
        <v>794</v>
      </c>
      <c r="B28" s="1"/>
      <c r="C28" s="1"/>
      <c r="D28" s="331">
        <f>_xlfn.STDEV.P(F11:G25)</f>
        <v>7.6113902171103143E-2</v>
      </c>
      <c r="E28" s="331"/>
      <c r="F28" s="331"/>
      <c r="G28" s="331"/>
      <c r="H28" s="188"/>
      <c r="I28" s="194"/>
      <c r="J28" s="331">
        <f>_xlfn.STDEV.P(L11:M25)</f>
        <v>0.10123330358617115</v>
      </c>
      <c r="K28" s="331"/>
      <c r="L28" s="331"/>
      <c r="M28" s="331"/>
      <c r="N28" s="188"/>
      <c r="O28" s="188"/>
      <c r="P28" s="331">
        <f>_xlfn.STDEV.P(R11:S25)</f>
        <v>0.11788942813722933</v>
      </c>
      <c r="Q28" s="331"/>
      <c r="R28" s="331"/>
      <c r="S28" s="331"/>
      <c r="T28" s="188"/>
      <c r="U28" s="188"/>
      <c r="V28" s="331">
        <f>_xlfn.STDEV.P(X11:Y25)</f>
        <v>0.41732433769315613</v>
      </c>
      <c r="W28" s="331"/>
      <c r="X28" s="331"/>
      <c r="Y28" s="331"/>
      <c r="Z28" s="188"/>
      <c r="AA28" s="194"/>
      <c r="AB28" s="331">
        <f>_xlfn.STDEV.P(AD11:AE25)</f>
        <v>3.7703341365366773E-2</v>
      </c>
      <c r="AC28" s="331"/>
      <c r="AD28" s="331"/>
      <c r="AE28" s="331"/>
      <c r="AF28" s="188"/>
      <c r="AG28" s="194"/>
      <c r="AH28" s="188"/>
      <c r="AI28" s="188"/>
      <c r="AJ28" s="188"/>
      <c r="AK28" s="188"/>
      <c r="AL28" s="217"/>
    </row>
    <row r="29" spans="1:38" s="7" customFormat="1">
      <c r="A29" s="1"/>
      <c r="B29" s="1"/>
      <c r="C29" s="1"/>
      <c r="D29" s="151"/>
      <c r="E29" s="149"/>
      <c r="F29" s="149"/>
      <c r="G29" s="149"/>
      <c r="H29" s="149"/>
      <c r="I29" s="149"/>
      <c r="J29" s="151"/>
      <c r="K29" s="149"/>
      <c r="L29" s="149"/>
      <c r="M29" s="149"/>
      <c r="N29" s="149"/>
      <c r="O29" s="149"/>
      <c r="P29" s="151"/>
      <c r="Q29" s="149"/>
      <c r="R29" s="149"/>
      <c r="S29" s="149"/>
      <c r="T29" s="149"/>
      <c r="U29" s="149"/>
      <c r="V29" s="151"/>
      <c r="W29" s="151"/>
      <c r="X29" s="149"/>
      <c r="Y29" s="149"/>
      <c r="Z29" s="149"/>
      <c r="AA29" s="149"/>
      <c r="AB29" s="151"/>
      <c r="AC29" s="149"/>
      <c r="AD29" s="149"/>
      <c r="AE29" s="151"/>
      <c r="AF29" s="188"/>
      <c r="AG29" s="149"/>
      <c r="AH29" s="188"/>
      <c r="AI29" s="149"/>
      <c r="AJ29" s="149"/>
      <c r="AK29" s="149"/>
      <c r="AL29" s="218"/>
    </row>
    <row r="30" spans="1:38" s="24" customFormat="1">
      <c r="A30" s="4" t="s">
        <v>657</v>
      </c>
      <c r="D30" s="183"/>
      <c r="E30" s="183"/>
      <c r="F30" s="183"/>
      <c r="G30" s="183"/>
      <c r="H30" s="183"/>
      <c r="I30" s="183"/>
      <c r="J30" s="185"/>
      <c r="K30" s="185"/>
      <c r="L30" s="185"/>
      <c r="M30" s="185"/>
      <c r="N30" s="185"/>
      <c r="O30" s="185"/>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219"/>
    </row>
    <row r="31" spans="1:38">
      <c r="A31" t="s">
        <v>322</v>
      </c>
      <c r="B31" t="s">
        <v>180</v>
      </c>
      <c r="C31">
        <v>0.61852981482680436</v>
      </c>
      <c r="D31" s="192">
        <f>Results_exp1_1shot!S93</f>
        <v>0.87499999999999989</v>
      </c>
      <c r="E31" s="192">
        <f>Results_exp1_1shot!S94</f>
        <v>0.73015873015873012</v>
      </c>
      <c r="F31" s="192">
        <f>Results_exp1_1shot!S95</f>
        <v>0.73333333333333339</v>
      </c>
      <c r="G31" s="192">
        <f>Results_exp1_1shot!S96</f>
        <v>0.8125</v>
      </c>
      <c r="H31" s="309">
        <f>AVERAGE(D31:G31)</f>
        <v>0.78774801587301591</v>
      </c>
      <c r="I31" s="147"/>
      <c r="J31" s="192">
        <f>Results_exp1_1shot!Y93</f>
        <v>0.78260869565217384</v>
      </c>
      <c r="K31" s="192">
        <f>Results_exp1_1shot!Y94</f>
        <v>0.66666666666666663</v>
      </c>
      <c r="L31" s="192">
        <f>Results_exp1_1shot!Y95</f>
        <v>0.72727272727272718</v>
      </c>
      <c r="M31" s="192">
        <f>Results_exp1_1shot!Y96</f>
        <v>0.76190476190476197</v>
      </c>
      <c r="N31" s="309">
        <f t="shared" ref="N31:N42" si="6">AVERAGE(J31:M31)</f>
        <v>0.73461321287408232</v>
      </c>
      <c r="O31" s="192"/>
      <c r="P31" s="192">
        <f>Results_exp1_1shot!AE93</f>
        <v>0.93103448275862066</v>
      </c>
      <c r="Q31" s="192">
        <f>Results_exp1_1shot!AE94</f>
        <v>0.59649122807017552</v>
      </c>
      <c r="R31" s="192">
        <f>Results_exp1_1shot!AE95</f>
        <v>0.62962962962962965</v>
      </c>
      <c r="S31" s="192">
        <f>Results_exp1_1shot!AE96</f>
        <v>0.7931034482758621</v>
      </c>
      <c r="T31" s="309">
        <f t="shared" ref="T31:T42" si="7">AVERAGE(P31:S31)</f>
        <v>0.73756469718357198</v>
      </c>
      <c r="U31" s="192"/>
      <c r="V31" s="192">
        <f>Results_exp1_1shot!AI93</f>
        <v>0.26666666666666666</v>
      </c>
      <c r="W31" s="192">
        <f>Results_exp1_1shot!AI94</f>
        <v>0.6</v>
      </c>
      <c r="X31" s="192">
        <f>Results_exp1_1shot!AI95</f>
        <v>0.8</v>
      </c>
      <c r="Y31" s="192">
        <f>Results_exp1_1shot!AI96</f>
        <v>0.6</v>
      </c>
      <c r="Z31" s="309">
        <f t="shared" ref="Z31:Z42" si="8">AVERAGE(V31:Y31)</f>
        <v>0.56666666666666665</v>
      </c>
      <c r="AB31" s="192">
        <f>Results_exp1_1shot!AJ93</f>
        <v>1</v>
      </c>
      <c r="AC31" s="192">
        <f>Results_exp1_1shot!AJ94</f>
        <v>0.9</v>
      </c>
      <c r="AD31" s="192">
        <f>Results_exp1_1shot!AJ95</f>
        <v>1</v>
      </c>
      <c r="AE31" s="192">
        <f>Results_exp1_1shot!AJ96</f>
        <v>1</v>
      </c>
      <c r="AF31" s="309">
        <f t="shared" ref="AF31:AF42" si="9">AVERAGE(AB31:AE31)</f>
        <v>0.97499999999999998</v>
      </c>
      <c r="AG31" s="147"/>
      <c r="AH31" s="147">
        <v>347</v>
      </c>
      <c r="AI31" s="147">
        <v>495</v>
      </c>
      <c r="AJ31" s="147">
        <v>462</v>
      </c>
      <c r="AK31" s="147">
        <v>346</v>
      </c>
      <c r="AL31" s="192"/>
    </row>
    <row r="32" spans="1:38">
      <c r="A32" t="s">
        <v>323</v>
      </c>
      <c r="B32" t="s">
        <v>142</v>
      </c>
      <c r="C32">
        <v>0.68692634591772206</v>
      </c>
      <c r="D32" s="192">
        <f>Results_exp1_1shot!S99</f>
        <v>0.7931034482758621</v>
      </c>
      <c r="E32" s="192">
        <f>Results_exp1_1shot!S100</f>
        <v>0.74999999999999989</v>
      </c>
      <c r="F32" s="192">
        <f>Results_exp1_1shot!S101</f>
        <v>0.74999999999999989</v>
      </c>
      <c r="G32" s="192">
        <f>Results_exp1_1shot!S102</f>
        <v>0.7931034482758621</v>
      </c>
      <c r="H32" s="309">
        <f t="shared" ref="H32:H42" si="10">AVERAGE(D32:G32)</f>
        <v>0.77155172413793105</v>
      </c>
      <c r="I32" s="147"/>
      <c r="J32" s="192">
        <f>Results_exp1_1shot!Y99</f>
        <v>0.87500000000000011</v>
      </c>
      <c r="K32" s="192">
        <f>Results_exp1_1shot!Y100</f>
        <v>0.87500000000000011</v>
      </c>
      <c r="L32" s="192">
        <f>Results_exp1_1shot!Y101</f>
        <v>0.87500000000000011</v>
      </c>
      <c r="M32" s="192">
        <f>Results_exp1_1shot!Y102</f>
        <v>1</v>
      </c>
      <c r="N32" s="309">
        <f t="shared" si="6"/>
        <v>0.90625000000000011</v>
      </c>
      <c r="O32" s="192"/>
      <c r="P32" s="192">
        <f>Results_exp1_1shot!AE99</f>
        <v>0.37499999999999994</v>
      </c>
      <c r="Q32" s="192">
        <f>Results_exp1_1shot!AE100</f>
        <v>0.43478260869565216</v>
      </c>
      <c r="R32" s="192">
        <f>Results_exp1_1shot!AE101</f>
        <v>0.34782608695652178</v>
      </c>
      <c r="S32" s="192">
        <f>Results_exp1_1shot!AE102</f>
        <v>0.74999999999999989</v>
      </c>
      <c r="T32" s="309">
        <f t="shared" si="7"/>
        <v>0.47690217391304346</v>
      </c>
      <c r="U32" s="192"/>
      <c r="V32" s="192">
        <f>Results_exp1_1shot!AI99</f>
        <v>1.375</v>
      </c>
      <c r="W32" s="192">
        <f>Results_exp1_1shot!AI100</f>
        <v>1.25</v>
      </c>
      <c r="X32" s="192">
        <f>Results_exp1_1shot!AI101</f>
        <v>1.125</v>
      </c>
      <c r="Y32" s="192">
        <f>Results_exp1_1shot!AI102</f>
        <v>0.625</v>
      </c>
      <c r="Z32" s="309">
        <f t="shared" si="8"/>
        <v>1.09375</v>
      </c>
      <c r="AB32" s="192">
        <f>Results_exp1_1shot!AJ99</f>
        <v>1</v>
      </c>
      <c r="AC32" s="192">
        <f>Results_exp1_1shot!AJ100</f>
        <v>1</v>
      </c>
      <c r="AD32" s="192">
        <f>Results_exp1_1shot!AJ101</f>
        <v>1</v>
      </c>
      <c r="AE32" s="192">
        <f>Results_exp1_1shot!AJ102</f>
        <v>1</v>
      </c>
      <c r="AF32" s="309">
        <f t="shared" si="9"/>
        <v>1</v>
      </c>
      <c r="AG32" s="147"/>
      <c r="AH32" s="147">
        <v>467</v>
      </c>
      <c r="AI32" s="147">
        <v>498</v>
      </c>
      <c r="AJ32" s="147">
        <v>540</v>
      </c>
      <c r="AK32" s="147">
        <v>352</v>
      </c>
      <c r="AL32" s="192"/>
    </row>
    <row r="33" spans="1:38" s="7" customFormat="1">
      <c r="A33" t="s">
        <v>324</v>
      </c>
      <c r="B33" t="s">
        <v>153</v>
      </c>
      <c r="C33">
        <v>0.71688008599465802</v>
      </c>
      <c r="D33" s="192">
        <f>Results_exp1_1shot!S105</f>
        <v>0.92307692307692302</v>
      </c>
      <c r="E33" s="192">
        <f>Results_exp1_1shot!S106</f>
        <v>0.93939393939393945</v>
      </c>
      <c r="F33" s="192">
        <f>Results_exp1_1shot!S107</f>
        <v>1</v>
      </c>
      <c r="G33" s="192">
        <f>Results_exp1_1shot!S108</f>
        <v>0.89230769230769225</v>
      </c>
      <c r="H33" s="309">
        <f t="shared" si="10"/>
        <v>0.93869463869463865</v>
      </c>
      <c r="I33" s="147"/>
      <c r="J33" s="192">
        <f>Results_exp1_1shot!Y105</f>
        <v>0.83333333333333337</v>
      </c>
      <c r="K33" s="192">
        <f>Results_exp1_1shot!Y106</f>
        <v>0.83333333333333337</v>
      </c>
      <c r="L33" s="192">
        <f>Results_exp1_1shot!Y107</f>
        <v>1</v>
      </c>
      <c r="M33" s="192">
        <f>Results_exp1_1shot!Y108</f>
        <v>0.72727272727272718</v>
      </c>
      <c r="N33" s="309">
        <f t="shared" si="6"/>
        <v>0.84848484848484851</v>
      </c>
      <c r="O33" s="192"/>
      <c r="P33" s="192">
        <f>Results_exp1_1shot!AE105</f>
        <v>0.91228070175438603</v>
      </c>
      <c r="Q33" s="192">
        <f>Results_exp1_1shot!AE106</f>
        <v>0.93103448275862066</v>
      </c>
      <c r="R33" s="192">
        <f>Results_exp1_1shot!AE107</f>
        <v>1</v>
      </c>
      <c r="S33" s="192">
        <f>Results_exp1_1shot!AE108</f>
        <v>0.75862068965517238</v>
      </c>
      <c r="T33" s="309">
        <f t="shared" si="7"/>
        <v>0.90048396854204471</v>
      </c>
      <c r="U33" s="192"/>
      <c r="V33" s="192">
        <f>Results_exp1_1shot!AI105</f>
        <v>0.13333333333333333</v>
      </c>
      <c r="W33" s="192">
        <f>Results_exp1_1shot!AI106</f>
        <v>0.13333333333333333</v>
      </c>
      <c r="X33" s="192">
        <f>Results_exp1_1shot!AI107</f>
        <v>0.13333333333333333</v>
      </c>
      <c r="Y33" s="192">
        <f>Results_exp1_1shot!AI108</f>
        <v>0.6</v>
      </c>
      <c r="Z33" s="309">
        <f t="shared" si="8"/>
        <v>0.25</v>
      </c>
      <c r="AB33" s="192">
        <f>Results_exp1_1shot!AJ105</f>
        <v>1</v>
      </c>
      <c r="AC33" s="192">
        <f>Results_exp1_1shot!AJ106</f>
        <v>1</v>
      </c>
      <c r="AD33" s="192">
        <f>Results_exp1_1shot!AJ107</f>
        <v>1</v>
      </c>
      <c r="AE33" s="192">
        <f>Results_exp1_1shot!AJ108</f>
        <v>0.9</v>
      </c>
      <c r="AF33" s="309">
        <f t="shared" si="9"/>
        <v>0.97499999999999998</v>
      </c>
      <c r="AG33" s="147"/>
      <c r="AH33" s="147">
        <v>357</v>
      </c>
      <c r="AI33" s="147">
        <v>384</v>
      </c>
      <c r="AJ33" s="147">
        <v>387</v>
      </c>
      <c r="AK33" s="147">
        <v>561</v>
      </c>
      <c r="AL33" s="192"/>
    </row>
    <row r="34" spans="1:38">
      <c r="A34" s="7" t="s">
        <v>321</v>
      </c>
      <c r="B34" t="s">
        <v>165</v>
      </c>
      <c r="C34">
        <v>0.76840547274981619</v>
      </c>
      <c r="D34" s="192">
        <f>Results_exp1_1shot!S111</f>
        <v>0.79999999999999993</v>
      </c>
      <c r="E34" s="192">
        <f>Results_exp1_1shot!S112</f>
        <v>0.77611940298507465</v>
      </c>
      <c r="F34" s="192">
        <f>Results_exp1_1shot!S113</f>
        <v>0.7384615384615385</v>
      </c>
      <c r="G34" s="192">
        <f>Results_exp1_1shot!S114</f>
        <v>0.70769230769230762</v>
      </c>
      <c r="H34" s="309">
        <f t="shared" si="10"/>
        <v>0.75556831228473009</v>
      </c>
      <c r="I34" s="147"/>
      <c r="J34" s="192">
        <f>Results_exp1_1shot!Y111</f>
        <v>0.72727272727272729</v>
      </c>
      <c r="K34" s="192">
        <f>Results_exp1_1shot!Y112</f>
        <v>0.76190476190476197</v>
      </c>
      <c r="L34" s="192">
        <f>Results_exp1_1shot!Y113</f>
        <v>0.72727272727272729</v>
      </c>
      <c r="M34" s="192">
        <f>Results_exp1_1shot!Y114</f>
        <v>0.66666666666666663</v>
      </c>
      <c r="N34" s="309">
        <f t="shared" si="6"/>
        <v>0.72077922077922085</v>
      </c>
      <c r="O34" s="192"/>
      <c r="P34" s="192">
        <f>Results_exp1_1shot!AE111</f>
        <v>0.87096774193548399</v>
      </c>
      <c r="Q34" s="192">
        <f>Results_exp1_1shot!AE112</f>
        <v>0.81355932203389825</v>
      </c>
      <c r="R34" s="192">
        <f>Results_exp1_1shot!AE113</f>
        <v>0.73684210526315796</v>
      </c>
      <c r="S34" s="192">
        <f>Results_exp1_1shot!AE114</f>
        <v>0.73684210526315796</v>
      </c>
      <c r="T34" s="309">
        <f t="shared" si="7"/>
        <v>0.78955281862392457</v>
      </c>
      <c r="U34" s="192"/>
      <c r="V34" s="192">
        <f>Results_exp1_1shot!AI111</f>
        <v>0.125</v>
      </c>
      <c r="W34" s="192">
        <f>Results_exp1_1shot!AI112</f>
        <v>0.1875</v>
      </c>
      <c r="X34" s="192">
        <f>Results_exp1_1shot!AI113</f>
        <v>0.8125</v>
      </c>
      <c r="Y34" s="192">
        <f>Results_exp1_1shot!AI114</f>
        <v>0.625</v>
      </c>
      <c r="Z34" s="309">
        <f t="shared" si="8"/>
        <v>0.4375</v>
      </c>
      <c r="AB34" s="192">
        <f>Results_exp1_1shot!AJ111</f>
        <v>1</v>
      </c>
      <c r="AC34" s="192">
        <f>Results_exp1_1shot!AJ112</f>
        <v>1</v>
      </c>
      <c r="AD34" s="192">
        <f>Results_exp1_1shot!AJ113</f>
        <v>1</v>
      </c>
      <c r="AE34" s="192">
        <f>Results_exp1_1shot!AJ114</f>
        <v>1</v>
      </c>
      <c r="AF34" s="309">
        <f t="shared" si="9"/>
        <v>1</v>
      </c>
      <c r="AG34" s="147"/>
      <c r="AH34" s="147">
        <v>445</v>
      </c>
      <c r="AI34" s="147">
        <v>497</v>
      </c>
      <c r="AJ34" s="147">
        <v>650</v>
      </c>
      <c r="AK34" s="147">
        <v>514</v>
      </c>
      <c r="AL34" s="192"/>
    </row>
    <row r="35" spans="1:38">
      <c r="A35" t="s">
        <v>325</v>
      </c>
      <c r="B35" t="s">
        <v>136</v>
      </c>
      <c r="C35">
        <v>0.95238369736820083</v>
      </c>
      <c r="D35" s="192">
        <f>Results_exp1_1shot!S117</f>
        <v>0.90909090909090906</v>
      </c>
      <c r="E35" s="192">
        <f>Results_exp1_1shot!S118</f>
        <v>0.95000000000000007</v>
      </c>
      <c r="F35" s="192">
        <f>Results_exp1_1shot!S119</f>
        <v>0.95000000000000007</v>
      </c>
      <c r="G35" s="192">
        <f>Results_exp1_1shot!S120</f>
        <v>0.97619047619047616</v>
      </c>
      <c r="H35" s="309">
        <f t="shared" si="10"/>
        <v>0.94632034632034634</v>
      </c>
      <c r="I35" s="147"/>
      <c r="J35" s="192">
        <f>Results_exp1_1shot!Y117</f>
        <v>0.93333333333333335</v>
      </c>
      <c r="K35" s="192">
        <f>Results_exp1_1shot!Y118</f>
        <v>1</v>
      </c>
      <c r="L35" s="192">
        <f>Results_exp1_1shot!Y119</f>
        <v>1</v>
      </c>
      <c r="M35" s="192">
        <f>Results_exp1_1shot!Y120</f>
        <v>1</v>
      </c>
      <c r="N35" s="309">
        <f t="shared" si="6"/>
        <v>0.98333333333333339</v>
      </c>
      <c r="O35" s="192"/>
      <c r="P35" s="192">
        <f>Results_exp1_1shot!AE117</f>
        <v>0.52173913043478259</v>
      </c>
      <c r="Q35" s="192">
        <f>Results_exp1_1shot!AE118</f>
        <v>0.74999999999999989</v>
      </c>
      <c r="R35" s="192">
        <f>Results_exp1_1shot!AE119</f>
        <v>0.74999999999999989</v>
      </c>
      <c r="S35" s="192">
        <f>Results_exp1_1shot!AE120</f>
        <v>0.97368421052631582</v>
      </c>
      <c r="T35" s="309">
        <f t="shared" si="7"/>
        <v>0.74885583524027455</v>
      </c>
      <c r="U35" s="192"/>
      <c r="V35" s="192">
        <f>Results_exp1_1shot!AI117</f>
        <v>0.1111111111111111</v>
      </c>
      <c r="W35" s="192">
        <f>Results_exp1_1shot!AI118</f>
        <v>0.1111111111111111</v>
      </c>
      <c r="X35" s="192">
        <f>Results_exp1_1shot!AI119</f>
        <v>0.1111111111111111</v>
      </c>
      <c r="Y35" s="192">
        <f>Results_exp1_1shot!AI120</f>
        <v>0.55555555555555558</v>
      </c>
      <c r="Z35" s="309">
        <f t="shared" si="8"/>
        <v>0.22222222222222221</v>
      </c>
      <c r="AB35" s="192">
        <f>Results_exp1_1shot!AJ117</f>
        <v>1</v>
      </c>
      <c r="AC35" s="192">
        <f>Results_exp1_1shot!AJ118</f>
        <v>1</v>
      </c>
      <c r="AD35" s="192">
        <f>Results_exp1_1shot!AJ119</f>
        <v>1</v>
      </c>
      <c r="AE35" s="192">
        <f>Results_exp1_1shot!AJ120</f>
        <v>1</v>
      </c>
      <c r="AF35" s="309">
        <f t="shared" si="9"/>
        <v>1</v>
      </c>
      <c r="AG35" s="147"/>
      <c r="AH35" s="147">
        <v>395</v>
      </c>
      <c r="AI35" s="147">
        <v>420</v>
      </c>
      <c r="AJ35" s="147">
        <v>407</v>
      </c>
      <c r="AK35" s="147">
        <v>576</v>
      </c>
      <c r="AL35" s="192"/>
    </row>
    <row r="36" spans="1:38">
      <c r="A36" t="s">
        <v>326</v>
      </c>
      <c r="B36" t="s">
        <v>166</v>
      </c>
      <c r="C36">
        <v>0.97510654491951687</v>
      </c>
      <c r="D36" s="192">
        <f>Results_exp1_1shot!S123</f>
        <v>0.82666666666666666</v>
      </c>
      <c r="E36" s="192">
        <f>Results_exp1_1shot!S124</f>
        <v>0.96000000000000008</v>
      </c>
      <c r="F36" s="192">
        <f>Results_exp1_1shot!S125</f>
        <v>0.78378378378378377</v>
      </c>
      <c r="G36" s="192">
        <f>Results_exp1_1shot!S126</f>
        <v>0.96000000000000008</v>
      </c>
      <c r="H36" s="309">
        <f t="shared" si="10"/>
        <v>0.88261261261261259</v>
      </c>
      <c r="I36" s="147"/>
      <c r="J36" s="192">
        <f>Results_exp1_1shot!Y123</f>
        <v>0.66666666666666674</v>
      </c>
      <c r="K36" s="192">
        <f>Results_exp1_1shot!Y124</f>
        <v>0.91666666666666663</v>
      </c>
      <c r="L36" s="192">
        <f>Results_exp1_1shot!Y125</f>
        <v>0.58333333333333337</v>
      </c>
      <c r="M36" s="192">
        <f>Results_exp1_1shot!Y126</f>
        <v>0.96000000000000008</v>
      </c>
      <c r="N36" s="309">
        <f t="shared" si="6"/>
        <v>0.78166666666666673</v>
      </c>
      <c r="O36" s="192"/>
      <c r="P36" s="192">
        <f>Results_exp1_1shot!AE123</f>
        <v>0.86567164179104472</v>
      </c>
      <c r="Q36" s="192">
        <f>Results_exp1_1shot!AE124</f>
        <v>0.86567164179104472</v>
      </c>
      <c r="R36" s="192">
        <f>Results_exp1_1shot!AE125</f>
        <v>0.53731343283582089</v>
      </c>
      <c r="S36" s="192">
        <f>Results_exp1_1shot!AE126</f>
        <v>0.74626865671641784</v>
      </c>
      <c r="T36" s="309">
        <f t="shared" si="7"/>
        <v>0.75373134328358204</v>
      </c>
      <c r="U36" s="192"/>
      <c r="V36" s="192">
        <f>Results_exp1_1shot!AI123</f>
        <v>5.8823529411764705E-2</v>
      </c>
      <c r="W36" s="192">
        <f>Results_exp1_1shot!AI124</f>
        <v>5.8823529411764705E-2</v>
      </c>
      <c r="X36" s="192">
        <f>Results_exp1_1shot!AI125</f>
        <v>1.0588235294117647</v>
      </c>
      <c r="Y36" s="192">
        <f>Results_exp1_1shot!AI126</f>
        <v>0.76470588235294112</v>
      </c>
      <c r="Z36" s="309">
        <f t="shared" si="8"/>
        <v>0.48529411764705882</v>
      </c>
      <c r="AB36" s="192">
        <f>Results_exp1_1shot!AJ123</f>
        <v>0.5</v>
      </c>
      <c r="AC36" s="192">
        <f>Results_exp1_1shot!AJ124</f>
        <v>0.5</v>
      </c>
      <c r="AD36" s="192">
        <f>Results_exp1_1shot!AJ125</f>
        <v>0.94736842105263153</v>
      </c>
      <c r="AE36" s="192">
        <f>Results_exp1_1shot!AJ126</f>
        <v>0.76470588235294112</v>
      </c>
      <c r="AF36" s="309">
        <f t="shared" si="9"/>
        <v>0.67801857585139313</v>
      </c>
      <c r="AG36" s="147"/>
      <c r="AH36" s="147">
        <v>377</v>
      </c>
      <c r="AI36" s="147">
        <v>447</v>
      </c>
      <c r="AJ36" s="147">
        <v>676</v>
      </c>
      <c r="AK36" s="147">
        <v>560</v>
      </c>
      <c r="AL36" s="192"/>
    </row>
    <row r="37" spans="1:38">
      <c r="A37" t="s">
        <v>327</v>
      </c>
      <c r="B37" t="s">
        <v>164</v>
      </c>
      <c r="C37">
        <v>1.0040864084632239</v>
      </c>
      <c r="D37" s="192">
        <f>Results_exp1_1shot!S129</f>
        <v>0.78873239436619713</v>
      </c>
      <c r="E37" s="192">
        <f>Results_exp1_1shot!S130</f>
        <v>0.76056338028169024</v>
      </c>
      <c r="F37" s="192">
        <f>Results_exp1_1shot!S131</f>
        <v>0.78873239436619713</v>
      </c>
      <c r="G37" s="192">
        <f>Results_exp1_1shot!S132</f>
        <v>0.89855072463768126</v>
      </c>
      <c r="H37" s="309">
        <f t="shared" si="10"/>
        <v>0.80914472341294141</v>
      </c>
      <c r="I37" s="147"/>
      <c r="J37" s="192">
        <f>Results_exp1_1shot!Y129</f>
        <v>0.69230769230769229</v>
      </c>
      <c r="K37" s="192">
        <f>Results_exp1_1shot!Y130</f>
        <v>0.61538461538461531</v>
      </c>
      <c r="L37" s="192">
        <f>Results_exp1_1shot!Y131</f>
        <v>0.66666666666666652</v>
      </c>
      <c r="M37" s="192">
        <f>Results_exp1_1shot!Y132</f>
        <v>0.93333333333333335</v>
      </c>
      <c r="N37" s="309">
        <f t="shared" si="6"/>
        <v>0.72692307692307678</v>
      </c>
      <c r="O37" s="192"/>
      <c r="P37" s="192">
        <f>Results_exp1_1shot!AE129</f>
        <v>0.86153846153846148</v>
      </c>
      <c r="Q37" s="192">
        <f>Results_exp1_1shot!AE130</f>
        <v>0.76923076923076916</v>
      </c>
      <c r="R37" s="192">
        <f>Results_exp1_1shot!AE131</f>
        <v>0.89230769230769225</v>
      </c>
      <c r="S37" s="192">
        <f>Results_exp1_1shot!AE132</f>
        <v>0.66666666666666663</v>
      </c>
      <c r="T37" s="309">
        <f t="shared" si="7"/>
        <v>0.79743589743589738</v>
      </c>
      <c r="U37" s="192"/>
      <c r="V37" s="192">
        <f>Results_exp1_1shot!AI129</f>
        <v>0.25</v>
      </c>
      <c r="W37" s="192">
        <f>Results_exp1_1shot!AI130</f>
        <v>0.1875</v>
      </c>
      <c r="X37" s="192">
        <f>Results_exp1_1shot!AI131</f>
        <v>0.75</v>
      </c>
      <c r="Y37" s="192">
        <f>Results_exp1_1shot!AI132</f>
        <v>0.6875</v>
      </c>
      <c r="Z37" s="309">
        <f t="shared" si="8"/>
        <v>0.46875</v>
      </c>
      <c r="AB37" s="192">
        <f>Results_exp1_1shot!AJ129</f>
        <v>1</v>
      </c>
      <c r="AC37" s="192">
        <f>Results_exp1_1shot!AJ130</f>
        <v>1</v>
      </c>
      <c r="AD37" s="192">
        <f>Results_exp1_1shot!AJ131</f>
        <v>1</v>
      </c>
      <c r="AE37" s="192">
        <f>Results_exp1_1shot!AJ132</f>
        <v>0.91666666666666663</v>
      </c>
      <c r="AF37" s="309">
        <f t="shared" si="9"/>
        <v>0.97916666666666663</v>
      </c>
      <c r="AG37" s="147"/>
      <c r="AH37" s="147">
        <v>393</v>
      </c>
      <c r="AI37" s="147">
        <v>416</v>
      </c>
      <c r="AJ37" s="147">
        <v>533</v>
      </c>
      <c r="AK37" s="147">
        <v>624</v>
      </c>
      <c r="AL37" s="192"/>
    </row>
    <row r="38" spans="1:38">
      <c r="A38" t="s">
        <v>328</v>
      </c>
      <c r="B38" t="s">
        <v>137</v>
      </c>
      <c r="C38">
        <v>1.1042071083576701</v>
      </c>
      <c r="D38" s="192">
        <f>Results_exp1_1shot!S135</f>
        <v>0.57971014492753614</v>
      </c>
      <c r="E38" s="192">
        <f>Results_exp1_1shot!S136</f>
        <v>0.65789473684210531</v>
      </c>
      <c r="F38" s="192">
        <f>Results_exp1_1shot!S137</f>
        <v>0.65789473684210531</v>
      </c>
      <c r="G38" s="192">
        <f>Results_exp1_1shot!S138</f>
        <v>0.69230769230769229</v>
      </c>
      <c r="H38" s="309">
        <f t="shared" si="10"/>
        <v>0.64695182772985982</v>
      </c>
      <c r="I38" s="147"/>
      <c r="J38" s="192">
        <f>Results_exp1_1shot!Y135</f>
        <v>0.70000000000000007</v>
      </c>
      <c r="K38" s="192">
        <f>Results_exp1_1shot!Y136</f>
        <v>0.72727272727272718</v>
      </c>
      <c r="L38" s="192">
        <f>Results_exp1_1shot!Y137</f>
        <v>0.81818181818181823</v>
      </c>
      <c r="M38" s="192">
        <f>Results_exp1_1shot!Y138</f>
        <v>0.72727272727272718</v>
      </c>
      <c r="N38" s="309">
        <f t="shared" si="6"/>
        <v>0.74318181818181817</v>
      </c>
      <c r="O38" s="192"/>
      <c r="P38" s="192">
        <f>Results_exp1_1shot!AE135</f>
        <v>0.3692307692307692</v>
      </c>
      <c r="Q38" s="192">
        <f>Results_exp1_1shot!AE136</f>
        <v>0.52777777777777779</v>
      </c>
      <c r="R38" s="192">
        <f>Results_exp1_1shot!AE137</f>
        <v>0.52777777777777779</v>
      </c>
      <c r="S38" s="192">
        <f>Results_exp1_1shot!AE138</f>
        <v>0.56756756756756754</v>
      </c>
      <c r="T38" s="309">
        <f t="shared" si="7"/>
        <v>0.49808847308847304</v>
      </c>
      <c r="U38" s="192"/>
      <c r="V38" s="192">
        <f>Results_exp1_1shot!AI135</f>
        <v>9.0909090909090912E-2</v>
      </c>
      <c r="W38" s="192">
        <f>Results_exp1_1shot!AI136</f>
        <v>9.0909090909090912E-2</v>
      </c>
      <c r="X38" s="192">
        <f>Results_exp1_1shot!AI137</f>
        <v>0.63636363636363635</v>
      </c>
      <c r="Y38" s="192">
        <f>Results_exp1_1shot!AI138</f>
        <v>4.5454545454545456E-2</v>
      </c>
      <c r="Z38" s="309">
        <f t="shared" si="8"/>
        <v>0.21590909090909088</v>
      </c>
      <c r="AB38" s="192">
        <f>Results_exp1_1shot!AJ135</f>
        <v>1</v>
      </c>
      <c r="AC38" s="192">
        <f>Results_exp1_1shot!AJ136</f>
        <v>1</v>
      </c>
      <c r="AD38" s="192">
        <f>Results_exp1_1shot!AJ137</f>
        <v>1</v>
      </c>
      <c r="AE38" s="192">
        <f>Results_exp1_1shot!AJ138</f>
        <v>1</v>
      </c>
      <c r="AF38" s="309">
        <f t="shared" si="9"/>
        <v>1</v>
      </c>
      <c r="AG38" s="147"/>
      <c r="AH38" s="147">
        <v>330</v>
      </c>
      <c r="AI38" s="147">
        <v>466</v>
      </c>
      <c r="AJ38" s="147">
        <v>702</v>
      </c>
      <c r="AK38" s="147">
        <v>333</v>
      </c>
      <c r="AL38" s="192"/>
    </row>
    <row r="39" spans="1:38">
      <c r="A39" t="s">
        <v>329</v>
      </c>
      <c r="B39" t="s">
        <v>139</v>
      </c>
      <c r="C39">
        <v>1.1679763185797205</v>
      </c>
      <c r="D39" s="192">
        <f>Results_exp1_1shot!S141</f>
        <v>0.8571428571428571</v>
      </c>
      <c r="E39" s="192">
        <f>Results_exp1_1shot!S142</f>
        <v>1</v>
      </c>
      <c r="F39" s="192">
        <f>Results_exp1_1shot!S143</f>
        <v>0.69444444444444442</v>
      </c>
      <c r="G39" s="192">
        <f>Results_exp1_1shot!S144</f>
        <v>0.92473118279569899</v>
      </c>
      <c r="H39" s="309">
        <f t="shared" si="10"/>
        <v>0.8690796210957501</v>
      </c>
      <c r="I39" s="147"/>
      <c r="J39" s="192">
        <f>Results_exp1_1shot!Y141</f>
        <v>0.66666666666666674</v>
      </c>
      <c r="K39" s="192">
        <f>Results_exp1_1shot!Y142</f>
        <v>1</v>
      </c>
      <c r="L39" s="192">
        <f>Results_exp1_1shot!Y143</f>
        <v>0.86956521739130443</v>
      </c>
      <c r="M39" s="192">
        <f>Results_exp1_1shot!Y144</f>
        <v>0.8</v>
      </c>
      <c r="N39" s="309">
        <f t="shared" si="6"/>
        <v>0.83405797101449286</v>
      </c>
      <c r="O39" s="192"/>
      <c r="P39" s="192">
        <f>Results_exp1_1shot!AE141</f>
        <v>0.92134831460674171</v>
      </c>
      <c r="Q39" s="192">
        <f>Results_exp1_1shot!AE142</f>
        <v>1</v>
      </c>
      <c r="R39" s="192">
        <f>Results_exp1_1shot!AE143</f>
        <v>0.51428571428571435</v>
      </c>
      <c r="S39" s="192">
        <f>Results_exp1_1shot!AE144</f>
        <v>0.96703296703296704</v>
      </c>
      <c r="T39" s="309">
        <f t="shared" si="7"/>
        <v>0.85066674898135575</v>
      </c>
      <c r="U39" s="192"/>
      <c r="V39" s="192">
        <f>Results_exp1_1shot!AI141</f>
        <v>0.13043478260869565</v>
      </c>
      <c r="W39" s="192">
        <f>Results_exp1_1shot!AI142</f>
        <v>0.60869565217391308</v>
      </c>
      <c r="X39" s="192">
        <f>Results_exp1_1shot!AI143</f>
        <v>0.69565217391304346</v>
      </c>
      <c r="Y39" s="192">
        <f>Results_exp1_1shot!AI144</f>
        <v>0.39130434782608697</v>
      </c>
      <c r="Z39" s="309">
        <f t="shared" si="8"/>
        <v>0.45652173913043481</v>
      </c>
      <c r="AB39" s="192">
        <f>Results_exp1_1shot!AJ141</f>
        <v>1</v>
      </c>
      <c r="AC39" s="192">
        <f>Results_exp1_1shot!AJ142</f>
        <v>1</v>
      </c>
      <c r="AD39" s="192">
        <f>Results_exp1_1shot!AJ143</f>
        <v>1</v>
      </c>
      <c r="AE39" s="192">
        <f>Results_exp1_1shot!AJ144</f>
        <v>1</v>
      </c>
      <c r="AF39" s="309">
        <f t="shared" si="9"/>
        <v>1</v>
      </c>
      <c r="AG39" s="147"/>
      <c r="AH39" s="147">
        <v>350</v>
      </c>
      <c r="AI39" s="147">
        <v>566</v>
      </c>
      <c r="AJ39" s="147">
        <v>472</v>
      </c>
      <c r="AK39" s="147">
        <v>524</v>
      </c>
      <c r="AL39" s="192"/>
    </row>
    <row r="40" spans="1:38">
      <c r="A40" t="s">
        <v>330</v>
      </c>
      <c r="B40" t="s">
        <v>163</v>
      </c>
      <c r="C40">
        <v>1.3319028194330147</v>
      </c>
      <c r="D40" s="192">
        <f>Results_exp1_1shot!S147</f>
        <v>0.49315068493150688</v>
      </c>
      <c r="E40" s="192">
        <f>Results_exp1_1shot!S148</f>
        <v>0.74157303370786509</v>
      </c>
      <c r="F40" s="192">
        <f>Results_exp1_1shot!S149</f>
        <v>0.51351351351351349</v>
      </c>
      <c r="G40" s="192">
        <f>Results_exp1_1shot!S150</f>
        <v>0.7640449438202247</v>
      </c>
      <c r="H40" s="309">
        <f t="shared" si="10"/>
        <v>0.62807054399327755</v>
      </c>
      <c r="I40" s="147"/>
      <c r="J40" s="192">
        <f>Results_exp1_1shot!Y147</f>
        <v>0.94736842105263164</v>
      </c>
      <c r="K40" s="192">
        <f>Results_exp1_1shot!Y148</f>
        <v>0.88888888888888895</v>
      </c>
      <c r="L40" s="192">
        <f>Results_exp1_1shot!Y149</f>
        <v>0.94736842105263164</v>
      </c>
      <c r="M40" s="192">
        <f>Results_exp1_1shot!Y150</f>
        <v>0.8421052631578948</v>
      </c>
      <c r="N40" s="309">
        <f t="shared" si="6"/>
        <v>0.9064327485380117</v>
      </c>
      <c r="O40" s="192"/>
      <c r="P40" s="192">
        <f>Results_exp1_1shot!AE147</f>
        <v>0.49315068493150688</v>
      </c>
      <c r="Q40" s="192">
        <f>Results_exp1_1shot!AE148</f>
        <v>0.74157303370786509</v>
      </c>
      <c r="R40" s="192">
        <f>Results_exp1_1shot!AE149</f>
        <v>0.51351351351351349</v>
      </c>
      <c r="S40" s="192">
        <f>Results_exp1_1shot!AE150</f>
        <v>0.74157303370786509</v>
      </c>
      <c r="T40" s="309">
        <f t="shared" si="7"/>
        <v>0.62245256646518765</v>
      </c>
      <c r="U40" s="192"/>
      <c r="V40" s="192">
        <f>Results_exp1_1shot!AI147</f>
        <v>0.4</v>
      </c>
      <c r="W40" s="192">
        <f>Results_exp1_1shot!AI148</f>
        <v>0.3</v>
      </c>
      <c r="X40" s="192">
        <f>Results_exp1_1shot!AI149</f>
        <v>0.4</v>
      </c>
      <c r="Y40" s="192">
        <f>Results_exp1_1shot!AI150</f>
        <v>0.23333333333333334</v>
      </c>
      <c r="Z40" s="309">
        <f t="shared" si="8"/>
        <v>0.33333333333333337</v>
      </c>
      <c r="AB40" s="192">
        <f>Results_exp1_1shot!AJ147</f>
        <v>1</v>
      </c>
      <c r="AC40" s="192">
        <f>Results_exp1_1shot!AJ148</f>
        <v>1</v>
      </c>
      <c r="AD40" s="192">
        <f>Results_exp1_1shot!AJ149</f>
        <v>1</v>
      </c>
      <c r="AE40" s="192">
        <f>Results_exp1_1shot!AJ150</f>
        <v>1</v>
      </c>
      <c r="AF40" s="309">
        <f t="shared" si="9"/>
        <v>1</v>
      </c>
      <c r="AG40" s="147"/>
      <c r="AH40" s="147">
        <v>408</v>
      </c>
      <c r="AI40" s="147">
        <v>510</v>
      </c>
      <c r="AJ40" s="147">
        <v>363</v>
      </c>
      <c r="AK40" s="147">
        <v>453</v>
      </c>
      <c r="AL40" s="192"/>
    </row>
    <row r="41" spans="1:38">
      <c r="A41" t="s">
        <v>331</v>
      </c>
      <c r="B41" t="s">
        <v>138</v>
      </c>
      <c r="C41">
        <v>1.762299953678875</v>
      </c>
      <c r="D41" s="192">
        <f>Results_exp1_1shot!S153</f>
        <v>0.78787878787878785</v>
      </c>
      <c r="E41" s="192">
        <f>Results_exp1_1shot!S154</f>
        <v>0.74747474747474751</v>
      </c>
      <c r="F41" s="192">
        <f>Results_exp1_1shot!S155</f>
        <v>0.82000000000000006</v>
      </c>
      <c r="G41" s="192">
        <f>Results_exp1_1shot!S156</f>
        <v>0.80808080808080807</v>
      </c>
      <c r="H41" s="309">
        <f t="shared" si="10"/>
        <v>0.79085858585858593</v>
      </c>
      <c r="I41" s="147"/>
      <c r="J41" s="192">
        <f>Results_exp1_1shot!Y153</f>
        <v>0.73684210526315774</v>
      </c>
      <c r="K41" s="192">
        <f>Results_exp1_1shot!Y154</f>
        <v>0.63157894736842102</v>
      </c>
      <c r="L41" s="192">
        <f>Results_exp1_1shot!Y155</f>
        <v>0.73684210526315774</v>
      </c>
      <c r="M41" s="192">
        <f>Results_exp1_1shot!Y156</f>
        <v>0.73684210526315774</v>
      </c>
      <c r="N41" s="309">
        <f t="shared" si="6"/>
        <v>0.71052631578947345</v>
      </c>
      <c r="O41" s="192"/>
      <c r="P41" s="192">
        <f>Results_exp1_1shot!AE153</f>
        <v>0.56179775280898869</v>
      </c>
      <c r="Q41" s="192">
        <f>Results_exp1_1shot!AE154</f>
        <v>0.56179775280898869</v>
      </c>
      <c r="R41" s="192">
        <f>Results_exp1_1shot!AE155</f>
        <v>0.55555555555555558</v>
      </c>
      <c r="S41" s="192">
        <f>Results_exp1_1shot!AE156</f>
        <v>0.56179775280898869</v>
      </c>
      <c r="T41" s="309">
        <f t="shared" si="7"/>
        <v>0.56023720349563044</v>
      </c>
      <c r="U41" s="192"/>
      <c r="V41" s="192">
        <f>Results_exp1_1shot!AI153</f>
        <v>0.13043478260869565</v>
      </c>
      <c r="W41" s="192">
        <f>Results_exp1_1shot!AI154</f>
        <v>0.17391304347826086</v>
      </c>
      <c r="X41" s="192">
        <f>Results_exp1_1shot!AI155</f>
        <v>0.34782608695652173</v>
      </c>
      <c r="Y41" s="192">
        <f>Results_exp1_1shot!AI156</f>
        <v>0.47826086956521741</v>
      </c>
      <c r="Z41" s="309">
        <f t="shared" si="8"/>
        <v>0.28260869565217395</v>
      </c>
      <c r="AB41" s="192">
        <f>Results_exp1_1shot!AJ153</f>
        <v>1</v>
      </c>
      <c r="AC41" s="192">
        <f>Results_exp1_1shot!AJ154</f>
        <v>1</v>
      </c>
      <c r="AD41" s="192">
        <f>Results_exp1_1shot!AJ155</f>
        <v>1</v>
      </c>
      <c r="AE41" s="192">
        <f>Results_exp1_1shot!AJ156</f>
        <v>1</v>
      </c>
      <c r="AF41" s="309">
        <f t="shared" si="9"/>
        <v>1</v>
      </c>
      <c r="AG41" s="147"/>
      <c r="AH41" s="147">
        <v>466</v>
      </c>
      <c r="AI41" s="147">
        <v>449</v>
      </c>
      <c r="AJ41" s="147">
        <v>604</v>
      </c>
      <c r="AK41" s="147">
        <v>556</v>
      </c>
      <c r="AL41" s="192"/>
    </row>
    <row r="42" spans="1:38" s="5" customFormat="1">
      <c r="A42" s="5" t="s">
        <v>332</v>
      </c>
      <c r="B42" s="5" t="s">
        <v>171</v>
      </c>
      <c r="C42" s="5">
        <v>1.790108913645059</v>
      </c>
      <c r="D42" s="193">
        <f>Results_exp1_1shot!S159</f>
        <v>0.74545454545454537</v>
      </c>
      <c r="E42" s="193">
        <f>Results_exp1_1shot!S160</f>
        <v>0.72727272727272729</v>
      </c>
      <c r="F42" s="193">
        <f>Results_exp1_1shot!S161</f>
        <v>0.70476190476190481</v>
      </c>
      <c r="G42" s="193">
        <f>Results_exp1_1shot!S162</f>
        <v>0.66666666666666663</v>
      </c>
      <c r="H42" s="309">
        <f t="shared" si="10"/>
        <v>0.71103896103896103</v>
      </c>
      <c r="I42" s="150"/>
      <c r="J42" s="193">
        <f>Results_exp1_1shot!Y159</f>
        <v>0.76190476190476197</v>
      </c>
      <c r="K42" s="193">
        <f>Results_exp1_1shot!Y160</f>
        <v>0.66666666666666663</v>
      </c>
      <c r="L42" s="193">
        <f>Results_exp1_1shot!Y161</f>
        <v>0.72727272727272718</v>
      </c>
      <c r="M42" s="193">
        <f>Results_exp1_1shot!Y162</f>
        <v>0.66666666666666663</v>
      </c>
      <c r="N42" s="309">
        <f t="shared" si="6"/>
        <v>0.7056277056277056</v>
      </c>
      <c r="O42" s="193"/>
      <c r="P42" s="193">
        <f>Results_exp1_1shot!AE159</f>
        <v>0.60784313725490202</v>
      </c>
      <c r="Q42" s="193">
        <f>Results_exp1_1shot!AE160</f>
        <v>0.64705882352941169</v>
      </c>
      <c r="R42" s="193">
        <f>Results_exp1_1shot!AE161</f>
        <v>0.57731958762886604</v>
      </c>
      <c r="S42" s="193">
        <f>Results_exp1_1shot!AE162</f>
        <v>0.4395604395604395</v>
      </c>
      <c r="T42" s="309">
        <f t="shared" si="7"/>
        <v>0.5679454969934048</v>
      </c>
      <c r="U42" s="193"/>
      <c r="V42" s="193">
        <f>Results_exp1_1shot!AI159</f>
        <v>0.1111111111111111</v>
      </c>
      <c r="W42" s="193">
        <f>Results_exp1_1shot!AI160</f>
        <v>0.18518518518518517</v>
      </c>
      <c r="X42" s="193">
        <f>Results_exp1_1shot!AI161</f>
        <v>0.22222222222222221</v>
      </c>
      <c r="Y42" s="193">
        <f>Results_exp1_1shot!AI162</f>
        <v>0.18518518518518517</v>
      </c>
      <c r="Z42" s="309">
        <f t="shared" si="8"/>
        <v>0.17592592592592593</v>
      </c>
      <c r="AB42" s="193">
        <f>Results_exp1_1shot!AJ159</f>
        <v>1</v>
      </c>
      <c r="AC42" s="193">
        <f>Results_exp1_1shot!AJ160</f>
        <v>1</v>
      </c>
      <c r="AD42" s="193">
        <f>Results_exp1_1shot!AJ161</f>
        <v>1</v>
      </c>
      <c r="AE42" s="193">
        <f>Results_exp1_1shot!AJ162</f>
        <v>1</v>
      </c>
      <c r="AF42" s="309">
        <f t="shared" si="9"/>
        <v>1</v>
      </c>
      <c r="AG42" s="150"/>
      <c r="AH42" s="150">
        <v>533</v>
      </c>
      <c r="AI42" s="150">
        <v>547</v>
      </c>
      <c r="AJ42" s="150">
        <v>508</v>
      </c>
      <c r="AK42" s="150">
        <v>413</v>
      </c>
      <c r="AL42" s="193"/>
    </row>
    <row r="43" spans="1:38" s="7" customFormat="1">
      <c r="A43" s="1" t="s">
        <v>660</v>
      </c>
      <c r="B43" s="1"/>
      <c r="C43" s="1"/>
      <c r="D43" s="151">
        <f>AVERAGE(D31:D42)</f>
        <v>0.7815839468176492</v>
      </c>
      <c r="E43" s="151">
        <f>AVERAGE(E31:E42)</f>
        <v>0.81170422484307325</v>
      </c>
      <c r="F43" s="151">
        <f>AVERAGE(F31:F42)</f>
        <v>0.76124380412556825</v>
      </c>
      <c r="G43" s="196">
        <f>AVERAGE(G31:G42)</f>
        <v>0.82468132856459242</v>
      </c>
      <c r="H43" s="209"/>
      <c r="I43" s="151"/>
      <c r="J43" s="151">
        <f>AVERAGE(J31:J42)</f>
        <v>0.7769420336210956</v>
      </c>
      <c r="K43" s="151">
        <f>AVERAGE(K31:K42)</f>
        <v>0.79861360617939559</v>
      </c>
      <c r="L43" s="151">
        <f>AVERAGE(L31:L42)</f>
        <v>0.80656464530892447</v>
      </c>
      <c r="M43" s="196">
        <f>AVERAGE(M31:M42)</f>
        <v>0.81850535429482785</v>
      </c>
      <c r="N43" s="209"/>
      <c r="O43" s="151"/>
      <c r="P43" s="151">
        <f>AVERAGE(P31:P42)</f>
        <v>0.69096690158714058</v>
      </c>
      <c r="Q43" s="151">
        <f t="shared" ref="Q43:X43" si="11">AVERAGE(Q31:Q42)</f>
        <v>0.71991478670035036</v>
      </c>
      <c r="R43" s="151">
        <f t="shared" si="11"/>
        <v>0.63186425797952073</v>
      </c>
      <c r="S43" s="196">
        <f t="shared" si="11"/>
        <v>0.72522646148178505</v>
      </c>
      <c r="T43" s="209"/>
      <c r="U43" s="151"/>
      <c r="V43" s="151">
        <f t="shared" si="11"/>
        <v>0.26523536731337244</v>
      </c>
      <c r="W43" s="151">
        <f t="shared" si="11"/>
        <v>0.32391424546688824</v>
      </c>
      <c r="X43" s="196">
        <f t="shared" si="11"/>
        <v>0.59106934110930287</v>
      </c>
      <c r="Y43" s="151">
        <f>AVERAGE(Y31:Y42)</f>
        <v>0.48260830993940546</v>
      </c>
      <c r="Z43" s="188"/>
      <c r="AA43" s="151"/>
      <c r="AB43" s="151">
        <f>AVERAGE(AB31:AB42)</f>
        <v>0.95833333333333337</v>
      </c>
      <c r="AC43" s="196">
        <f>AVERAGE(AC31:AC42)</f>
        <v>0.95000000000000007</v>
      </c>
      <c r="AD43" s="151">
        <f>AVERAGE(AD31:AD42)</f>
        <v>0.99561403508771928</v>
      </c>
      <c r="AE43" s="151">
        <f>AVERAGE(AE31:AE42)</f>
        <v>0.96511437908496733</v>
      </c>
      <c r="AF43" s="188"/>
      <c r="AG43" s="151"/>
      <c r="AH43" s="188">
        <f>AVERAGE(AH31:AH42)</f>
        <v>405.66666666666669</v>
      </c>
      <c r="AI43" s="188">
        <f>AVERAGE(AI31:AI42)</f>
        <v>474.58333333333331</v>
      </c>
      <c r="AJ43" s="209">
        <f>AVERAGE(AJ31:AJ42)</f>
        <v>525.33333333333337</v>
      </c>
      <c r="AK43" s="216">
        <f>AVERAGE(AK31:AK42)</f>
        <v>484.33333333333331</v>
      </c>
      <c r="AL43" s="216"/>
    </row>
    <row r="44" spans="1:38" s="7" customFormat="1">
      <c r="A44" s="1" t="s">
        <v>659</v>
      </c>
      <c r="B44" s="1"/>
      <c r="C44" s="1"/>
      <c r="D44" s="331">
        <f>AVERAGE(D31:G42)</f>
        <v>0.79480332608772075</v>
      </c>
      <c r="E44" s="331"/>
      <c r="F44" s="331"/>
      <c r="G44" s="331"/>
      <c r="H44" s="188"/>
      <c r="I44" s="194"/>
      <c r="J44" s="331">
        <f>AVERAGE(J31:M42)</f>
        <v>0.80015640985106062</v>
      </c>
      <c r="K44" s="331"/>
      <c r="L44" s="331"/>
      <c r="M44" s="331"/>
      <c r="N44" s="188"/>
      <c r="O44" s="151"/>
      <c r="P44" s="331">
        <f>AVERAGE(P31:S42)</f>
        <v>0.69199310193719921</v>
      </c>
      <c r="Q44" s="331"/>
      <c r="R44" s="331"/>
      <c r="S44" s="331"/>
      <c r="T44" s="188"/>
      <c r="U44" s="151"/>
      <c r="V44" s="331">
        <f>AVERAGE(V31:Y42)</f>
        <v>0.41570681595724229</v>
      </c>
      <c r="W44" s="331"/>
      <c r="X44" s="331"/>
      <c r="Y44" s="331"/>
      <c r="Z44" s="188"/>
      <c r="AA44" s="194"/>
      <c r="AB44" s="331">
        <f>AVERAGE(AD31:AE42)</f>
        <v>0.98036420708634342</v>
      </c>
      <c r="AC44" s="331"/>
      <c r="AD44" s="331"/>
      <c r="AE44" s="331"/>
      <c r="AF44" s="188"/>
      <c r="AG44" s="194"/>
      <c r="AH44" s="331">
        <f>AVERAGE(AH31:AK42)</f>
        <v>472.47916666666669</v>
      </c>
      <c r="AI44" s="331"/>
      <c r="AJ44" s="331"/>
      <c r="AK44" s="331"/>
      <c r="AL44" s="217"/>
    </row>
    <row r="45" spans="1:38" s="7" customFormat="1">
      <c r="A45" s="1" t="s">
        <v>790</v>
      </c>
      <c r="B45" s="1"/>
      <c r="C45" s="1"/>
      <c r="D45" s="331">
        <f>_xlfn.STDEV.P(F31:G42)</f>
        <v>0.11640542101128697</v>
      </c>
      <c r="E45" s="331"/>
      <c r="F45" s="331"/>
      <c r="G45" s="331"/>
      <c r="H45" s="188"/>
      <c r="I45" s="194"/>
      <c r="J45" s="331">
        <f>_xlfn.STDEV.P(L31:M42)</f>
        <v>0.12417143667450296</v>
      </c>
      <c r="K45" s="331"/>
      <c r="L45" s="331"/>
      <c r="M45" s="331"/>
      <c r="N45" s="188"/>
      <c r="O45" s="188"/>
      <c r="P45" s="331">
        <f>_xlfn.STDEV.P(R31:S42)</f>
        <v>0.16853519998173627</v>
      </c>
      <c r="Q45" s="331"/>
      <c r="R45" s="331"/>
      <c r="S45" s="331"/>
      <c r="T45" s="188"/>
      <c r="U45" s="188"/>
      <c r="V45" s="331">
        <f>_xlfn.STDEV.P(X31:Y42)</f>
        <v>0.28299338091403548</v>
      </c>
      <c r="W45" s="331"/>
      <c r="X45" s="331"/>
      <c r="Y45" s="331"/>
      <c r="Z45" s="188"/>
      <c r="AA45" s="194"/>
      <c r="AB45" s="331">
        <f>_xlfn.STDEV.P(AD31:AE42)</f>
        <v>5.2370596324771979E-2</v>
      </c>
      <c r="AC45" s="331"/>
      <c r="AD45" s="331"/>
      <c r="AE45" s="331"/>
      <c r="AF45" s="188"/>
      <c r="AG45" s="194"/>
      <c r="AH45" s="188"/>
      <c r="AI45" s="188"/>
      <c r="AJ45" s="188"/>
      <c r="AK45" s="188"/>
      <c r="AL45" s="217"/>
    </row>
    <row r="46" spans="1:38" s="7" customFormat="1">
      <c r="A46" s="1"/>
      <c r="B46" s="1"/>
      <c r="C46" s="1"/>
      <c r="D46" s="151"/>
      <c r="E46" s="149"/>
      <c r="F46" s="149"/>
      <c r="G46" s="149"/>
      <c r="H46" s="149"/>
      <c r="I46" s="151"/>
      <c r="J46" s="151"/>
      <c r="K46" s="151"/>
      <c r="L46" s="149"/>
      <c r="M46" s="149"/>
      <c r="N46" s="149"/>
      <c r="O46" s="149"/>
      <c r="P46" s="151"/>
      <c r="Q46" s="149"/>
      <c r="R46" s="149"/>
      <c r="S46" s="151"/>
      <c r="T46" s="188"/>
      <c r="U46" s="151"/>
      <c r="V46" s="151"/>
      <c r="W46" s="151"/>
      <c r="X46" s="149"/>
      <c r="Y46" s="149"/>
      <c r="Z46" s="149"/>
      <c r="AA46" s="149"/>
      <c r="AB46" s="151"/>
      <c r="AC46" s="151"/>
      <c r="AD46" s="149"/>
      <c r="AE46" s="149"/>
      <c r="AF46" s="149"/>
      <c r="AG46" s="149"/>
      <c r="AH46" s="188"/>
      <c r="AI46" s="149"/>
      <c r="AJ46" s="149"/>
      <c r="AK46" s="188"/>
      <c r="AL46" s="218"/>
    </row>
    <row r="47" spans="1:38" s="24" customFormat="1">
      <c r="A47" s="4" t="s">
        <v>658</v>
      </c>
      <c r="B47" s="4"/>
      <c r="C47" s="4"/>
      <c r="D47" s="186"/>
      <c r="E47" s="186"/>
      <c r="F47" s="186"/>
      <c r="G47" s="186"/>
      <c r="H47" s="186"/>
      <c r="I47" s="187"/>
      <c r="J47" s="186"/>
      <c r="K47" s="187"/>
      <c r="L47" s="186"/>
      <c r="M47" s="186"/>
      <c r="N47" s="186"/>
      <c r="O47" s="186"/>
      <c r="P47" s="186"/>
      <c r="Q47" s="186"/>
      <c r="R47" s="186"/>
      <c r="S47" s="187"/>
      <c r="T47" s="187"/>
      <c r="U47" s="187"/>
      <c r="V47" s="186"/>
      <c r="W47" s="187"/>
      <c r="X47" s="186"/>
      <c r="Y47" s="186"/>
      <c r="Z47" s="186"/>
      <c r="AA47" s="186"/>
      <c r="AB47" s="186"/>
      <c r="AC47" s="187"/>
      <c r="AD47" s="186"/>
      <c r="AE47" s="186"/>
      <c r="AF47" s="186"/>
      <c r="AG47" s="186"/>
      <c r="AH47" s="186"/>
      <c r="AI47" s="186"/>
      <c r="AJ47" s="186"/>
      <c r="AK47" s="187"/>
      <c r="AL47" s="250"/>
    </row>
    <row r="48" spans="1:38">
      <c r="A48" t="s">
        <v>334</v>
      </c>
      <c r="B48" t="s">
        <v>158</v>
      </c>
      <c r="C48">
        <v>2.4606876442304331</v>
      </c>
      <c r="D48" s="192">
        <f>Results_exp1_1shot!S165</f>
        <v>0.73043478260869565</v>
      </c>
      <c r="E48" s="192">
        <f>Results_exp1_1shot!S166</f>
        <v>0.73684210526315785</v>
      </c>
      <c r="F48" s="192">
        <f>Results_exp1_1shot!S167</f>
        <v>0.70796460176991149</v>
      </c>
      <c r="G48" s="192">
        <f>Results_exp1_1shot!S168</f>
        <v>0.92424242424242431</v>
      </c>
      <c r="H48" s="309">
        <f>AVERAGE(D48:G48)</f>
        <v>0.77487097847104736</v>
      </c>
      <c r="I48" s="147">
        <f>AVERAGE(D48:G48)</f>
        <v>0.77487097847104736</v>
      </c>
      <c r="J48" s="192">
        <f>Results_exp1_1shot!Y165</f>
        <v>0.76923076923076916</v>
      </c>
      <c r="K48" s="192">
        <f>Results_exp1_1shot!Y166</f>
        <v>0.8</v>
      </c>
      <c r="L48" s="192">
        <f>Results_exp1_1shot!Y167</f>
        <v>0.76923076923076916</v>
      </c>
      <c r="M48" s="192">
        <f>Results_exp1_1shot!Y168</f>
        <v>0.82758620689655182</v>
      </c>
      <c r="N48" s="309">
        <f>AVERAGE(J48:M48)</f>
        <v>0.79151193633952244</v>
      </c>
      <c r="O48" s="147">
        <f>AVERAGE(J48:M48)</f>
        <v>0.79151193633952244</v>
      </c>
      <c r="P48" s="192">
        <f>Results_exp1_1shot!AE165</f>
        <v>0.52427184466019428</v>
      </c>
      <c r="Q48" s="192">
        <f>Results_exp1_1shot!AE166</f>
        <v>0.47058823529411759</v>
      </c>
      <c r="R48" s="192">
        <f>Results_exp1_1shot!AE167</f>
        <v>0.53465346534653457</v>
      </c>
      <c r="S48" s="192">
        <f>Results_exp1_1shot!AE168</f>
        <v>0.86666666666666659</v>
      </c>
      <c r="T48" s="309">
        <f>AVERAGE(P48:S48)</f>
        <v>0.59904505299187827</v>
      </c>
      <c r="U48" s="147">
        <f>AVERAGE(P48:S48)</f>
        <v>0.59904505299187827</v>
      </c>
      <c r="V48" s="192">
        <f>Results_exp1_1shot!AI165</f>
        <v>6.6666666666666666E-2</v>
      </c>
      <c r="W48" s="192">
        <f>Results_exp1_1shot!AI166</f>
        <v>6.6666666666666666E-2</v>
      </c>
      <c r="X48" s="192">
        <f>Results_exp1_1shot!AI167</f>
        <v>0.4</v>
      </c>
      <c r="Y48" s="192">
        <f>Results_exp1_1shot!AI168</f>
        <v>0.33333333333333331</v>
      </c>
      <c r="Z48" s="309">
        <f>AVERAGE(V48:Y48)</f>
        <v>0.21666666666666667</v>
      </c>
      <c r="AA48" s="147">
        <f>AVERAGE(V48:Y48)</f>
        <v>0.21666666666666667</v>
      </c>
      <c r="AB48" s="192">
        <f>Results_exp1_1shot!AJ165</f>
        <v>1</v>
      </c>
      <c r="AC48" s="192">
        <f>Results_exp1_1shot!AJ166</f>
        <v>1</v>
      </c>
      <c r="AD48" s="192">
        <f>Results_exp1_1shot!AJ167</f>
        <v>1</v>
      </c>
      <c r="AE48" s="192">
        <f>Results_exp1_1shot!AJ168</f>
        <v>1</v>
      </c>
      <c r="AF48" s="309">
        <f>AVERAGE(AB48:AE48)</f>
        <v>1</v>
      </c>
      <c r="AG48" s="147">
        <f>AVERAGE(AB48:AE48)</f>
        <v>1</v>
      </c>
      <c r="AH48" s="147">
        <v>473</v>
      </c>
      <c r="AI48" s="147">
        <v>476</v>
      </c>
      <c r="AJ48" s="147">
        <v>736</v>
      </c>
      <c r="AK48" s="147">
        <v>694</v>
      </c>
      <c r="AL48" s="192"/>
    </row>
    <row r="49" spans="1:38" s="7" customFormat="1">
      <c r="A49" s="7" t="s">
        <v>333</v>
      </c>
      <c r="B49" s="7" t="s">
        <v>155</v>
      </c>
      <c r="C49" s="7">
        <v>2.4974613347120318</v>
      </c>
      <c r="D49" s="147">
        <f>Results_exp1_1shot!S171</f>
        <v>0.61111111111111105</v>
      </c>
      <c r="E49" s="192">
        <f>Results_exp1_1shot!S172</f>
        <v>0.65454545454545454</v>
      </c>
      <c r="F49" s="192">
        <f>Results_exp1_1shot!S173</f>
        <v>0.63636363636363624</v>
      </c>
      <c r="G49" s="192">
        <f>Results_exp1_1shot!S174</f>
        <v>0.73333333333333339</v>
      </c>
      <c r="H49" s="309">
        <f t="shared" ref="H49:H52" si="12">AVERAGE(D49:G49)</f>
        <v>0.65883838383838378</v>
      </c>
      <c r="I49" s="147"/>
      <c r="J49" s="192">
        <f>Results_exp1_1shot!Y171</f>
        <v>0.58823529411764708</v>
      </c>
      <c r="K49" s="192">
        <f>Results_exp1_1shot!Y172</f>
        <v>0.73684210526315785</v>
      </c>
      <c r="L49" s="192">
        <f>Results_exp1_1shot!Y173</f>
        <v>0.66666666666666652</v>
      </c>
      <c r="M49" s="192">
        <f>Results_exp1_1shot!Y174</f>
        <v>0.76190476190476197</v>
      </c>
      <c r="N49" s="309">
        <f t="shared" ref="N49:N52" si="13">AVERAGE(J49:M49)</f>
        <v>0.68841220698805838</v>
      </c>
      <c r="O49" s="147"/>
      <c r="P49" s="192">
        <f>Results_exp1_1shot!AE171</f>
        <v>0.37499999999999994</v>
      </c>
      <c r="Q49" s="192">
        <f>Results_exp1_1shot!AE172</f>
        <v>0.45161290322580644</v>
      </c>
      <c r="R49" s="192">
        <f>Results_exp1_1shot!AE173</f>
        <v>0.34693877551020408</v>
      </c>
      <c r="S49" s="192">
        <f>Results_exp1_1shot!AE174</f>
        <v>0.49019607843137253</v>
      </c>
      <c r="T49" s="309">
        <f t="shared" ref="T49:T52" si="14">AVERAGE(P49:S49)</f>
        <v>0.41593693929184578</v>
      </c>
      <c r="U49" s="192"/>
      <c r="V49" s="192">
        <f>Results_exp1_1shot!AI171</f>
        <v>0.16</v>
      </c>
      <c r="W49" s="192">
        <f>Results_exp1_1shot!AI172</f>
        <v>0.2</v>
      </c>
      <c r="X49" s="192">
        <f>Results_exp1_1shot!AI173</f>
        <v>0.92</v>
      </c>
      <c r="Y49" s="192">
        <f>Results_exp1_1shot!AI174</f>
        <v>0.44</v>
      </c>
      <c r="Z49" s="309">
        <f t="shared" ref="Z49:Z52" si="15">AVERAGE(V49:Y49)</f>
        <v>0.43</v>
      </c>
      <c r="AB49" s="147">
        <f>Results_exp1_1shot!AJ171</f>
        <v>1</v>
      </c>
      <c r="AC49" s="192">
        <f>Results_exp1_1shot!AJ172</f>
        <v>1</v>
      </c>
      <c r="AD49" s="192">
        <f>Results_exp1_1shot!AJ173</f>
        <v>1</v>
      </c>
      <c r="AE49" s="192">
        <f>Results_exp1_1shot!AJ174</f>
        <v>1</v>
      </c>
      <c r="AF49" s="309">
        <f t="shared" ref="AF49:AF52" si="16">AVERAGE(AB49:AE49)</f>
        <v>1</v>
      </c>
      <c r="AG49" s="147"/>
      <c r="AH49" s="147">
        <v>432</v>
      </c>
      <c r="AI49" s="147">
        <v>453</v>
      </c>
      <c r="AJ49" s="147">
        <v>710</v>
      </c>
      <c r="AK49" s="147">
        <v>623</v>
      </c>
      <c r="AL49" s="192"/>
    </row>
    <row r="50" spans="1:38">
      <c r="A50" t="s">
        <v>335</v>
      </c>
      <c r="B50" t="s">
        <v>150</v>
      </c>
      <c r="C50">
        <v>2.794074291209645</v>
      </c>
      <c r="D50" s="147">
        <f>Results_exp1_1shot!S177</f>
        <v>0.78124999999999989</v>
      </c>
      <c r="E50" s="192">
        <f>Results_exp1_1shot!S178</f>
        <v>0.76190476190476208</v>
      </c>
      <c r="F50" s="192">
        <f>Results_exp1_1shot!S179</f>
        <v>0.80916030534351135</v>
      </c>
      <c r="G50" s="192">
        <f>Results_exp1_1shot!S180</f>
        <v>0.77419354838709675</v>
      </c>
      <c r="H50" s="309">
        <f t="shared" si="12"/>
        <v>0.78162715390884241</v>
      </c>
      <c r="I50" s="147"/>
      <c r="J50" s="192">
        <f>Results_exp1_1shot!Y177</f>
        <v>0.69565217391304346</v>
      </c>
      <c r="K50" s="192">
        <f>Results_exp1_1shot!Y178</f>
        <v>0.81818181818181823</v>
      </c>
      <c r="L50" s="192">
        <f>Results_exp1_1shot!Y179</f>
        <v>0.91666666666666663</v>
      </c>
      <c r="M50" s="192">
        <f>Results_exp1_1shot!Y180</f>
        <v>0.8</v>
      </c>
      <c r="N50" s="309">
        <f t="shared" si="13"/>
        <v>0.80762516469038204</v>
      </c>
      <c r="O50" s="147"/>
      <c r="P50" s="192">
        <f>Results_exp1_1shot!AE177</f>
        <v>0.39655172413793105</v>
      </c>
      <c r="Q50" s="192">
        <f>Results_exp1_1shot!AE178</f>
        <v>0.41739130434782612</v>
      </c>
      <c r="R50" s="192">
        <f>Results_exp1_1shot!AE179</f>
        <v>0.51666666666666661</v>
      </c>
      <c r="S50" s="192">
        <f>Results_exp1_1shot!AE180</f>
        <v>0.38181818181818183</v>
      </c>
      <c r="T50" s="309">
        <f t="shared" si="14"/>
        <v>0.4281069692426514</v>
      </c>
      <c r="U50" s="192"/>
      <c r="V50" s="192">
        <f>Results_exp1_1shot!AI177</f>
        <v>6.4516129032258063E-2</v>
      </c>
      <c r="W50" s="192">
        <f>Results_exp1_1shot!AI178</f>
        <v>0.22580645161290322</v>
      </c>
      <c r="X50" s="192">
        <f>Results_exp1_1shot!AI179</f>
        <v>0.29032258064516131</v>
      </c>
      <c r="Y50" s="192">
        <f>Results_exp1_1shot!AI180</f>
        <v>0.29032258064516131</v>
      </c>
      <c r="Z50" s="309">
        <f t="shared" si="15"/>
        <v>0.21774193548387094</v>
      </c>
      <c r="AB50" s="147">
        <f>Results_exp1_1shot!AJ177</f>
        <v>1</v>
      </c>
      <c r="AC50" s="192">
        <f>Results_exp1_1shot!AJ178</f>
        <v>1</v>
      </c>
      <c r="AD50" s="192">
        <f>Results_exp1_1shot!AJ179</f>
        <v>1</v>
      </c>
      <c r="AE50" s="192">
        <f>Results_exp1_1shot!AJ180</f>
        <v>1</v>
      </c>
      <c r="AF50" s="309">
        <f t="shared" si="16"/>
        <v>1</v>
      </c>
      <c r="AG50" s="147"/>
      <c r="AH50" s="147">
        <v>519</v>
      </c>
      <c r="AI50" s="147">
        <v>440</v>
      </c>
      <c r="AJ50" s="147">
        <v>539</v>
      </c>
      <c r="AK50" s="147">
        <v>666</v>
      </c>
      <c r="AL50" s="192"/>
    </row>
    <row r="51" spans="1:38">
      <c r="A51" t="s">
        <v>336</v>
      </c>
      <c r="B51" t="s">
        <v>398</v>
      </c>
      <c r="C51">
        <v>3.2133281387646022</v>
      </c>
      <c r="D51" s="147">
        <f>Results_exp1_1shot!S183</f>
        <v>0.54838709677419351</v>
      </c>
      <c r="E51" s="192">
        <f>Results_exp1_1shot!S184</f>
        <v>0.6201550387596898</v>
      </c>
      <c r="F51" s="192">
        <f>Results_exp1_1shot!S185</f>
        <v>0.16666666666666669</v>
      </c>
      <c r="G51" s="192">
        <f>Results_exp1_1shot!S186</f>
        <v>0.45098039215686281</v>
      </c>
      <c r="H51" s="309">
        <f t="shared" si="12"/>
        <v>0.44654729858935316</v>
      </c>
      <c r="I51" s="147"/>
      <c r="J51" s="192">
        <f>Results_exp1_1shot!Y183</f>
        <v>0.66666666666666652</v>
      </c>
      <c r="K51" s="192">
        <f>Results_exp1_1shot!Y184</f>
        <v>0.66666666666666652</v>
      </c>
      <c r="L51" s="192">
        <f>Results_exp1_1shot!Y185</f>
        <v>0.73684210526315785</v>
      </c>
      <c r="M51" s="192">
        <f>Results_exp1_1shot!Y186</f>
        <v>0.66666666666666652</v>
      </c>
      <c r="N51" s="309">
        <f t="shared" si="13"/>
        <v>0.68421052631578938</v>
      </c>
      <c r="O51" s="147"/>
      <c r="P51" s="192">
        <f>Results_exp1_1shot!AE183</f>
        <v>0.53913043478260869</v>
      </c>
      <c r="Q51" s="192">
        <f>Results_exp1_1shot!AE184</f>
        <v>0.6</v>
      </c>
      <c r="R51" s="192">
        <f>Results_exp1_1shot!AE185</f>
        <v>0.17582417582417581</v>
      </c>
      <c r="S51" s="192">
        <f>Results_exp1_1shot!AE186</f>
        <v>0.4329896907216495</v>
      </c>
      <c r="T51" s="309">
        <f t="shared" si="14"/>
        <v>0.43698607533210854</v>
      </c>
      <c r="U51" s="192"/>
      <c r="V51" s="192">
        <f>Results_exp1_1shot!AI183</f>
        <v>0.12121212121212122</v>
      </c>
      <c r="W51" s="192">
        <f>Results_exp1_1shot!AI184</f>
        <v>0.15151515151515152</v>
      </c>
      <c r="X51" s="192">
        <f>Results_exp1_1shot!AI185</f>
        <v>0.36363636363636365</v>
      </c>
      <c r="Y51" s="192">
        <f>Results_exp1_1shot!AI186</f>
        <v>0.18181818181818182</v>
      </c>
      <c r="Z51" s="309">
        <f t="shared" si="15"/>
        <v>0.20454545454545453</v>
      </c>
      <c r="AB51" s="147">
        <f>Results_exp1_1shot!AJ183</f>
        <v>1</v>
      </c>
      <c r="AC51" s="192">
        <f>Results_exp1_1shot!AJ184</f>
        <v>1</v>
      </c>
      <c r="AD51" s="192">
        <f>Results_exp1_1shot!AJ185</f>
        <v>1</v>
      </c>
      <c r="AE51" s="192">
        <f>Results_exp1_1shot!AJ186</f>
        <v>0.8571428571428571</v>
      </c>
      <c r="AF51" s="309">
        <f t="shared" si="16"/>
        <v>0.9642857142857143</v>
      </c>
      <c r="AG51" s="147"/>
      <c r="AH51" s="147">
        <v>535</v>
      </c>
      <c r="AI51" s="147">
        <v>551</v>
      </c>
      <c r="AJ51" s="147">
        <v>510</v>
      </c>
      <c r="AK51" s="147">
        <v>480</v>
      </c>
      <c r="AL51" s="192"/>
    </row>
    <row r="52" spans="1:38">
      <c r="A52" t="s">
        <v>337</v>
      </c>
      <c r="B52" t="s">
        <v>284</v>
      </c>
      <c r="C52">
        <v>3.2868164116145109</v>
      </c>
      <c r="D52" s="147">
        <f>Results_exp1_1shot!S189</f>
        <v>0.66666666666666674</v>
      </c>
      <c r="E52" s="192">
        <f>Results_exp1_1shot!S190</f>
        <v>0.51162790697674421</v>
      </c>
      <c r="F52" s="192">
        <f>Results_exp1_1shot!S191</f>
        <v>0.42592592592592599</v>
      </c>
      <c r="G52" s="192">
        <f>Results_exp1_1shot!S192</f>
        <v>0.47169811320754718</v>
      </c>
      <c r="H52" s="309">
        <f t="shared" si="12"/>
        <v>0.51897965319422101</v>
      </c>
      <c r="I52" s="147"/>
      <c r="J52" s="192">
        <f>Results_exp1_1shot!Y189</f>
        <v>0.70000000000000007</v>
      </c>
      <c r="K52" s="192">
        <f>Results_exp1_1shot!Y190</f>
        <v>0.5</v>
      </c>
      <c r="L52" s="192">
        <f>Results_exp1_1shot!Y191</f>
        <v>0.73684210526315785</v>
      </c>
      <c r="M52" s="192">
        <f>Results_exp1_1shot!Y192</f>
        <v>0.52631578947368418</v>
      </c>
      <c r="N52" s="309">
        <f t="shared" si="13"/>
        <v>0.61578947368421055</v>
      </c>
      <c r="O52" s="147"/>
      <c r="P52" s="192">
        <f>Results_exp1_1shot!AE189</f>
        <v>0.79699248120300759</v>
      </c>
      <c r="Q52" s="192">
        <f>Results_exp1_1shot!AE190</f>
        <v>0.45901639344262296</v>
      </c>
      <c r="R52" s="192">
        <f>Results_exp1_1shot!AE191</f>
        <v>0.21782178217821785</v>
      </c>
      <c r="S52" s="192">
        <f>Results_exp1_1shot!AE192</f>
        <v>0.31372549019607843</v>
      </c>
      <c r="T52" s="309">
        <f t="shared" si="14"/>
        <v>0.44688903675498171</v>
      </c>
      <c r="U52" s="192"/>
      <c r="V52" s="192">
        <f>Results_exp1_1shot!AI189</f>
        <v>9.0909090909090912E-2</v>
      </c>
      <c r="W52" s="192">
        <f>Results_exp1_1shot!AI190</f>
        <v>0.15151515151515152</v>
      </c>
      <c r="X52" s="192">
        <f>Results_exp1_1shot!AI191</f>
        <v>0.27272727272727271</v>
      </c>
      <c r="Y52" s="192">
        <f>Results_exp1_1shot!AI192</f>
        <v>0.21212121212121213</v>
      </c>
      <c r="Z52" s="309">
        <f t="shared" si="15"/>
        <v>0.18181818181818182</v>
      </c>
      <c r="AB52" s="147">
        <f>Results_exp1_1shot!AJ189</f>
        <v>1</v>
      </c>
      <c r="AC52" s="192">
        <f>Results_exp1_1shot!AJ190</f>
        <v>1</v>
      </c>
      <c r="AD52" s="192">
        <f>Results_exp1_1shot!AJ191</f>
        <v>1</v>
      </c>
      <c r="AE52" s="192">
        <f>Results_exp1_1shot!AJ192</f>
        <v>0.875</v>
      </c>
      <c r="AF52" s="309">
        <f t="shared" si="16"/>
        <v>0.96875</v>
      </c>
      <c r="AG52" s="147"/>
      <c r="AH52" s="147">
        <v>649</v>
      </c>
      <c r="AI52" s="147">
        <v>578</v>
      </c>
      <c r="AJ52" s="147">
        <v>552</v>
      </c>
      <c r="AK52" s="147">
        <v>503</v>
      </c>
      <c r="AL52" s="192"/>
    </row>
    <row r="53" spans="1:38" s="50" customFormat="1">
      <c r="A53" s="50" t="s">
        <v>338</v>
      </c>
      <c r="B53" s="50" t="s">
        <v>170</v>
      </c>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B53" s="214"/>
      <c r="AC53" s="214"/>
      <c r="AD53" s="214"/>
      <c r="AE53" s="214"/>
      <c r="AF53" s="214"/>
      <c r="AG53" s="214"/>
      <c r="AH53" s="214"/>
      <c r="AI53" s="214"/>
      <c r="AJ53" s="214"/>
      <c r="AK53" s="214"/>
      <c r="AL53" s="192"/>
    </row>
    <row r="54" spans="1:38" s="50" customFormat="1">
      <c r="A54" s="50" t="s">
        <v>340</v>
      </c>
      <c r="B54" s="50" t="s">
        <v>286</v>
      </c>
      <c r="D54" s="148"/>
      <c r="E54" s="148"/>
      <c r="F54" s="148"/>
      <c r="G54" s="148"/>
      <c r="H54" s="148"/>
      <c r="I54" s="148"/>
      <c r="S54" s="49"/>
      <c r="T54" s="49"/>
      <c r="U54" s="49"/>
      <c r="AK54" s="49"/>
      <c r="AL54" s="14"/>
    </row>
    <row r="55" spans="1:38" s="50" customFormat="1">
      <c r="A55" s="50" t="s">
        <v>341</v>
      </c>
      <c r="B55" s="50" t="s">
        <v>283</v>
      </c>
      <c r="D55" s="148"/>
      <c r="E55" s="148"/>
      <c r="F55" s="148"/>
      <c r="G55" s="148"/>
      <c r="H55" s="148"/>
      <c r="I55" s="148"/>
      <c r="AL55" s="14"/>
    </row>
    <row r="56" spans="1:38" s="50" customFormat="1">
      <c r="A56" s="50" t="s">
        <v>339</v>
      </c>
      <c r="B56" s="50" t="s">
        <v>141</v>
      </c>
      <c r="D56" s="148"/>
      <c r="E56" s="148"/>
      <c r="F56" s="148"/>
      <c r="G56" s="148"/>
      <c r="H56" s="148"/>
      <c r="I56" s="148"/>
      <c r="AL56" s="14"/>
    </row>
    <row r="57" spans="1:38" s="152" customFormat="1">
      <c r="A57" s="152" t="s">
        <v>342</v>
      </c>
      <c r="B57" s="152" t="s">
        <v>140</v>
      </c>
      <c r="D57" s="153"/>
      <c r="E57" s="153"/>
      <c r="F57" s="153"/>
      <c r="G57" s="153"/>
      <c r="H57" s="153"/>
      <c r="I57" s="153"/>
      <c r="AL57" s="180"/>
    </row>
    <row r="58" spans="1:38" s="14" customFormat="1">
      <c r="A58" s="1" t="s">
        <v>660</v>
      </c>
      <c r="B58" s="1"/>
      <c r="C58" s="1"/>
      <c r="D58" s="151">
        <f>AVERAGE(D48:D53)</f>
        <v>0.66756993143213328</v>
      </c>
      <c r="E58" s="151">
        <f>AVERAGE(E48:E53)</f>
        <v>0.6570150534899617</v>
      </c>
      <c r="F58" s="151">
        <f>AVERAGE(F48:F53)</f>
        <v>0.54921622721393037</v>
      </c>
      <c r="G58" s="196">
        <f>AVERAGE(G48:G53)</f>
        <v>0.67088956226545293</v>
      </c>
      <c r="H58" s="209"/>
      <c r="I58" s="151"/>
      <c r="J58" s="151">
        <f>AVERAGE(J48:J53)</f>
        <v>0.68395698078562528</v>
      </c>
      <c r="K58" s="151">
        <f>AVERAGE(K48:K53)</f>
        <v>0.70433811802232849</v>
      </c>
      <c r="L58" s="196">
        <f>AVERAGE(L48:L53)</f>
        <v>0.76524966261808358</v>
      </c>
      <c r="M58" s="151">
        <f>AVERAGE(M48:M53)</f>
        <v>0.71649468498833291</v>
      </c>
      <c r="N58" s="188"/>
      <c r="O58" s="151"/>
      <c r="P58" s="151">
        <f>AVERAGE(P48:P53)</f>
        <v>0.5263892969567483</v>
      </c>
      <c r="Q58" s="151">
        <f>AVERAGE(Q48:Q53)</f>
        <v>0.47972176726207466</v>
      </c>
      <c r="R58" s="151">
        <f>AVERAGE(R48:R53)</f>
        <v>0.35838097310515982</v>
      </c>
      <c r="S58" s="196">
        <f>AVERAGE(S48:S53)</f>
        <v>0.49707922156678974</v>
      </c>
      <c r="T58" s="209"/>
      <c r="U58" s="151"/>
      <c r="V58" s="151">
        <f>AVERAGE(V48:V53)</f>
        <v>0.10066080156402737</v>
      </c>
      <c r="W58" s="151">
        <f>AVERAGE(W48:W53)</f>
        <v>0.15910068426197457</v>
      </c>
      <c r="X58" s="196">
        <f>AVERAGE(X48:X53)</f>
        <v>0.44933724340175962</v>
      </c>
      <c r="Y58" s="151">
        <f>AVERAGE(Y48:Y53)</f>
        <v>0.29151906158357777</v>
      </c>
      <c r="Z58" s="188"/>
      <c r="AA58" s="151"/>
      <c r="AB58" s="151">
        <f>AVERAGE(AB48:AB53)</f>
        <v>1</v>
      </c>
      <c r="AC58" s="151">
        <f>AVERAGE(AC48:AC53)</f>
        <v>1</v>
      </c>
      <c r="AD58" s="151">
        <f>AVERAGE(AD48:AD52)</f>
        <v>1</v>
      </c>
      <c r="AE58" s="196">
        <f>AVERAGE(AE48:AE53)</f>
        <v>0.94642857142857151</v>
      </c>
      <c r="AF58" s="209"/>
      <c r="AG58" s="151"/>
      <c r="AH58" s="188">
        <f>AVERAGE(AH42:AH52)</f>
        <v>502.39322916666669</v>
      </c>
      <c r="AI58" s="188">
        <f>AVERAGE(AI42:AI52)</f>
        <v>502.79761904761898</v>
      </c>
      <c r="AJ58" s="209">
        <f>AVERAGE(AJ42:AJ52)</f>
        <v>582.90476190476193</v>
      </c>
      <c r="AK58" s="188">
        <f>AVERAGE(AK42:AK52)</f>
        <v>551.90476190476181</v>
      </c>
      <c r="AL58" s="216"/>
    </row>
    <row r="59" spans="1:38" s="14" customFormat="1">
      <c r="A59" s="1" t="s">
        <v>659</v>
      </c>
      <c r="B59" s="1"/>
      <c r="C59" s="1"/>
      <c r="D59" s="331">
        <f>AVERAGE(D48:I53)</f>
        <v>0.64150724301847251</v>
      </c>
      <c r="E59" s="331"/>
      <c r="F59" s="331"/>
      <c r="G59" s="331"/>
      <c r="H59" s="188"/>
      <c r="I59" s="194"/>
      <c r="J59" s="331">
        <f>AVERAGE(J48:O53)</f>
        <v>0.72035609524728206</v>
      </c>
      <c r="K59" s="331"/>
      <c r="L59" s="331"/>
      <c r="M59" s="331"/>
      <c r="N59" s="188"/>
      <c r="O59" s="151"/>
      <c r="P59" s="331">
        <f>AVERAGE(P48:S53)</f>
        <v>0.46539281472269323</v>
      </c>
      <c r="Q59" s="331"/>
      <c r="R59" s="331"/>
      <c r="S59" s="331"/>
      <c r="T59" s="188"/>
      <c r="U59" s="151"/>
      <c r="V59" s="331">
        <f>AVERAGE(V48:AE53)</f>
        <v>0.56962327644305211</v>
      </c>
      <c r="W59" s="331"/>
      <c r="X59" s="331"/>
      <c r="Y59" s="331"/>
      <c r="Z59" s="188"/>
      <c r="AA59" s="194"/>
      <c r="AB59" s="331">
        <f>AVERAGE(AB48:AE52,AB53,AC53,AE53)</f>
        <v>0.9866071428571429</v>
      </c>
      <c r="AC59" s="331"/>
      <c r="AD59" s="331"/>
      <c r="AE59" s="331"/>
      <c r="AF59" s="188"/>
      <c r="AG59" s="194"/>
      <c r="AH59" s="331">
        <f>AVERAGE(AH42:AK52)</f>
        <v>533.87571839080465</v>
      </c>
      <c r="AI59" s="331"/>
      <c r="AJ59" s="331"/>
      <c r="AK59" s="331"/>
      <c r="AL59" s="217"/>
    </row>
    <row r="60" spans="1:38" s="14" customFormat="1">
      <c r="A60" s="1" t="s">
        <v>790</v>
      </c>
      <c r="B60" s="1"/>
      <c r="C60" s="1"/>
      <c r="D60" s="331">
        <f>_xlfn.STDEV.P(F48:G48)</f>
        <v>0.10813891123625648</v>
      </c>
      <c r="E60" s="331"/>
      <c r="F60" s="331"/>
      <c r="G60" s="331"/>
      <c r="H60" s="188"/>
      <c r="I60" s="194"/>
      <c r="J60" s="331">
        <f>_xlfn.STDEV.P(L48:M48)</f>
        <v>2.9177718832891331E-2</v>
      </c>
      <c r="K60" s="331"/>
      <c r="L60" s="331"/>
      <c r="M60" s="331"/>
      <c r="N60" s="188"/>
      <c r="O60" s="188"/>
      <c r="P60" s="331">
        <f>_xlfn.STDEV.P(R48:S48)</f>
        <v>0.16600660066006609</v>
      </c>
      <c r="Q60" s="331"/>
      <c r="R60" s="331"/>
      <c r="S60" s="331"/>
      <c r="T60" s="188"/>
      <c r="U60" s="188"/>
      <c r="V60" s="331">
        <f>_xlfn.STDEV.P(X48:Y48)</f>
        <v>3.3333333333333354E-2</v>
      </c>
      <c r="W60" s="331"/>
      <c r="X60" s="331"/>
      <c r="Y60" s="331"/>
      <c r="Z60" s="188"/>
      <c r="AA60" s="194"/>
      <c r="AB60" s="331">
        <f>_xlfn.STDEV.P(AD48:AE48)</f>
        <v>0</v>
      </c>
      <c r="AC60" s="331"/>
      <c r="AD60" s="331"/>
      <c r="AE60" s="331"/>
      <c r="AF60" s="188"/>
      <c r="AG60" s="194"/>
      <c r="AH60" s="188"/>
      <c r="AI60" s="188"/>
      <c r="AJ60" s="188"/>
      <c r="AK60" s="188"/>
      <c r="AL60" s="217"/>
    </row>
    <row r="62" spans="1:38" s="156" customFormat="1" ht="16" thickBot="1">
      <c r="A62" s="154" t="s">
        <v>664</v>
      </c>
      <c r="B62" s="154"/>
      <c r="C62" s="154"/>
      <c r="D62" s="155">
        <f>AVERAGE(D11:D25,D31:D42,D48:D53)</f>
        <v>0.80850602489403045</v>
      </c>
      <c r="E62" s="155">
        <f>AVERAGE(E11:E25,E31:E42,E48:E53)</f>
        <v>0.82352705292314987</v>
      </c>
      <c r="F62" s="155">
        <f>AVERAGE(F11:F25,F31:F42,F48:F53)</f>
        <v>0.80470822948511156</v>
      </c>
      <c r="G62" s="197">
        <f>AVERAGE(G11:G25,G31:G42,G48:G53)</f>
        <v>0.85985178038541543</v>
      </c>
      <c r="H62" s="197"/>
      <c r="I62" s="155"/>
      <c r="J62" s="155">
        <f>AVERAGE(J11:J25,J31:J42,J48:J53)</f>
        <v>0.80113651239728123</v>
      </c>
      <c r="K62" s="155">
        <f>AVERAGE(K11:K25,K31:K42,K48:K53)</f>
        <v>0.81831354275239743</v>
      </c>
      <c r="L62" s="155">
        <f>AVERAGE(L11:L25,L31:L42,L48:L53)</f>
        <v>0.85429195995399798</v>
      </c>
      <c r="M62" s="197">
        <f>AVERAGE(M11:M25,M31:M42,M48:M53)</f>
        <v>0.86551765917209456</v>
      </c>
      <c r="N62" s="197"/>
      <c r="O62" s="155"/>
      <c r="P62" s="155">
        <f>AVERAGE(P11:P25,P31:P42,P48:P53)</f>
        <v>0.74578432925515736</v>
      </c>
      <c r="Q62" s="155">
        <f>AVERAGE(Q11:Q25,Q31:Q42,Q48:Q53)</f>
        <v>0.76606635966826375</v>
      </c>
      <c r="R62" s="155">
        <f>AVERAGE(R11:R25,R31:R42,R48:R53)</f>
        <v>0.70310582766464225</v>
      </c>
      <c r="S62" s="197">
        <f>AVERAGE(S11:S25,S31:S42,S48:S53)</f>
        <v>0.76674840359788143</v>
      </c>
      <c r="T62" s="197"/>
      <c r="U62" s="155"/>
      <c r="V62" s="155">
        <f>AVERAGE(V11:V25,V31:V42,V48:V53)</f>
        <v>0.44347885064923159</v>
      </c>
      <c r="W62" s="155">
        <f>AVERAGE(W11:W25,W31:W42,W48:W53)</f>
        <v>0.58652280556774838</v>
      </c>
      <c r="X62" s="197">
        <f>AVERAGE(X11:X25,X31:X42,X48:X53)</f>
        <v>0.8580734212234874</v>
      </c>
      <c r="Y62" s="155">
        <f>AVERAGE(Y11:Y25,Y31:Y42,Y48:Y53)</f>
        <v>0.64483154102828266</v>
      </c>
      <c r="Z62" s="155"/>
      <c r="AA62" s="155"/>
      <c r="AB62" s="155">
        <f>AVERAGE(AB11:AB16,AB18:AB25,AB31:AB42,AB48:AB53)</f>
        <v>0.97526881720430114</v>
      </c>
      <c r="AC62" s="197">
        <f>AVERAGE(AC11:AC25,AC31:AC42,AC48:AC53)</f>
        <v>0.97864583333333333</v>
      </c>
      <c r="AD62" s="155">
        <f>AVERAGE(AD11:AD25,AD31:AD42,AD48:AD52)</f>
        <v>0.9961231203007519</v>
      </c>
      <c r="AE62" s="155">
        <f>AVERAGE(AE11:AE25,AE31:AE42,AE48:AE53)</f>
        <v>0.97229735644257709</v>
      </c>
      <c r="AF62" s="155"/>
      <c r="AG62" s="155"/>
      <c r="AH62" s="155">
        <f>AVERAGE(AH11:AH25,AH31:AH42,AH42:AH53)</f>
        <v>407.60416666666663</v>
      </c>
      <c r="AI62" s="155">
        <f>AVERAGE(AI11:AI25,AI31:AI42,AI42:AI53)</f>
        <v>443.54656862745099</v>
      </c>
      <c r="AJ62" s="155">
        <f>AVERAGE(AJ11:AJ25,AJ31:AJ42,AJ42:AJ53)</f>
        <v>497.00980392156868</v>
      </c>
      <c r="AK62" s="222">
        <f>AVERAGE(AK11:AK25,AK31:AK42,AK42:AK53)</f>
        <v>441.80392156862746</v>
      </c>
      <c r="AL62" s="222"/>
    </row>
    <row r="63" spans="1:38" ht="16" thickTop="1"/>
    <row r="64" spans="1:38">
      <c r="R64" s="332">
        <f>_xlfn.STDEV.P(R11:S25,R31:S42,R48:S52)</f>
        <v>0.22066816503237222</v>
      </c>
      <c r="S64" s="332"/>
      <c r="T64" s="2"/>
    </row>
    <row r="65" spans="1:32">
      <c r="A65" t="s">
        <v>793</v>
      </c>
      <c r="D65" s="333">
        <f>AVERAGE(D11:G25,D31:G42,D48:G52)</f>
        <v>0.82414827192192697</v>
      </c>
      <c r="E65" s="332"/>
      <c r="F65" s="332"/>
      <c r="G65" s="332"/>
      <c r="H65" s="2"/>
      <c r="J65" s="333">
        <f>AVERAGE(J11:M25,J31:M42,J48:M52)</f>
        <v>0.8348149185689433</v>
      </c>
      <c r="K65" s="332"/>
      <c r="L65" s="332"/>
      <c r="M65" s="332"/>
      <c r="N65" s="2"/>
      <c r="P65" s="333">
        <f>AVERAGE(P11:S25,P31:S42,P48:S52)</f>
        <v>0.74542623004648589</v>
      </c>
      <c r="Q65" s="332"/>
      <c r="R65" s="332"/>
      <c r="S65" s="332"/>
      <c r="T65" s="2"/>
      <c r="V65" s="333">
        <f>AVERAGE(V11:Y25,V31:Y42,V48:Y52)</f>
        <v>0.63322665461718808</v>
      </c>
      <c r="W65" s="332"/>
      <c r="X65" s="332"/>
      <c r="Y65" s="332"/>
      <c r="Z65" s="2"/>
      <c r="AB65" s="333">
        <f>AVERAGE(AB11:AE25,AB31:AE42,AB48:AE52)</f>
        <v>0.97296449418583231</v>
      </c>
      <c r="AC65" s="332"/>
      <c r="AD65" s="332"/>
      <c r="AE65" s="332"/>
      <c r="AF65" s="2"/>
    </row>
    <row r="66" spans="1:32">
      <c r="A66" t="s">
        <v>792</v>
      </c>
      <c r="D66" s="332">
        <f>_xlfn.STDEV.P(D11:G25,D31:G42,D48:G52)</f>
        <v>0.15448800509251626</v>
      </c>
      <c r="E66" s="332"/>
      <c r="F66" s="332"/>
      <c r="G66" s="332"/>
      <c r="H66" s="2"/>
      <c r="J66" s="332">
        <f>_xlfn.STDEV.P(J11:M25,J31:M42,J48:M52)</f>
        <v>0.13478068491039694</v>
      </c>
      <c r="K66" s="332"/>
      <c r="L66" s="332"/>
      <c r="M66" s="332"/>
      <c r="N66" s="2"/>
      <c r="P66" s="332">
        <f>_xlfn.STDEV.P(P11:S25,P31:S42,P48:S52)</f>
        <v>0.21181403958717057</v>
      </c>
      <c r="Q66" s="332"/>
      <c r="R66" s="332"/>
      <c r="S66" s="332"/>
      <c r="T66" s="2"/>
      <c r="V66" s="332">
        <f>_xlfn.STDEV.P(V11:Y25,V31:Y42,V48:Y52)</f>
        <v>0.47270757352052717</v>
      </c>
      <c r="W66" s="332"/>
      <c r="X66" s="332"/>
      <c r="Y66" s="332"/>
      <c r="Z66" s="2"/>
      <c r="AB66" s="332">
        <f>_xlfn.STDEV.P(AB11:AE25,AB31:AE42,AB48:AE52)</f>
        <v>0.11240891097412281</v>
      </c>
      <c r="AC66" s="332"/>
      <c r="AD66" s="332"/>
      <c r="AE66" s="332"/>
      <c r="AF66" s="2"/>
    </row>
  </sheetData>
  <mergeCells count="50">
    <mergeCell ref="V8:Y8"/>
    <mergeCell ref="AB8:AE8"/>
    <mergeCell ref="J44:M44"/>
    <mergeCell ref="J27:M27"/>
    <mergeCell ref="V27:Y27"/>
    <mergeCell ref="D44:G44"/>
    <mergeCell ref="D28:G28"/>
    <mergeCell ref="J28:M28"/>
    <mergeCell ref="P28:S28"/>
    <mergeCell ref="V28:Y28"/>
    <mergeCell ref="AH8:AL8"/>
    <mergeCell ref="AH27:AK27"/>
    <mergeCell ref="AH44:AK44"/>
    <mergeCell ref="AH59:AK59"/>
    <mergeCell ref="D8:G8"/>
    <mergeCell ref="J8:M8"/>
    <mergeCell ref="P8:S8"/>
    <mergeCell ref="D27:G27"/>
    <mergeCell ref="P27:S27"/>
    <mergeCell ref="V59:Y59"/>
    <mergeCell ref="AB59:AE59"/>
    <mergeCell ref="AB27:AE27"/>
    <mergeCell ref="D59:G59"/>
    <mergeCell ref="J59:M59"/>
    <mergeCell ref="P59:S59"/>
    <mergeCell ref="P44:S44"/>
    <mergeCell ref="D66:G66"/>
    <mergeCell ref="J66:M66"/>
    <mergeCell ref="P66:S66"/>
    <mergeCell ref="V66:Y66"/>
    <mergeCell ref="D65:G65"/>
    <mergeCell ref="J65:M65"/>
    <mergeCell ref="P65:S65"/>
    <mergeCell ref="V65:Y65"/>
    <mergeCell ref="J45:M45"/>
    <mergeCell ref="P45:S45"/>
    <mergeCell ref="V45:Y45"/>
    <mergeCell ref="D60:G60"/>
    <mergeCell ref="J60:M60"/>
    <mergeCell ref="P60:S60"/>
    <mergeCell ref="V60:Y60"/>
    <mergeCell ref="D45:G45"/>
    <mergeCell ref="AB60:AE60"/>
    <mergeCell ref="AB65:AE65"/>
    <mergeCell ref="AB66:AE66"/>
    <mergeCell ref="R64:S64"/>
    <mergeCell ref="AB28:AE28"/>
    <mergeCell ref="AB45:AE45"/>
    <mergeCell ref="V44:Y44"/>
    <mergeCell ref="AB44:AE44"/>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Model Descriptive statistics</vt:lpstr>
      <vt:lpstr>AnaRes - Eval</vt:lpstr>
      <vt:lpstr>Tabelle3</vt:lpstr>
      <vt:lpstr>Results_exp1_0shot</vt:lpstr>
      <vt:lpstr>Analysis_exp1_0shot</vt:lpstr>
      <vt:lpstr>Results_exp2_0shot (2)</vt:lpstr>
      <vt:lpstr>Results_exp1_1shot</vt:lpstr>
      <vt:lpstr>Analysis_exp1_1shot</vt:lpstr>
      <vt:lpstr>Overall_exp1</vt:lpstr>
      <vt:lpstr>Results_exp2_0shot</vt:lpstr>
      <vt:lpstr>Analysis_exp2_0shot</vt:lpstr>
      <vt:lpstr>Results_exp2_1shot</vt:lpstr>
      <vt:lpstr>Analysis_exp2_1shot</vt:lpstr>
      <vt:lpstr>Overall_exp2_1shot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2023-11-28T12:26:45Z</dcterms:modified>
</cp:coreProperties>
</file>